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workbookPr codeName="ThisWorkbook" defaultThemeVersion="124226"/>
  <mc:AlternateContent xmlns:mc="http://schemas.openxmlformats.org/markup-compatibility/2006">
    <mc:Choice Requires="x15">
      <x15ac:absPath xmlns:x15ac="http://schemas.microsoft.com/office/spreadsheetml/2010/11/ac" url="https://cjarges-my.sharepoint.com/personal/georgiana_albu_cjarges_ro/Documents/Desktop/SITE CJ/SITE 2026/DUPA SEDINTA DIN DATA DE 30.05.2026/"/>
    </mc:Choice>
  </mc:AlternateContent>
  <xr:revisionPtr revIDLastSave="0" documentId="8_{C157C8FD-37B3-4442-B006-08C76A75DD97}" xr6:coauthVersionLast="47" xr6:coauthVersionMax="47" xr10:uidLastSave="{00000000-0000-0000-0000-000000000000}"/>
  <bookViews>
    <workbookView xWindow="-103" yWindow="-103" windowWidth="33120" windowHeight="18000" tabRatio="838" xr2:uid="{00000000-000D-0000-FFFF-FFFF00000000}"/>
  </bookViews>
  <sheets>
    <sheet name=" 28 mai 2026 " sheetId="132" r:id="rId1"/>
  </sheets>
  <definedNames>
    <definedName name="_xlnm.Database" localSheetId="0">#REF!</definedName>
    <definedName name="_xlnm.Database">#REF!</definedName>
    <definedName name="_xlnm.Print_Titles" localSheetId="0">' 28 mai 2026 '!$21:$25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45" i="132" l="1"/>
  <c r="F2545" i="132"/>
  <c r="G2545" i="132"/>
  <c r="H2545" i="132"/>
  <c r="I2545" i="132"/>
  <c r="D2545" i="132"/>
  <c r="E2546" i="132"/>
  <c r="F2546" i="132"/>
  <c r="G2546" i="132"/>
  <c r="H2546" i="132"/>
  <c r="I2546" i="132"/>
  <c r="D2546" i="132"/>
  <c r="E2455" i="132"/>
  <c r="F2455" i="132"/>
  <c r="G2455" i="132"/>
  <c r="H2455" i="132"/>
  <c r="I2455" i="132"/>
  <c r="D2455" i="132"/>
  <c r="E2456" i="132"/>
  <c r="F2456" i="132"/>
  <c r="G2456" i="132"/>
  <c r="H2456" i="132"/>
  <c r="I2456" i="132"/>
  <c r="D2456" i="132"/>
  <c r="E2284" i="132"/>
  <c r="F2284" i="132"/>
  <c r="G2284" i="132"/>
  <c r="H2284" i="132"/>
  <c r="I2284" i="132"/>
  <c r="D2284" i="132"/>
  <c r="E2285" i="132"/>
  <c r="F2285" i="132"/>
  <c r="G2285" i="132"/>
  <c r="H2285" i="132"/>
  <c r="I2285" i="132"/>
  <c r="D2285" i="132"/>
  <c r="E2338" i="132"/>
  <c r="F2338" i="132"/>
  <c r="G2338" i="132"/>
  <c r="H2338" i="132"/>
  <c r="I2338" i="132"/>
  <c r="D2338" i="132"/>
  <c r="E2339" i="132"/>
  <c r="F2339" i="132"/>
  <c r="G2339" i="132"/>
  <c r="H2339" i="132"/>
  <c r="I2339" i="132"/>
  <c r="D2339" i="132"/>
  <c r="C2363" i="132"/>
  <c r="C2362" i="132"/>
  <c r="C2361" i="132"/>
  <c r="C2360" i="132"/>
  <c r="C2359" i="132"/>
  <c r="C2358" i="132"/>
  <c r="C2357" i="132"/>
  <c r="C2356" i="132"/>
  <c r="C2355" i="132"/>
  <c r="C2354" i="132"/>
  <c r="C2353" i="132"/>
  <c r="C2352" i="132"/>
  <c r="C2351" i="132"/>
  <c r="C2350" i="132"/>
  <c r="C2349" i="132"/>
  <c r="C2348" i="132"/>
  <c r="C2347" i="132"/>
  <c r="C2346" i="132"/>
  <c r="C2345" i="132"/>
  <c r="C2344" i="132"/>
  <c r="C2343" i="132"/>
  <c r="C2342" i="132"/>
  <c r="C2341" i="132"/>
  <c r="C2340" i="132"/>
  <c r="E2318" i="132"/>
  <c r="F2318" i="132"/>
  <c r="G2318" i="132"/>
  <c r="H2318" i="132"/>
  <c r="I2318" i="132"/>
  <c r="D2318" i="132"/>
  <c r="E2319" i="132"/>
  <c r="F2319" i="132"/>
  <c r="G2319" i="132"/>
  <c r="H2319" i="132"/>
  <c r="I2319" i="132"/>
  <c r="D2319" i="132"/>
  <c r="C2337" i="132"/>
  <c r="C2336" i="132"/>
  <c r="E2158" i="132"/>
  <c r="F2158" i="132"/>
  <c r="G2158" i="132"/>
  <c r="H2158" i="132"/>
  <c r="I2158" i="132"/>
  <c r="D2158" i="132"/>
  <c r="E2159" i="132"/>
  <c r="F2159" i="132"/>
  <c r="G2159" i="132"/>
  <c r="H2159" i="132"/>
  <c r="I2159" i="132"/>
  <c r="D2159" i="132"/>
  <c r="C2167" i="132"/>
  <c r="C2166" i="132"/>
  <c r="C2165" i="132"/>
  <c r="C2164" i="132"/>
  <c r="E2116" i="132"/>
  <c r="E2117" i="132"/>
  <c r="H2054" i="132"/>
  <c r="E2054" i="132"/>
  <c r="H2055" i="132"/>
  <c r="E2055" i="132"/>
  <c r="E2009" i="132"/>
  <c r="E2010" i="132"/>
  <c r="E1908" i="132"/>
  <c r="F1908" i="132"/>
  <c r="G1908" i="132"/>
  <c r="H1908" i="132"/>
  <c r="I1908" i="132"/>
  <c r="D1908" i="132"/>
  <c r="E1909" i="132"/>
  <c r="F1909" i="132"/>
  <c r="G1909" i="132"/>
  <c r="H1909" i="132"/>
  <c r="I1909" i="132"/>
  <c r="D1909" i="132"/>
  <c r="C1927" i="132"/>
  <c r="C1926" i="132"/>
  <c r="C1925" i="132"/>
  <c r="C1924" i="132"/>
  <c r="C1923" i="132"/>
  <c r="C1922" i="132"/>
  <c r="C1921" i="132"/>
  <c r="C1920" i="132"/>
  <c r="C1919" i="132"/>
  <c r="C1918" i="132"/>
  <c r="C1917" i="132"/>
  <c r="C1916" i="132"/>
  <c r="C1915" i="132"/>
  <c r="C1914" i="132"/>
  <c r="C1913" i="132"/>
  <c r="C1912" i="132"/>
  <c r="C1911" i="132"/>
  <c r="C1910" i="132"/>
  <c r="E1904" i="132"/>
  <c r="F1904" i="132"/>
  <c r="G1904" i="132"/>
  <c r="H1904" i="132"/>
  <c r="I1904" i="132"/>
  <c r="D1904" i="132"/>
  <c r="E1905" i="132"/>
  <c r="F1905" i="132"/>
  <c r="G1905" i="132"/>
  <c r="H1905" i="132"/>
  <c r="I1905" i="132"/>
  <c r="D1905" i="132"/>
  <c r="C1907" i="132"/>
  <c r="C1906" i="132"/>
  <c r="F1606" i="132"/>
  <c r="G1606" i="132"/>
  <c r="H1606" i="132"/>
  <c r="E1607" i="132"/>
  <c r="F1607" i="132"/>
  <c r="G1607" i="132"/>
  <c r="H1607" i="132"/>
  <c r="D1607" i="132"/>
  <c r="C1653" i="132"/>
  <c r="C1652" i="132"/>
  <c r="E1734" i="132"/>
  <c r="F1734" i="132"/>
  <c r="G1734" i="132"/>
  <c r="H1734" i="132"/>
  <c r="I1734" i="132"/>
  <c r="D1734" i="132"/>
  <c r="E1735" i="132"/>
  <c r="F1735" i="132"/>
  <c r="G1735" i="132"/>
  <c r="H1735" i="132"/>
  <c r="I1735" i="132"/>
  <c r="D1735" i="132"/>
  <c r="C1739" i="132"/>
  <c r="C1738" i="132"/>
  <c r="F1497" i="132"/>
  <c r="G1497" i="132"/>
  <c r="H1497" i="132"/>
  <c r="F1498" i="132"/>
  <c r="G1498" i="132"/>
  <c r="H1498" i="132"/>
  <c r="E1540" i="132"/>
  <c r="E1539" i="132"/>
  <c r="C1558" i="132"/>
  <c r="C1557" i="132"/>
  <c r="C1556" i="132"/>
  <c r="C1555" i="132"/>
  <c r="C1554" i="132"/>
  <c r="C1553" i="132"/>
  <c r="E1129" i="132"/>
  <c r="F1129" i="132"/>
  <c r="G1129" i="132"/>
  <c r="H1129" i="132"/>
  <c r="I1129" i="132"/>
  <c r="D1129" i="132"/>
  <c r="E1130" i="132"/>
  <c r="F1130" i="132"/>
  <c r="G1130" i="132"/>
  <c r="H1130" i="132"/>
  <c r="I1130" i="132"/>
  <c r="D1130" i="132"/>
  <c r="C1136" i="132"/>
  <c r="C1135" i="132"/>
  <c r="C1134" i="132"/>
  <c r="C1133" i="132"/>
  <c r="C1132" i="132"/>
  <c r="C1131" i="132"/>
  <c r="E831" i="132"/>
  <c r="F831" i="132"/>
  <c r="G831" i="132"/>
  <c r="H831" i="132"/>
  <c r="I831" i="132"/>
  <c r="D831" i="132"/>
  <c r="E832" i="132"/>
  <c r="F832" i="132"/>
  <c r="G832" i="132"/>
  <c r="H832" i="132"/>
  <c r="I832" i="132"/>
  <c r="D832" i="132"/>
  <c r="C946" i="132"/>
  <c r="C945" i="132"/>
  <c r="C944" i="132"/>
  <c r="C943" i="132"/>
  <c r="C942" i="132"/>
  <c r="C941" i="132"/>
  <c r="C940" i="132"/>
  <c r="C939" i="132"/>
  <c r="C938" i="132"/>
  <c r="C937" i="132"/>
  <c r="C936" i="132"/>
  <c r="C935" i="132"/>
  <c r="C934" i="132"/>
  <c r="C933" i="132"/>
  <c r="C932" i="132"/>
  <c r="C931" i="132"/>
  <c r="C930" i="132"/>
  <c r="C929" i="132"/>
  <c r="C928" i="132"/>
  <c r="C927" i="132"/>
  <c r="C926" i="132"/>
  <c r="C925" i="132"/>
  <c r="E481" i="132"/>
  <c r="F481" i="132"/>
  <c r="G481" i="132"/>
  <c r="E482" i="132"/>
  <c r="F482" i="132"/>
  <c r="G482" i="132"/>
  <c r="I493" i="132"/>
  <c r="I494" i="132"/>
  <c r="C494" i="132"/>
  <c r="I489" i="132"/>
  <c r="I490" i="132"/>
  <c r="I487" i="132"/>
  <c r="I488" i="132"/>
  <c r="C469" i="132"/>
  <c r="C468" i="132"/>
  <c r="I467" i="132"/>
  <c r="H467" i="132"/>
  <c r="G467" i="132"/>
  <c r="F467" i="132"/>
  <c r="E467" i="132"/>
  <c r="D467" i="132"/>
  <c r="I466" i="132"/>
  <c r="H466" i="132"/>
  <c r="G466" i="132"/>
  <c r="F466" i="132"/>
  <c r="E466" i="132"/>
  <c r="D466" i="132"/>
  <c r="I465" i="132"/>
  <c r="H465" i="132"/>
  <c r="G465" i="132"/>
  <c r="D465" i="132"/>
  <c r="I464" i="132"/>
  <c r="H464" i="132"/>
  <c r="G464" i="132"/>
  <c r="E464" i="132"/>
  <c r="D464" i="132"/>
  <c r="I463" i="132"/>
  <c r="H463" i="132"/>
  <c r="G463" i="132"/>
  <c r="D463" i="132"/>
  <c r="I462" i="132"/>
  <c r="H462" i="132"/>
  <c r="G462" i="132"/>
  <c r="F462" i="132"/>
  <c r="E462" i="132"/>
  <c r="D462" i="132"/>
  <c r="C441" i="132"/>
  <c r="C440" i="132"/>
  <c r="I439" i="132"/>
  <c r="H439" i="132"/>
  <c r="G439" i="132"/>
  <c r="F439" i="132"/>
  <c r="E439" i="132"/>
  <c r="D439" i="132"/>
  <c r="I438" i="132"/>
  <c r="H438" i="132"/>
  <c r="G438" i="132"/>
  <c r="F438" i="132"/>
  <c r="E438" i="132"/>
  <c r="D438" i="132"/>
  <c r="H436" i="132"/>
  <c r="H437" i="132"/>
  <c r="H314" i="132"/>
  <c r="H315" i="132"/>
  <c r="E314" i="132"/>
  <c r="E315" i="132"/>
  <c r="E356" i="132"/>
  <c r="E357" i="132"/>
  <c r="E350" i="132"/>
  <c r="E351" i="132"/>
  <c r="E344" i="132"/>
  <c r="E345" i="132"/>
  <c r="E342" i="132"/>
  <c r="E343" i="132"/>
  <c r="E338" i="132"/>
  <c r="E339" i="132"/>
  <c r="E334" i="132"/>
  <c r="E335" i="132"/>
  <c r="E322" i="132"/>
  <c r="E323" i="132"/>
  <c r="G286" i="132"/>
  <c r="E286" i="132"/>
  <c r="G287" i="132"/>
  <c r="E287" i="132"/>
  <c r="G285" i="132"/>
  <c r="E285" i="132"/>
  <c r="I245" i="132"/>
  <c r="E245" i="132"/>
  <c r="I246" i="132"/>
  <c r="E246" i="132"/>
  <c r="E116" i="132"/>
  <c r="E117" i="132"/>
  <c r="E150" i="132"/>
  <c r="E151" i="132"/>
  <c r="E622" i="132"/>
  <c r="F622" i="132"/>
  <c r="G622" i="132"/>
  <c r="H622" i="132"/>
  <c r="I622" i="132"/>
  <c r="D622" i="132"/>
  <c r="E623" i="132"/>
  <c r="F623" i="132"/>
  <c r="G623" i="132"/>
  <c r="H623" i="132"/>
  <c r="I623" i="132"/>
  <c r="D623" i="132"/>
  <c r="F114" i="132"/>
  <c r="G114" i="132"/>
  <c r="H114" i="132"/>
  <c r="I114" i="132"/>
  <c r="D114" i="132"/>
  <c r="F115" i="132"/>
  <c r="G115" i="132"/>
  <c r="H115" i="132"/>
  <c r="I115" i="132"/>
  <c r="D115" i="132"/>
  <c r="F342" i="132"/>
  <c r="F343" i="132"/>
  <c r="I2170" i="132"/>
  <c r="I2171" i="132"/>
  <c r="I2573" i="132"/>
  <c r="H2573" i="132"/>
  <c r="G2573" i="132"/>
  <c r="F2573" i="132"/>
  <c r="E2573" i="132"/>
  <c r="D2573" i="132"/>
  <c r="I2572" i="132"/>
  <c r="H2572" i="132"/>
  <c r="G2572" i="132"/>
  <c r="F2572" i="132"/>
  <c r="E2572" i="132"/>
  <c r="D2572" i="132"/>
  <c r="I2571" i="132"/>
  <c r="I2566" i="132"/>
  <c r="H2566" i="132"/>
  <c r="G2566" i="132"/>
  <c r="F2566" i="132"/>
  <c r="E2566" i="132"/>
  <c r="D2566" i="132"/>
  <c r="I2565" i="132"/>
  <c r="H2565" i="132"/>
  <c r="G2565" i="132"/>
  <c r="F2565" i="132"/>
  <c r="E2565" i="132"/>
  <c r="D2565" i="132"/>
  <c r="I2560" i="132"/>
  <c r="H2560" i="132"/>
  <c r="G2560" i="132"/>
  <c r="F2560" i="132"/>
  <c r="E2560" i="132"/>
  <c r="D2560" i="132"/>
  <c r="I2559" i="132"/>
  <c r="H2559" i="132"/>
  <c r="G2559" i="132"/>
  <c r="F2559" i="132"/>
  <c r="E2559" i="132"/>
  <c r="D2559" i="132"/>
  <c r="C2448" i="132"/>
  <c r="E2447" i="132"/>
  <c r="D2447" i="132"/>
  <c r="I2446" i="132"/>
  <c r="H2446" i="132"/>
  <c r="G2446" i="132"/>
  <c r="F2446" i="132"/>
  <c r="E2446" i="132"/>
  <c r="D2446" i="132"/>
  <c r="C2446" i="132"/>
  <c r="I2445" i="132"/>
  <c r="H2445" i="132"/>
  <c r="G2445" i="132"/>
  <c r="F2445" i="132"/>
  <c r="C2435" i="132"/>
  <c r="C2434" i="132"/>
  <c r="C2433" i="132"/>
  <c r="C2432" i="132"/>
  <c r="I2431" i="132"/>
  <c r="H2431" i="132"/>
  <c r="G2431" i="132"/>
  <c r="F2431" i="132"/>
  <c r="E2431" i="132"/>
  <c r="D2431" i="132"/>
  <c r="I2430" i="132"/>
  <c r="H2430" i="132"/>
  <c r="G2430" i="132"/>
  <c r="F2430" i="132"/>
  <c r="E2430" i="132"/>
  <c r="D2430" i="132"/>
  <c r="F2428" i="132"/>
  <c r="I2421" i="132"/>
  <c r="H2421" i="132"/>
  <c r="G2421" i="132"/>
  <c r="F2421" i="132"/>
  <c r="E2421" i="132"/>
  <c r="D2421" i="132"/>
  <c r="C2421" i="132"/>
  <c r="I2420" i="132"/>
  <c r="H2420" i="132"/>
  <c r="G2420" i="132"/>
  <c r="F2420" i="132"/>
  <c r="E2420" i="132"/>
  <c r="D2420" i="132"/>
  <c r="C2420" i="132"/>
  <c r="C2419" i="132"/>
  <c r="C2418" i="132"/>
  <c r="C2417" i="132"/>
  <c r="C2416" i="132"/>
  <c r="I2415" i="132"/>
  <c r="H2415" i="132"/>
  <c r="G2415" i="132"/>
  <c r="F2415" i="132"/>
  <c r="E2415" i="132"/>
  <c r="D2415" i="132"/>
  <c r="C2415" i="132"/>
  <c r="I2414" i="132"/>
  <c r="H2414" i="132"/>
  <c r="G2414" i="132"/>
  <c r="F2414" i="132"/>
  <c r="E2414" i="132"/>
  <c r="D2414" i="132"/>
  <c r="C2414" i="132"/>
  <c r="I2413" i="132"/>
  <c r="H2413" i="132"/>
  <c r="G2413" i="132"/>
  <c r="F2413" i="132"/>
  <c r="E2413" i="132"/>
  <c r="D2413" i="132"/>
  <c r="C2413" i="132"/>
  <c r="I2412" i="132"/>
  <c r="H2412" i="132"/>
  <c r="G2412" i="132"/>
  <c r="F2412" i="132"/>
  <c r="E2412" i="132"/>
  <c r="D2412" i="132"/>
  <c r="C2412" i="132"/>
  <c r="I2411" i="132"/>
  <c r="H2411" i="132"/>
  <c r="G2411" i="132"/>
  <c r="F2411" i="132"/>
  <c r="E2411" i="132"/>
  <c r="D2411" i="132"/>
  <c r="D2409" i="132" s="1"/>
  <c r="C2411" i="132"/>
  <c r="I2410" i="132"/>
  <c r="I2408" i="132" s="1"/>
  <c r="I2406" i="132" s="1"/>
  <c r="I2405" i="132"/>
  <c r="H2405" i="132"/>
  <c r="G2405" i="132"/>
  <c r="F2405" i="132"/>
  <c r="E2405" i="132"/>
  <c r="D2405" i="132"/>
  <c r="C2405" i="132"/>
  <c r="I2404" i="132"/>
  <c r="H2404" i="132"/>
  <c r="G2404" i="132"/>
  <c r="F2404" i="132"/>
  <c r="E2404" i="132"/>
  <c r="D2404" i="132"/>
  <c r="C2404" i="132"/>
  <c r="C2403" i="132"/>
  <c r="C2402" i="132"/>
  <c r="C2401" i="132"/>
  <c r="C2400" i="132"/>
  <c r="C2399" i="132"/>
  <c r="C2398" i="132"/>
  <c r="C2397" i="132"/>
  <c r="C2396" i="132"/>
  <c r="I2395" i="132"/>
  <c r="H2395" i="132"/>
  <c r="G2395" i="132"/>
  <c r="F2395" i="132"/>
  <c r="E2395" i="132"/>
  <c r="D2395" i="132"/>
  <c r="C2395" i="132"/>
  <c r="I2394" i="132"/>
  <c r="H2394" i="132"/>
  <c r="G2394" i="132"/>
  <c r="F2394" i="132"/>
  <c r="E2394" i="132"/>
  <c r="D2394" i="132"/>
  <c r="C2394" i="132"/>
  <c r="I2393" i="132"/>
  <c r="H2393" i="132"/>
  <c r="G2393" i="132"/>
  <c r="F2393" i="132"/>
  <c r="E2393" i="132"/>
  <c r="D2393" i="132"/>
  <c r="C2393" i="132"/>
  <c r="I2392" i="132"/>
  <c r="H2392" i="132"/>
  <c r="G2392" i="132"/>
  <c r="F2392" i="132"/>
  <c r="E2392" i="132"/>
  <c r="D2392" i="132"/>
  <c r="C2392" i="132"/>
  <c r="I2391" i="132"/>
  <c r="H2391" i="132"/>
  <c r="G2391" i="132"/>
  <c r="F2391" i="132"/>
  <c r="E2391" i="132"/>
  <c r="D2391" i="132"/>
  <c r="C2391" i="132"/>
  <c r="I2390" i="132"/>
  <c r="H2390" i="132"/>
  <c r="G2390" i="132"/>
  <c r="F2390" i="132"/>
  <c r="E2390" i="132"/>
  <c r="D2390" i="132"/>
  <c r="C2390" i="132"/>
  <c r="I2389" i="132"/>
  <c r="H2389" i="132"/>
  <c r="G2389" i="132"/>
  <c r="F2389" i="132"/>
  <c r="E2389" i="132"/>
  <c r="D2389" i="132"/>
  <c r="C2389" i="132"/>
  <c r="I2388" i="132"/>
  <c r="H2388" i="132"/>
  <c r="G2388" i="132"/>
  <c r="F2388" i="132"/>
  <c r="E2388" i="132"/>
  <c r="D2388" i="132"/>
  <c r="C2388" i="132"/>
  <c r="I2387" i="132"/>
  <c r="H2387" i="132"/>
  <c r="G2387" i="132"/>
  <c r="F2387" i="132"/>
  <c r="E2387" i="132"/>
  <c r="D2387" i="132"/>
  <c r="C2387" i="132"/>
  <c r="I2386" i="132"/>
  <c r="H2386" i="132"/>
  <c r="G2386" i="132"/>
  <c r="F2386" i="132"/>
  <c r="E2386" i="132"/>
  <c r="D2386" i="132"/>
  <c r="C2386" i="132"/>
  <c r="I2385" i="132"/>
  <c r="H2385" i="132"/>
  <c r="G2385" i="132"/>
  <c r="F2385" i="132"/>
  <c r="E2385" i="132"/>
  <c r="D2385" i="132"/>
  <c r="C2385" i="132"/>
  <c r="I2384" i="132"/>
  <c r="H2384" i="132"/>
  <c r="G2384" i="132"/>
  <c r="F2384" i="132"/>
  <c r="E2384" i="132"/>
  <c r="D2384" i="132"/>
  <c r="I2383" i="132"/>
  <c r="C2383" i="132"/>
  <c r="I2382" i="132"/>
  <c r="C2382" i="132"/>
  <c r="D2381" i="132"/>
  <c r="C2381" i="132"/>
  <c r="D2380" i="132"/>
  <c r="C2380" i="132"/>
  <c r="I2379" i="132"/>
  <c r="H2379" i="132"/>
  <c r="G2379" i="132"/>
  <c r="F2379" i="132"/>
  <c r="E2379" i="132"/>
  <c r="D2379" i="132"/>
  <c r="C2379" i="132"/>
  <c r="I2378" i="132"/>
  <c r="H2378" i="132"/>
  <c r="G2378" i="132"/>
  <c r="F2378" i="132"/>
  <c r="E2378" i="132"/>
  <c r="D2378" i="132"/>
  <c r="C2378" i="132"/>
  <c r="D2369" i="132"/>
  <c r="C2369" i="132"/>
  <c r="D2368" i="132"/>
  <c r="C2368" i="132"/>
  <c r="I2367" i="132"/>
  <c r="H2367" i="132"/>
  <c r="G2367" i="132"/>
  <c r="F2367" i="132"/>
  <c r="E2367" i="132"/>
  <c r="D2367" i="132"/>
  <c r="C2367" i="132"/>
  <c r="I2366" i="132"/>
  <c r="H2366" i="132"/>
  <c r="G2366" i="132"/>
  <c r="F2366" i="132"/>
  <c r="E2366" i="132"/>
  <c r="D2366" i="132"/>
  <c r="C2366" i="132"/>
  <c r="I2365" i="132"/>
  <c r="H2365" i="132"/>
  <c r="G2365" i="132"/>
  <c r="F2365" i="132"/>
  <c r="E2365" i="132"/>
  <c r="D2365" i="132"/>
  <c r="C2365" i="132"/>
  <c r="I2364" i="132"/>
  <c r="H2364" i="132"/>
  <c r="G2364" i="132"/>
  <c r="F2364" i="132"/>
  <c r="E2364" i="132"/>
  <c r="D2364" i="132"/>
  <c r="C2364" i="132"/>
  <c r="C2335" i="132"/>
  <c r="C2334" i="132"/>
  <c r="C2333" i="132"/>
  <c r="C2332" i="132"/>
  <c r="C2331" i="132"/>
  <c r="C2330" i="132"/>
  <c r="C2329" i="132"/>
  <c r="C2328" i="132"/>
  <c r="C2327" i="132"/>
  <c r="C2326" i="132"/>
  <c r="C2325" i="132"/>
  <c r="C2324" i="132"/>
  <c r="C2323" i="132"/>
  <c r="C2322" i="132"/>
  <c r="C2321" i="132"/>
  <c r="C2320" i="132"/>
  <c r="C2318" i="132"/>
  <c r="C2317" i="132"/>
  <c r="C2316" i="132"/>
  <c r="C2315" i="132"/>
  <c r="C2314" i="132"/>
  <c r="C2313" i="132"/>
  <c r="C2312" i="132"/>
  <c r="C2311" i="132"/>
  <c r="C2310" i="132"/>
  <c r="I2309" i="132"/>
  <c r="H2309" i="132"/>
  <c r="G2309" i="132"/>
  <c r="F2309" i="132"/>
  <c r="E2309" i="132"/>
  <c r="D2309" i="132"/>
  <c r="I2308" i="132"/>
  <c r="H2308" i="132"/>
  <c r="G2308" i="132"/>
  <c r="F2308" i="132"/>
  <c r="E2308" i="132"/>
  <c r="D2308" i="132"/>
  <c r="C2307" i="132"/>
  <c r="C2306" i="132"/>
  <c r="C2305" i="132"/>
  <c r="C2304" i="132"/>
  <c r="C2303" i="132"/>
  <c r="C2302" i="132"/>
  <c r="C2301" i="132"/>
  <c r="C2300" i="132"/>
  <c r="C2299" i="132"/>
  <c r="C2298" i="132"/>
  <c r="I2297" i="132"/>
  <c r="H2297" i="132"/>
  <c r="G2297" i="132"/>
  <c r="F2297" i="132"/>
  <c r="E2297" i="132"/>
  <c r="D2297" i="132"/>
  <c r="I2296" i="132"/>
  <c r="H2296" i="132"/>
  <c r="G2296" i="132"/>
  <c r="F2296" i="132"/>
  <c r="E2296" i="132"/>
  <c r="D2296" i="132"/>
  <c r="C2295" i="132"/>
  <c r="C2294" i="132"/>
  <c r="C2293" i="132"/>
  <c r="C2292" i="132"/>
  <c r="C2291" i="132"/>
  <c r="C2290" i="132"/>
  <c r="C2289" i="132"/>
  <c r="C2288" i="132"/>
  <c r="I2287" i="132"/>
  <c r="H2287" i="132"/>
  <c r="G2287" i="132"/>
  <c r="F2287" i="132"/>
  <c r="E2287" i="132"/>
  <c r="D2287" i="132"/>
  <c r="I2286" i="132"/>
  <c r="H2286" i="132"/>
  <c r="G2286" i="132"/>
  <c r="F2286" i="132"/>
  <c r="E2286" i="132"/>
  <c r="D2286" i="132"/>
  <c r="C2274" i="132"/>
  <c r="C2273" i="132"/>
  <c r="I2272" i="132"/>
  <c r="H2272" i="132"/>
  <c r="G2272" i="132"/>
  <c r="F2272" i="132"/>
  <c r="E2272" i="132"/>
  <c r="D2272" i="132"/>
  <c r="I2271" i="132"/>
  <c r="H2271" i="132"/>
  <c r="G2271" i="132"/>
  <c r="F2271" i="132"/>
  <c r="E2271" i="132"/>
  <c r="D2271" i="132"/>
  <c r="C2268" i="132"/>
  <c r="C2267" i="132"/>
  <c r="I2266" i="132"/>
  <c r="H2266" i="132"/>
  <c r="G2266" i="132"/>
  <c r="F2266" i="132"/>
  <c r="E2266" i="132"/>
  <c r="D2266" i="132"/>
  <c r="I2265" i="132"/>
  <c r="H2265" i="132"/>
  <c r="G2265" i="132"/>
  <c r="F2265" i="132"/>
  <c r="E2265" i="132"/>
  <c r="D2265" i="132"/>
  <c r="C2264" i="132"/>
  <c r="C2263" i="132"/>
  <c r="C2262" i="132"/>
  <c r="C2261" i="132"/>
  <c r="C2260" i="132"/>
  <c r="C2259" i="132"/>
  <c r="C2258" i="132"/>
  <c r="C2257" i="132"/>
  <c r="C2256" i="132"/>
  <c r="C2255" i="132"/>
  <c r="C2254" i="132"/>
  <c r="C2253" i="132"/>
  <c r="C2252" i="132"/>
  <c r="C2251" i="132"/>
  <c r="C2250" i="132"/>
  <c r="C2249" i="132"/>
  <c r="C2248" i="132"/>
  <c r="C2247" i="132"/>
  <c r="C2246" i="132"/>
  <c r="C2245" i="132"/>
  <c r="I2244" i="132"/>
  <c r="H2244" i="132"/>
  <c r="G2244" i="132"/>
  <c r="F2244" i="132"/>
  <c r="E2244" i="132"/>
  <c r="D2244" i="132"/>
  <c r="I2243" i="132"/>
  <c r="H2243" i="132"/>
  <c r="G2243" i="132"/>
  <c r="F2243" i="132"/>
  <c r="E2243" i="132"/>
  <c r="D2243" i="132"/>
  <c r="C2231" i="132"/>
  <c r="C2230" i="132"/>
  <c r="I2229" i="132"/>
  <c r="H2229" i="132"/>
  <c r="G2229" i="132"/>
  <c r="F2229" i="132"/>
  <c r="E2229" i="132"/>
  <c r="D2229" i="132"/>
  <c r="I2228" i="132"/>
  <c r="H2228" i="132"/>
  <c r="G2228" i="132"/>
  <c r="F2228" i="132"/>
  <c r="E2228" i="132"/>
  <c r="D2228" i="132"/>
  <c r="C2227" i="132"/>
  <c r="C2226" i="132"/>
  <c r="I2225" i="132"/>
  <c r="D2225" i="132"/>
  <c r="I2224" i="132"/>
  <c r="D2224" i="132"/>
  <c r="I2223" i="132"/>
  <c r="C2223" i="132"/>
  <c r="I2222" i="132"/>
  <c r="C2222" i="132"/>
  <c r="H2221" i="132"/>
  <c r="G2221" i="132"/>
  <c r="F2221" i="132"/>
  <c r="E2221" i="132"/>
  <c r="H2220" i="132"/>
  <c r="G2220" i="132"/>
  <c r="F2220" i="132"/>
  <c r="E2220" i="132"/>
  <c r="I2219" i="132"/>
  <c r="C2219" i="132"/>
  <c r="I2218" i="132"/>
  <c r="C2217" i="132"/>
  <c r="C2216" i="132"/>
  <c r="H2215" i="132"/>
  <c r="G2215" i="132"/>
  <c r="F2215" i="132"/>
  <c r="E2215" i="132"/>
  <c r="D2215" i="132"/>
  <c r="H2214" i="132"/>
  <c r="G2214" i="132"/>
  <c r="F2214" i="132"/>
  <c r="E2214" i="132"/>
  <c r="D2214" i="132"/>
  <c r="C2211" i="132"/>
  <c r="C2210" i="132"/>
  <c r="C2209" i="132"/>
  <c r="C2208" i="132"/>
  <c r="I2207" i="132"/>
  <c r="H2207" i="132"/>
  <c r="G2207" i="132"/>
  <c r="F2207" i="132"/>
  <c r="E2207" i="132"/>
  <c r="D2207" i="132"/>
  <c r="C2207" i="132"/>
  <c r="I2206" i="132"/>
  <c r="H2206" i="132"/>
  <c r="G2206" i="132"/>
  <c r="F2206" i="132"/>
  <c r="E2206" i="132"/>
  <c r="D2206" i="132"/>
  <c r="C2205" i="132"/>
  <c r="C2204" i="132"/>
  <c r="I2203" i="132"/>
  <c r="C2203" i="132"/>
  <c r="I2202" i="132"/>
  <c r="I2196" i="132" s="1"/>
  <c r="C2202" i="132"/>
  <c r="C2201" i="132"/>
  <c r="C2200" i="132"/>
  <c r="C2199" i="132"/>
  <c r="C2198" i="132"/>
  <c r="I2197" i="132"/>
  <c r="H2197" i="132"/>
  <c r="G2197" i="132"/>
  <c r="F2197" i="132"/>
  <c r="E2197" i="132"/>
  <c r="D2197" i="132"/>
  <c r="H2196" i="132"/>
  <c r="G2196" i="132"/>
  <c r="F2196" i="132"/>
  <c r="E2196" i="132"/>
  <c r="D2196" i="132"/>
  <c r="I2195" i="132"/>
  <c r="C2195" i="132"/>
  <c r="I2194" i="132"/>
  <c r="C2194" i="132"/>
  <c r="C2193" i="132"/>
  <c r="C2192" i="132"/>
  <c r="I2191" i="132"/>
  <c r="C2191" i="132"/>
  <c r="I2190" i="132"/>
  <c r="C2190" i="132"/>
  <c r="I2189" i="132"/>
  <c r="H2189" i="132"/>
  <c r="G2189" i="132"/>
  <c r="F2189" i="132"/>
  <c r="E2189" i="132"/>
  <c r="D2189" i="132"/>
  <c r="C2189" i="132"/>
  <c r="I2188" i="132"/>
  <c r="H2188" i="132"/>
  <c r="G2188" i="132"/>
  <c r="F2188" i="132"/>
  <c r="E2188" i="132"/>
  <c r="D2188" i="132"/>
  <c r="C2188" i="132"/>
  <c r="C2187" i="132"/>
  <c r="C2186" i="132"/>
  <c r="I2185" i="132"/>
  <c r="H2185" i="132"/>
  <c r="G2185" i="132"/>
  <c r="F2185" i="132"/>
  <c r="E2185" i="132"/>
  <c r="D2185" i="132"/>
  <c r="C2185" i="132"/>
  <c r="I2184" i="132"/>
  <c r="H2184" i="132"/>
  <c r="G2184" i="132"/>
  <c r="F2184" i="132"/>
  <c r="E2184" i="132"/>
  <c r="D2184" i="132"/>
  <c r="C2184" i="132"/>
  <c r="C2183" i="132"/>
  <c r="C2182" i="132"/>
  <c r="I2181" i="132"/>
  <c r="H2181" i="132"/>
  <c r="G2181" i="132"/>
  <c r="F2181" i="132"/>
  <c r="E2181" i="132"/>
  <c r="D2181" i="132"/>
  <c r="C2181" i="132"/>
  <c r="I2180" i="132"/>
  <c r="H2180" i="132"/>
  <c r="G2180" i="132"/>
  <c r="F2180" i="132"/>
  <c r="E2180" i="132"/>
  <c r="D2180" i="132"/>
  <c r="C2180" i="132"/>
  <c r="I2179" i="132"/>
  <c r="D2179" i="132"/>
  <c r="C2179" i="132"/>
  <c r="I2178" i="132"/>
  <c r="D2178" i="132"/>
  <c r="C2178" i="132"/>
  <c r="I2177" i="132"/>
  <c r="H2177" i="132"/>
  <c r="G2177" i="132"/>
  <c r="F2177" i="132"/>
  <c r="E2177" i="132"/>
  <c r="D2177" i="132"/>
  <c r="C2177" i="132"/>
  <c r="I2176" i="132"/>
  <c r="H2176" i="132"/>
  <c r="G2176" i="132"/>
  <c r="F2176" i="132"/>
  <c r="E2176" i="132"/>
  <c r="D2176" i="132"/>
  <c r="C2176" i="132"/>
  <c r="C2175" i="132"/>
  <c r="C2174" i="132"/>
  <c r="C2173" i="132"/>
  <c r="C2172" i="132"/>
  <c r="H2169" i="132"/>
  <c r="G2169" i="132"/>
  <c r="F2169" i="132"/>
  <c r="E2169" i="132"/>
  <c r="D2169" i="132"/>
  <c r="H2168" i="132"/>
  <c r="G2168" i="132"/>
  <c r="F2168" i="132"/>
  <c r="E2168" i="132"/>
  <c r="D2168" i="132"/>
  <c r="C2163" i="132"/>
  <c r="C2162" i="132"/>
  <c r="C2161" i="132"/>
  <c r="C2160" i="132"/>
  <c r="E2151" i="132"/>
  <c r="E2150" i="132"/>
  <c r="I2149" i="132"/>
  <c r="E2149" i="132"/>
  <c r="D2149" i="132"/>
  <c r="I2148" i="132"/>
  <c r="E2148" i="132"/>
  <c r="D2148" i="132"/>
  <c r="I2147" i="132"/>
  <c r="I2075" i="132" s="1"/>
  <c r="E2147" i="132"/>
  <c r="E2075" i="132" s="1"/>
  <c r="D2147" i="132"/>
  <c r="D2075" i="132" s="1"/>
  <c r="I2146" i="132"/>
  <c r="I2074" i="132" s="1"/>
  <c r="E2146" i="132"/>
  <c r="E2074" i="132" s="1"/>
  <c r="D2146" i="132"/>
  <c r="D2074" i="132" s="1"/>
  <c r="C2140" i="132"/>
  <c r="C2139" i="132"/>
  <c r="I2138" i="132"/>
  <c r="H2138" i="132"/>
  <c r="G2138" i="132"/>
  <c r="F2138" i="132"/>
  <c r="E2138" i="132"/>
  <c r="D2138" i="132"/>
  <c r="C2138" i="132"/>
  <c r="I2137" i="132"/>
  <c r="H2137" i="132"/>
  <c r="G2137" i="132"/>
  <c r="F2137" i="132"/>
  <c r="E2137" i="132"/>
  <c r="D2137" i="132"/>
  <c r="C2137" i="132"/>
  <c r="C2136" i="132"/>
  <c r="C2135" i="132"/>
  <c r="C2134" i="132"/>
  <c r="C2133" i="132"/>
  <c r="I2132" i="132"/>
  <c r="C2132" i="132"/>
  <c r="I2131" i="132"/>
  <c r="C2131" i="132"/>
  <c r="I2130" i="132"/>
  <c r="H2130" i="132"/>
  <c r="G2130" i="132"/>
  <c r="F2130" i="132"/>
  <c r="E2130" i="132"/>
  <c r="D2130" i="132"/>
  <c r="C2130" i="132"/>
  <c r="I2129" i="132"/>
  <c r="H2129" i="132"/>
  <c r="G2129" i="132"/>
  <c r="F2129" i="132"/>
  <c r="F2127" i="132" s="1"/>
  <c r="F2125" i="132" s="1"/>
  <c r="F2123" i="132" s="1"/>
  <c r="F2121" i="132" s="1"/>
  <c r="F2119" i="132" s="1"/>
  <c r="E2129" i="132"/>
  <c r="E2127" i="132" s="1"/>
  <c r="E2125" i="132" s="1"/>
  <c r="E2123" i="132" s="1"/>
  <c r="E2121" i="132" s="1"/>
  <c r="E2119" i="132" s="1"/>
  <c r="D2129" i="132"/>
  <c r="D2127" i="132" s="1"/>
  <c r="C2129" i="132"/>
  <c r="I2128" i="132"/>
  <c r="I2126" i="132" s="1"/>
  <c r="I2124" i="132" s="1"/>
  <c r="I2122" i="132" s="1"/>
  <c r="I2120" i="132" s="1"/>
  <c r="H2128" i="132"/>
  <c r="H2126" i="132" s="1"/>
  <c r="H2124" i="132" s="1"/>
  <c r="H2122" i="132" s="1"/>
  <c r="H2120" i="132" s="1"/>
  <c r="G2128" i="132"/>
  <c r="G2126" i="132" s="1"/>
  <c r="G2124" i="132" s="1"/>
  <c r="G2122" i="132" s="1"/>
  <c r="G2120" i="132" s="1"/>
  <c r="F2128" i="132"/>
  <c r="F2126" i="132" s="1"/>
  <c r="F2124" i="132" s="1"/>
  <c r="F2122" i="132" s="1"/>
  <c r="F2120" i="132" s="1"/>
  <c r="E2128" i="132"/>
  <c r="E2126" i="132" s="1"/>
  <c r="E2124" i="132" s="1"/>
  <c r="E2122" i="132" s="1"/>
  <c r="E2120" i="132" s="1"/>
  <c r="D2128" i="132"/>
  <c r="I2127" i="132"/>
  <c r="I2125" i="132" s="1"/>
  <c r="I2123" i="132" s="1"/>
  <c r="I2121" i="132" s="1"/>
  <c r="I2119" i="132" s="1"/>
  <c r="H2127" i="132"/>
  <c r="H2125" i="132" s="1"/>
  <c r="H2123" i="132" s="1"/>
  <c r="H2121" i="132" s="1"/>
  <c r="H2119" i="132" s="1"/>
  <c r="G2127" i="132"/>
  <c r="G2125" i="132" s="1"/>
  <c r="G2123" i="132" s="1"/>
  <c r="G2121" i="132" s="1"/>
  <c r="G2119" i="132" s="1"/>
  <c r="D2117" i="132"/>
  <c r="C2117" i="132"/>
  <c r="D2116" i="132"/>
  <c r="C2116" i="132"/>
  <c r="C2115" i="132"/>
  <c r="C2114" i="132"/>
  <c r="I2113" i="132"/>
  <c r="H2113" i="132"/>
  <c r="G2113" i="132"/>
  <c r="F2113" i="132"/>
  <c r="E2113" i="132"/>
  <c r="D2113" i="132"/>
  <c r="I2112" i="132"/>
  <c r="H2112" i="132"/>
  <c r="G2112" i="132"/>
  <c r="F2112" i="132"/>
  <c r="C2109" i="132"/>
  <c r="C2108" i="132"/>
  <c r="I2107" i="132"/>
  <c r="H2107" i="132"/>
  <c r="G2107" i="132"/>
  <c r="F2107" i="132"/>
  <c r="E2107" i="132"/>
  <c r="D2107" i="132"/>
  <c r="I2106" i="132"/>
  <c r="H2106" i="132"/>
  <c r="G2106" i="132"/>
  <c r="F2106" i="132"/>
  <c r="E2106" i="132"/>
  <c r="D2106" i="132"/>
  <c r="C2096" i="132"/>
  <c r="C2095" i="132"/>
  <c r="C2094" i="132"/>
  <c r="C2093" i="132"/>
  <c r="I2092" i="132"/>
  <c r="H2092" i="132"/>
  <c r="G2092" i="132"/>
  <c r="F2092" i="132"/>
  <c r="E2092" i="132"/>
  <c r="D2092" i="132"/>
  <c r="I2091" i="132"/>
  <c r="H2091" i="132"/>
  <c r="G2091" i="132"/>
  <c r="F2091" i="132"/>
  <c r="E2091" i="132"/>
  <c r="D2091" i="132"/>
  <c r="H2089" i="132"/>
  <c r="G2089" i="132"/>
  <c r="G2057" i="132"/>
  <c r="D2057" i="132"/>
  <c r="G2056" i="132"/>
  <c r="D2056" i="132"/>
  <c r="D2055" i="132"/>
  <c r="I2053" i="132"/>
  <c r="F2053" i="132"/>
  <c r="I2052" i="132"/>
  <c r="F2052" i="132"/>
  <c r="C2034" i="132"/>
  <c r="C2033" i="132"/>
  <c r="C2032" i="132"/>
  <c r="C2031" i="132"/>
  <c r="C2030" i="132"/>
  <c r="C2029" i="132"/>
  <c r="C2028" i="132"/>
  <c r="C2027" i="132"/>
  <c r="C2026" i="132"/>
  <c r="C2025" i="132"/>
  <c r="C2024" i="132"/>
  <c r="C2023" i="132"/>
  <c r="C2022" i="132"/>
  <c r="C2021" i="132"/>
  <c r="C2020" i="132"/>
  <c r="C2019" i="132"/>
  <c r="I2018" i="132"/>
  <c r="C2018" i="132"/>
  <c r="I2017" i="132"/>
  <c r="C2017" i="132"/>
  <c r="C2016" i="132"/>
  <c r="C2015" i="132"/>
  <c r="C2014" i="132"/>
  <c r="C2013" i="132"/>
  <c r="C2012" i="132"/>
  <c r="C2011" i="132"/>
  <c r="D2010" i="132"/>
  <c r="D2009" i="132"/>
  <c r="I2008" i="132"/>
  <c r="C2008" i="132"/>
  <c r="I2007" i="132"/>
  <c r="C2007" i="132"/>
  <c r="I2006" i="132"/>
  <c r="C2006" i="132"/>
  <c r="I2005" i="132"/>
  <c r="C2005" i="132"/>
  <c r="D2004" i="132"/>
  <c r="C2004" i="132"/>
  <c r="D2003" i="132"/>
  <c r="C2003" i="132"/>
  <c r="C2002" i="132"/>
  <c r="C2001" i="132"/>
  <c r="C2000" i="132"/>
  <c r="C1999" i="132"/>
  <c r="C1998" i="132"/>
  <c r="C1997" i="132"/>
  <c r="C1996" i="132"/>
  <c r="C1995" i="132"/>
  <c r="C1994" i="132"/>
  <c r="C1993" i="132"/>
  <c r="C1992" i="132"/>
  <c r="C1991" i="132"/>
  <c r="I1990" i="132"/>
  <c r="C1990" i="132"/>
  <c r="I1989" i="132"/>
  <c r="C1989" i="132"/>
  <c r="I1988" i="132"/>
  <c r="C1988" i="132"/>
  <c r="I1987" i="132"/>
  <c r="E1987" i="132"/>
  <c r="D1987" i="132"/>
  <c r="C1987" i="132"/>
  <c r="I1986" i="132"/>
  <c r="C1986" i="132"/>
  <c r="I1985" i="132"/>
  <c r="D1985" i="132"/>
  <c r="C1985" i="132"/>
  <c r="C1984" i="132"/>
  <c r="D1983" i="132"/>
  <c r="C1983" i="132"/>
  <c r="C1982" i="132"/>
  <c r="D1981" i="132"/>
  <c r="C1981" i="132"/>
  <c r="I1980" i="132"/>
  <c r="H1980" i="132"/>
  <c r="G1980" i="132"/>
  <c r="G1978" i="132" s="1"/>
  <c r="G1976" i="132" s="1"/>
  <c r="G1974" i="132" s="1"/>
  <c r="F1980" i="132"/>
  <c r="F1978" i="132" s="1"/>
  <c r="F1976" i="132" s="1"/>
  <c r="F1974" i="132" s="1"/>
  <c r="D1980" i="132"/>
  <c r="D1978" i="132" s="1"/>
  <c r="I1979" i="132"/>
  <c r="I1977" i="132" s="1"/>
  <c r="I1975" i="132" s="1"/>
  <c r="I1973" i="132" s="1"/>
  <c r="H1979" i="132"/>
  <c r="H1977" i="132" s="1"/>
  <c r="H1975" i="132" s="1"/>
  <c r="H1973" i="132" s="1"/>
  <c r="G1979" i="132"/>
  <c r="G1977" i="132" s="1"/>
  <c r="G1975" i="132" s="1"/>
  <c r="G1973" i="132" s="1"/>
  <c r="F1979" i="132"/>
  <c r="F1977" i="132" s="1"/>
  <c r="F1975" i="132" s="1"/>
  <c r="F1973" i="132" s="1"/>
  <c r="D1979" i="132"/>
  <c r="D1977" i="132" s="1"/>
  <c r="H1978" i="132"/>
  <c r="H1976" i="132" s="1"/>
  <c r="H1974" i="132" s="1"/>
  <c r="C1972" i="132"/>
  <c r="C1971" i="132"/>
  <c r="I1970" i="132"/>
  <c r="I1473" i="132" s="1"/>
  <c r="H1970" i="132"/>
  <c r="H1473" i="132" s="1"/>
  <c r="G1970" i="132"/>
  <c r="G1473" i="132" s="1"/>
  <c r="F1970" i="132"/>
  <c r="F1473" i="132" s="1"/>
  <c r="E1970" i="132"/>
  <c r="E1473" i="132" s="1"/>
  <c r="D1970" i="132"/>
  <c r="D1473" i="132" s="1"/>
  <c r="C1970" i="132"/>
  <c r="I1969" i="132"/>
  <c r="I1472" i="132" s="1"/>
  <c r="H1969" i="132"/>
  <c r="H1472" i="132" s="1"/>
  <c r="G1969" i="132"/>
  <c r="G1472" i="132" s="1"/>
  <c r="F1969" i="132"/>
  <c r="F1472" i="132" s="1"/>
  <c r="E1969" i="132"/>
  <c r="E1472" i="132" s="1"/>
  <c r="D1969" i="132"/>
  <c r="D1472" i="132" s="1"/>
  <c r="C1969" i="132"/>
  <c r="C1963" i="132"/>
  <c r="C1962" i="132"/>
  <c r="C1961" i="132"/>
  <c r="C1960" i="132"/>
  <c r="I1959" i="132"/>
  <c r="H1959" i="132"/>
  <c r="G1959" i="132"/>
  <c r="F1959" i="132"/>
  <c r="E1959" i="132"/>
  <c r="D1959" i="132"/>
  <c r="C1959" i="132"/>
  <c r="I1958" i="132"/>
  <c r="H1958" i="132"/>
  <c r="G1958" i="132"/>
  <c r="F1958" i="132"/>
  <c r="E1958" i="132"/>
  <c r="D1958" i="132"/>
  <c r="C1958" i="132"/>
  <c r="C1957" i="132"/>
  <c r="C1956" i="132"/>
  <c r="C1955" i="132"/>
  <c r="C1954" i="132"/>
  <c r="C1953" i="132"/>
  <c r="C1952" i="132"/>
  <c r="I1951" i="132"/>
  <c r="H1951" i="132"/>
  <c r="G1951" i="132"/>
  <c r="F1951" i="132"/>
  <c r="E1951" i="132"/>
  <c r="D1951" i="132"/>
  <c r="C1951" i="132"/>
  <c r="I1950" i="132"/>
  <c r="H1950" i="132"/>
  <c r="G1950" i="132"/>
  <c r="F1950" i="132"/>
  <c r="E1950" i="132"/>
  <c r="D1950" i="132"/>
  <c r="C1949" i="132"/>
  <c r="C1948" i="132"/>
  <c r="C1947" i="132"/>
  <c r="C1946" i="132"/>
  <c r="C1945" i="132"/>
  <c r="C1944" i="132"/>
  <c r="C1943" i="132"/>
  <c r="C1942" i="132"/>
  <c r="I1941" i="132"/>
  <c r="C1941" i="132"/>
  <c r="I1940" i="132"/>
  <c r="C1940" i="132"/>
  <c r="I1939" i="132"/>
  <c r="I1937" i="132" s="1"/>
  <c r="E1939" i="132"/>
  <c r="E1937" i="132" s="1"/>
  <c r="C1939" i="132"/>
  <c r="I1938" i="132"/>
  <c r="I1936" i="132" s="1"/>
  <c r="E1938" i="132"/>
  <c r="E1936" i="132" s="1"/>
  <c r="D1938" i="132"/>
  <c r="D1936" i="132" s="1"/>
  <c r="C1938" i="132"/>
  <c r="H1937" i="132"/>
  <c r="G1937" i="132"/>
  <c r="F1937" i="132"/>
  <c r="D1937" i="132"/>
  <c r="H1936" i="132"/>
  <c r="G1936" i="132"/>
  <c r="F1936" i="132"/>
  <c r="C1903" i="132"/>
  <c r="C1902" i="132"/>
  <c r="C1901" i="132"/>
  <c r="C1900" i="132"/>
  <c r="I1899" i="132"/>
  <c r="H1899" i="132"/>
  <c r="G1899" i="132"/>
  <c r="F1899" i="132"/>
  <c r="E1899" i="132"/>
  <c r="D1899" i="132"/>
  <c r="C1899" i="132"/>
  <c r="I1898" i="132"/>
  <c r="H1898" i="132"/>
  <c r="G1898" i="132"/>
  <c r="F1898" i="132"/>
  <c r="E1898" i="132"/>
  <c r="D1898" i="132"/>
  <c r="C1898" i="132"/>
  <c r="C1897" i="132"/>
  <c r="C1896" i="132"/>
  <c r="C1895" i="132"/>
  <c r="C1894" i="132"/>
  <c r="C1893" i="132"/>
  <c r="C1892" i="132"/>
  <c r="C1891" i="132"/>
  <c r="C1890" i="132"/>
  <c r="I1889" i="132"/>
  <c r="H1889" i="132"/>
  <c r="G1889" i="132"/>
  <c r="F1889" i="132"/>
  <c r="E1889" i="132"/>
  <c r="D1889" i="132"/>
  <c r="I1888" i="132"/>
  <c r="H1888" i="132"/>
  <c r="G1888" i="132"/>
  <c r="F1888" i="132"/>
  <c r="E1888" i="132"/>
  <c r="D1888" i="132"/>
  <c r="C1888" i="132"/>
  <c r="C1887" i="132"/>
  <c r="C1886" i="132"/>
  <c r="I1885" i="132"/>
  <c r="H1885" i="132"/>
  <c r="G1885" i="132"/>
  <c r="F1885" i="132"/>
  <c r="E1885" i="132"/>
  <c r="D1885" i="132"/>
  <c r="I1884" i="132"/>
  <c r="H1884" i="132"/>
  <c r="G1884" i="132"/>
  <c r="F1884" i="132"/>
  <c r="E1884" i="132"/>
  <c r="D1884" i="132"/>
  <c r="C1883" i="132"/>
  <c r="C1882" i="132"/>
  <c r="C1881" i="132"/>
  <c r="C1880" i="132"/>
  <c r="C1879" i="132"/>
  <c r="C1878" i="132"/>
  <c r="C1877" i="132"/>
  <c r="C1876" i="132"/>
  <c r="C1875" i="132"/>
  <c r="C1874" i="132"/>
  <c r="I1873" i="132"/>
  <c r="H1873" i="132"/>
  <c r="G1873" i="132"/>
  <c r="F1873" i="132"/>
  <c r="E1873" i="132"/>
  <c r="D1873" i="132"/>
  <c r="I1872" i="132"/>
  <c r="H1872" i="132"/>
  <c r="G1872" i="132"/>
  <c r="F1872" i="132"/>
  <c r="E1872" i="132"/>
  <c r="D1872" i="132"/>
  <c r="C1871" i="132"/>
  <c r="C1870" i="132"/>
  <c r="C1869" i="132"/>
  <c r="C1868" i="132"/>
  <c r="C1867" i="132"/>
  <c r="C1866" i="132"/>
  <c r="C1865" i="132"/>
  <c r="C1864" i="132"/>
  <c r="I1863" i="132"/>
  <c r="H1863" i="132"/>
  <c r="G1863" i="132"/>
  <c r="F1863" i="132"/>
  <c r="E1863" i="132"/>
  <c r="D1863" i="132"/>
  <c r="I1862" i="132"/>
  <c r="H1862" i="132"/>
  <c r="G1862" i="132"/>
  <c r="F1862" i="132"/>
  <c r="E1862" i="132"/>
  <c r="D1862" i="132"/>
  <c r="C1861" i="132"/>
  <c r="C1860" i="132"/>
  <c r="C1859" i="132"/>
  <c r="C1858" i="132"/>
  <c r="C1857" i="132"/>
  <c r="C1856" i="132"/>
  <c r="C1855" i="132"/>
  <c r="C1854" i="132"/>
  <c r="C1853" i="132"/>
  <c r="C1852" i="132"/>
  <c r="C1851" i="132"/>
  <c r="C1850" i="132"/>
  <c r="C1849" i="132"/>
  <c r="C1848" i="132"/>
  <c r="C1847" i="132"/>
  <c r="C1846" i="132"/>
  <c r="C1845" i="132"/>
  <c r="C1844" i="132"/>
  <c r="C1843" i="132"/>
  <c r="C1842" i="132"/>
  <c r="C1841" i="132"/>
  <c r="C1840" i="132"/>
  <c r="C1839" i="132"/>
  <c r="C1838" i="132"/>
  <c r="C1837" i="132"/>
  <c r="C1836" i="132"/>
  <c r="I1835" i="132"/>
  <c r="H1835" i="132"/>
  <c r="G1835" i="132"/>
  <c r="F1835" i="132"/>
  <c r="E1835" i="132"/>
  <c r="D1835" i="132"/>
  <c r="I1834" i="132"/>
  <c r="H1834" i="132"/>
  <c r="G1834" i="132"/>
  <c r="F1834" i="132"/>
  <c r="E1834" i="132"/>
  <c r="D1834" i="132"/>
  <c r="C1822" i="132"/>
  <c r="C1821" i="132"/>
  <c r="I1820" i="132"/>
  <c r="I1819" i="132"/>
  <c r="C1818" i="132"/>
  <c r="C1817" i="132"/>
  <c r="H1816" i="132"/>
  <c r="G1816" i="132"/>
  <c r="F1816" i="132"/>
  <c r="E1816" i="132"/>
  <c r="D1816" i="132"/>
  <c r="H1815" i="132"/>
  <c r="G1815" i="132"/>
  <c r="F1815" i="132"/>
  <c r="E1815" i="132"/>
  <c r="D1815" i="132"/>
  <c r="C1814" i="132"/>
  <c r="C1813" i="132"/>
  <c r="I1812" i="132"/>
  <c r="H1812" i="132"/>
  <c r="G1812" i="132"/>
  <c r="F1812" i="132"/>
  <c r="E1812" i="132"/>
  <c r="D1812" i="132"/>
  <c r="I1811" i="132"/>
  <c r="H1811" i="132"/>
  <c r="G1811" i="132"/>
  <c r="F1811" i="132"/>
  <c r="E1811" i="132"/>
  <c r="D1811" i="132"/>
  <c r="C1810" i="132"/>
  <c r="C1809" i="132"/>
  <c r="C1808" i="132"/>
  <c r="C1807" i="132"/>
  <c r="I1806" i="132"/>
  <c r="H1806" i="132"/>
  <c r="G1806" i="132"/>
  <c r="F1806" i="132"/>
  <c r="E1806" i="132"/>
  <c r="D1806" i="132"/>
  <c r="I1805" i="132"/>
  <c r="H1805" i="132"/>
  <c r="G1805" i="132"/>
  <c r="F1805" i="132"/>
  <c r="E1805" i="132"/>
  <c r="D1805" i="132"/>
  <c r="C1804" i="132"/>
  <c r="C1803" i="132"/>
  <c r="I1802" i="132"/>
  <c r="C1802" i="132"/>
  <c r="I1801" i="132"/>
  <c r="C1801" i="132"/>
  <c r="C1800" i="132"/>
  <c r="C1799" i="132"/>
  <c r="C1798" i="132"/>
  <c r="C1797" i="132"/>
  <c r="D1796" i="132"/>
  <c r="C1796" i="132"/>
  <c r="D1795" i="132"/>
  <c r="C1795" i="132"/>
  <c r="C1794" i="132"/>
  <c r="C1793" i="132"/>
  <c r="D1792" i="132"/>
  <c r="C1792" i="132" s="1"/>
  <c r="D1791" i="132"/>
  <c r="H1790" i="132"/>
  <c r="G1790" i="132"/>
  <c r="F1790" i="132"/>
  <c r="E1790" i="132"/>
  <c r="H1789" i="132"/>
  <c r="G1789" i="132"/>
  <c r="F1789" i="132"/>
  <c r="E1789" i="132"/>
  <c r="C1788" i="132"/>
  <c r="C1787" i="132"/>
  <c r="C1786" i="132"/>
  <c r="C1785" i="132"/>
  <c r="C1784" i="132"/>
  <c r="C1783" i="132"/>
  <c r="C1782" i="132"/>
  <c r="C1781" i="132"/>
  <c r="C1780" i="132"/>
  <c r="C1779" i="132"/>
  <c r="C1778" i="132"/>
  <c r="C1777" i="132"/>
  <c r="C1776" i="132"/>
  <c r="C1775" i="132"/>
  <c r="C1774" i="132"/>
  <c r="C1773" i="132"/>
  <c r="C1772" i="132"/>
  <c r="C1771" i="132"/>
  <c r="C1770" i="132"/>
  <c r="C1769" i="132"/>
  <c r="C1768" i="132"/>
  <c r="C1767" i="132"/>
  <c r="C1766" i="132"/>
  <c r="C1765" i="132"/>
  <c r="I1764" i="132"/>
  <c r="H1764" i="132"/>
  <c r="G1764" i="132"/>
  <c r="F1764" i="132"/>
  <c r="E1764" i="132"/>
  <c r="D1764" i="132"/>
  <c r="I1763" i="132"/>
  <c r="H1763" i="132"/>
  <c r="G1763" i="132"/>
  <c r="F1763" i="132"/>
  <c r="E1763" i="132"/>
  <c r="D1763" i="132"/>
  <c r="C1763" i="132" s="1"/>
  <c r="C1754" i="132"/>
  <c r="C1753" i="132"/>
  <c r="I1752" i="132"/>
  <c r="H1752" i="132"/>
  <c r="G1752" i="132"/>
  <c r="F1752" i="132"/>
  <c r="E1752" i="132"/>
  <c r="D1752" i="132"/>
  <c r="C1752" i="132"/>
  <c r="I1751" i="132"/>
  <c r="H1751" i="132"/>
  <c r="G1751" i="132"/>
  <c r="F1751" i="132"/>
  <c r="E1751" i="132"/>
  <c r="D1751" i="132"/>
  <c r="C1751" i="132"/>
  <c r="I1750" i="132"/>
  <c r="H1750" i="132"/>
  <c r="G1750" i="132"/>
  <c r="F1750" i="132"/>
  <c r="E1750" i="132"/>
  <c r="D1750" i="132"/>
  <c r="C1750" i="132"/>
  <c r="I1749" i="132"/>
  <c r="H1749" i="132"/>
  <c r="G1749" i="132"/>
  <c r="F1749" i="132"/>
  <c r="E1749" i="132"/>
  <c r="D1749" i="132"/>
  <c r="C1749" i="132"/>
  <c r="I1748" i="132"/>
  <c r="H1748" i="132"/>
  <c r="G1748" i="132"/>
  <c r="F1748" i="132"/>
  <c r="E1748" i="132"/>
  <c r="D1748" i="132"/>
  <c r="C1748" i="132"/>
  <c r="I1747" i="132"/>
  <c r="H1747" i="132"/>
  <c r="G1747" i="132"/>
  <c r="F1747" i="132"/>
  <c r="E1747" i="132"/>
  <c r="D1747" i="132"/>
  <c r="C1747" i="132"/>
  <c r="I1746" i="132"/>
  <c r="H1746" i="132"/>
  <c r="G1746" i="132"/>
  <c r="F1746" i="132"/>
  <c r="E1746" i="132"/>
  <c r="D1746" i="132"/>
  <c r="C1746" i="132" s="1"/>
  <c r="I1745" i="132"/>
  <c r="H1745" i="132"/>
  <c r="G1745" i="132"/>
  <c r="F1745" i="132"/>
  <c r="E1745" i="132"/>
  <c r="D1745" i="132"/>
  <c r="C1745" i="132"/>
  <c r="I1744" i="132"/>
  <c r="H1744" i="132"/>
  <c r="G1744" i="132"/>
  <c r="F1744" i="132"/>
  <c r="E1744" i="132"/>
  <c r="D1744" i="132"/>
  <c r="C1744" i="132"/>
  <c r="I1743" i="132"/>
  <c r="H1743" i="132"/>
  <c r="G1743" i="132"/>
  <c r="F1743" i="132"/>
  <c r="E1743" i="132"/>
  <c r="D1743" i="132"/>
  <c r="C1743" i="132"/>
  <c r="C1737" i="132"/>
  <c r="C1736" i="132"/>
  <c r="I1733" i="132"/>
  <c r="C1733" i="132"/>
  <c r="I1732" i="132"/>
  <c r="C1732" i="132"/>
  <c r="I1731" i="132"/>
  <c r="H1731" i="132"/>
  <c r="G1731" i="132"/>
  <c r="F1731" i="132"/>
  <c r="E1731" i="132"/>
  <c r="D1731" i="132"/>
  <c r="C1731" i="132"/>
  <c r="I1730" i="132"/>
  <c r="H1730" i="132"/>
  <c r="G1730" i="132"/>
  <c r="F1730" i="132"/>
  <c r="E1730" i="132"/>
  <c r="D1730" i="132"/>
  <c r="C1730" i="132"/>
  <c r="C1729" i="132"/>
  <c r="C1728" i="132"/>
  <c r="C1727" i="132"/>
  <c r="C1726" i="132"/>
  <c r="I1725" i="132"/>
  <c r="H1725" i="132"/>
  <c r="G1725" i="132"/>
  <c r="F1725" i="132"/>
  <c r="E1725" i="132"/>
  <c r="D1725" i="132"/>
  <c r="C1725" i="132"/>
  <c r="I1724" i="132"/>
  <c r="H1724" i="132"/>
  <c r="G1724" i="132"/>
  <c r="F1724" i="132"/>
  <c r="E1724" i="132"/>
  <c r="D1724" i="132"/>
  <c r="C1724" i="132" s="1"/>
  <c r="C1723" i="132"/>
  <c r="C1722" i="132"/>
  <c r="C1721" i="132"/>
  <c r="C1720" i="132"/>
  <c r="C1719" i="132"/>
  <c r="C1718" i="132"/>
  <c r="I1717" i="132"/>
  <c r="C1717" i="132"/>
  <c r="I1716" i="132"/>
  <c r="C1716" i="132"/>
  <c r="I1715" i="132"/>
  <c r="H1715" i="132"/>
  <c r="G1715" i="132"/>
  <c r="F1715" i="132"/>
  <c r="E1715" i="132"/>
  <c r="D1715" i="132"/>
  <c r="C1715" i="132" s="1"/>
  <c r="I1714" i="132"/>
  <c r="H1714" i="132"/>
  <c r="G1714" i="132"/>
  <c r="F1714" i="132"/>
  <c r="E1714" i="132"/>
  <c r="D1714" i="132"/>
  <c r="C1714" i="132"/>
  <c r="C1713" i="132"/>
  <c r="C1712" i="132"/>
  <c r="C1711" i="132"/>
  <c r="C1710" i="132"/>
  <c r="C1709" i="132"/>
  <c r="C1708" i="132"/>
  <c r="C1707" i="132"/>
  <c r="C1706" i="132"/>
  <c r="C1705" i="132"/>
  <c r="C1704" i="132"/>
  <c r="I1703" i="132"/>
  <c r="H1703" i="132"/>
  <c r="G1703" i="132"/>
  <c r="F1703" i="132"/>
  <c r="E1703" i="132"/>
  <c r="D1703" i="132"/>
  <c r="C1703" i="132" s="1"/>
  <c r="I1702" i="132"/>
  <c r="H1702" i="132"/>
  <c r="G1702" i="132"/>
  <c r="F1702" i="132"/>
  <c r="E1702" i="132"/>
  <c r="D1702" i="132"/>
  <c r="C1701" i="132"/>
  <c r="C1700" i="132"/>
  <c r="C1699" i="132"/>
  <c r="C1698" i="132"/>
  <c r="C1697" i="132"/>
  <c r="C1696" i="132"/>
  <c r="I1695" i="132"/>
  <c r="H1695" i="132"/>
  <c r="G1695" i="132"/>
  <c r="F1695" i="132"/>
  <c r="E1695" i="132"/>
  <c r="D1695" i="132"/>
  <c r="C1695" i="132"/>
  <c r="I1694" i="132"/>
  <c r="H1694" i="132"/>
  <c r="G1694" i="132"/>
  <c r="F1694" i="132"/>
  <c r="E1694" i="132"/>
  <c r="D1694" i="132"/>
  <c r="C1694" i="132"/>
  <c r="C1693" i="132"/>
  <c r="C1692" i="132"/>
  <c r="I1691" i="132"/>
  <c r="I1679" i="132" s="1"/>
  <c r="C1691" i="132"/>
  <c r="I1690" i="132"/>
  <c r="I1678" i="132" s="1"/>
  <c r="C1690" i="132"/>
  <c r="C1689" i="132"/>
  <c r="C1688" i="132"/>
  <c r="C1687" i="132"/>
  <c r="C1686" i="132"/>
  <c r="D1685" i="132"/>
  <c r="C1685" i="132"/>
  <c r="D1684" i="132"/>
  <c r="C1683" i="132"/>
  <c r="C1682" i="132"/>
  <c r="D1681" i="132"/>
  <c r="C1681" i="132"/>
  <c r="D1680" i="132"/>
  <c r="C1680" i="132"/>
  <c r="H1679" i="132"/>
  <c r="G1679" i="132"/>
  <c r="F1679" i="132"/>
  <c r="E1679" i="132"/>
  <c r="H1678" i="132"/>
  <c r="G1678" i="132"/>
  <c r="F1678" i="132"/>
  <c r="E1678" i="132"/>
  <c r="C1677" i="132"/>
  <c r="C1676" i="132"/>
  <c r="C1675" i="132"/>
  <c r="C1674" i="132"/>
  <c r="C1673" i="132"/>
  <c r="C1672" i="132"/>
  <c r="C1671" i="132"/>
  <c r="C1670" i="132"/>
  <c r="C1669" i="132"/>
  <c r="C1668" i="132"/>
  <c r="C1667" i="132"/>
  <c r="C1666" i="132"/>
  <c r="C1665" i="132"/>
  <c r="C1664" i="132"/>
  <c r="C1663" i="132"/>
  <c r="C1662" i="132"/>
  <c r="C1661" i="132"/>
  <c r="C1660" i="132"/>
  <c r="C1658" i="132"/>
  <c r="C1657" i="132"/>
  <c r="I1656" i="132"/>
  <c r="D1656" i="132"/>
  <c r="C1656" i="132"/>
  <c r="I1655" i="132"/>
  <c r="H1655" i="132"/>
  <c r="G1655" i="132"/>
  <c r="F1655" i="132"/>
  <c r="E1655" i="132"/>
  <c r="D1655" i="132"/>
  <c r="C1655" i="132" s="1"/>
  <c r="I1654" i="132"/>
  <c r="H1654" i="132"/>
  <c r="G1654" i="132"/>
  <c r="F1654" i="132"/>
  <c r="E1654" i="132"/>
  <c r="D1654" i="132"/>
  <c r="C1654" i="132" s="1"/>
  <c r="C1651" i="132"/>
  <c r="C1650" i="132"/>
  <c r="C1649" i="132"/>
  <c r="C1648" i="132"/>
  <c r="C1647" i="132"/>
  <c r="C1646" i="132"/>
  <c r="I1645" i="132"/>
  <c r="C1645" i="132"/>
  <c r="I1644" i="132"/>
  <c r="C1644" i="132"/>
  <c r="C1643" i="132"/>
  <c r="C1642" i="132"/>
  <c r="C1641" i="132"/>
  <c r="C1640" i="132"/>
  <c r="C1639" i="132"/>
  <c r="C1638" i="132"/>
  <c r="I1637" i="132"/>
  <c r="C1637" i="132"/>
  <c r="I1636" i="132"/>
  <c r="C1636" i="132"/>
  <c r="C1635" i="132"/>
  <c r="C1634" i="132"/>
  <c r="C1633" i="132"/>
  <c r="C1632" i="132"/>
  <c r="C1631" i="132"/>
  <c r="C1630" i="132"/>
  <c r="C1629" i="132"/>
  <c r="C1628" i="132"/>
  <c r="C1627" i="132"/>
  <c r="C1626" i="132"/>
  <c r="I1625" i="132"/>
  <c r="C1625" i="132"/>
  <c r="I1624" i="132"/>
  <c r="C1624" i="132"/>
  <c r="I1623" i="132"/>
  <c r="C1623" i="132"/>
  <c r="I1622" i="132"/>
  <c r="C1622" i="132"/>
  <c r="C1621" i="132"/>
  <c r="C1620" i="132"/>
  <c r="C1619" i="132"/>
  <c r="C1618" i="132"/>
  <c r="I1617" i="132"/>
  <c r="C1617" i="132"/>
  <c r="I1616" i="132"/>
  <c r="C1615" i="132"/>
  <c r="C1614" i="132"/>
  <c r="C1613" i="132"/>
  <c r="C1612" i="132"/>
  <c r="C1611" i="132"/>
  <c r="I1610" i="132"/>
  <c r="E1610" i="132"/>
  <c r="D1610" i="132"/>
  <c r="C1594" i="132"/>
  <c r="C1593" i="132"/>
  <c r="I1592" i="132"/>
  <c r="H1592" i="132"/>
  <c r="G1592" i="132"/>
  <c r="F1592" i="132"/>
  <c r="E1592" i="132"/>
  <c r="D1592" i="132"/>
  <c r="I1591" i="132"/>
  <c r="H1591" i="132"/>
  <c r="G1591" i="132"/>
  <c r="F1591" i="132"/>
  <c r="E1591" i="132"/>
  <c r="D1591" i="132"/>
  <c r="C1579" i="132"/>
  <c r="C1578" i="132"/>
  <c r="C1577" i="132"/>
  <c r="C1576" i="132"/>
  <c r="I1575" i="132"/>
  <c r="H1575" i="132"/>
  <c r="G1575" i="132"/>
  <c r="F1575" i="132"/>
  <c r="E1575" i="132"/>
  <c r="D1575" i="132"/>
  <c r="I1574" i="132"/>
  <c r="H1574" i="132"/>
  <c r="G1574" i="132"/>
  <c r="F1574" i="132"/>
  <c r="E1574" i="132"/>
  <c r="D1574" i="132"/>
  <c r="C1574" i="132"/>
  <c r="C1573" i="132"/>
  <c r="C1572" i="132"/>
  <c r="I1571" i="132"/>
  <c r="H1571" i="132"/>
  <c r="G1571" i="132"/>
  <c r="F1571" i="132"/>
  <c r="E1571" i="132"/>
  <c r="D1571" i="132"/>
  <c r="C1571" i="132"/>
  <c r="I1570" i="132"/>
  <c r="H1570" i="132"/>
  <c r="G1570" i="132"/>
  <c r="F1570" i="132"/>
  <c r="E1570" i="132"/>
  <c r="D1570" i="132"/>
  <c r="C1552" i="132"/>
  <c r="C1551" i="132"/>
  <c r="C1550" i="132"/>
  <c r="C1549" i="132"/>
  <c r="C1548" i="132"/>
  <c r="C1547" i="132"/>
  <c r="C1546" i="132"/>
  <c r="C1545" i="132"/>
  <c r="C1544" i="132"/>
  <c r="C1543" i="132"/>
  <c r="C1542" i="132"/>
  <c r="C1541" i="132"/>
  <c r="C1538" i="132"/>
  <c r="C1537" i="132"/>
  <c r="C1536" i="132"/>
  <c r="C1535" i="132"/>
  <c r="C1534" i="132"/>
  <c r="C1533" i="132"/>
  <c r="C1532" i="132"/>
  <c r="C1531" i="132"/>
  <c r="C1530" i="132"/>
  <c r="C1529" i="132"/>
  <c r="C1528" i="132"/>
  <c r="C1527" i="132"/>
  <c r="C1526" i="132"/>
  <c r="C1525" i="132"/>
  <c r="C1524" i="132"/>
  <c r="C1523" i="132"/>
  <c r="C1522" i="132"/>
  <c r="C1521" i="132"/>
  <c r="C1520" i="132"/>
  <c r="C1519" i="132"/>
  <c r="C1518" i="132"/>
  <c r="C1517" i="132"/>
  <c r="C1516" i="132"/>
  <c r="C1515" i="132"/>
  <c r="C1514" i="132"/>
  <c r="C1513" i="132"/>
  <c r="C1512" i="132"/>
  <c r="C1511" i="132"/>
  <c r="C1510" i="132"/>
  <c r="C1509" i="132"/>
  <c r="I1508" i="132"/>
  <c r="C1508" i="132"/>
  <c r="I1507" i="132"/>
  <c r="C1507" i="132"/>
  <c r="I1506" i="132"/>
  <c r="C1506" i="132"/>
  <c r="I1505" i="132"/>
  <c r="D1505" i="132"/>
  <c r="C1505" i="132"/>
  <c r="I1504" i="132"/>
  <c r="D1504" i="132"/>
  <c r="C1504" i="132"/>
  <c r="I1503" i="132"/>
  <c r="D1503" i="132"/>
  <c r="C1503" i="132"/>
  <c r="C1502" i="132"/>
  <c r="C1501" i="132"/>
  <c r="C1500" i="132"/>
  <c r="C1499" i="132"/>
  <c r="C1465" i="132"/>
  <c r="C1464" i="132"/>
  <c r="I1463" i="132"/>
  <c r="H1463" i="132"/>
  <c r="G1463" i="132"/>
  <c r="F1463" i="132"/>
  <c r="E1463" i="132"/>
  <c r="D1463" i="132"/>
  <c r="C1463" i="132"/>
  <c r="I1462" i="132"/>
  <c r="H1462" i="132"/>
  <c r="G1462" i="132"/>
  <c r="F1462" i="132"/>
  <c r="E1462" i="132"/>
  <c r="D1462" i="132"/>
  <c r="C1462" i="132"/>
  <c r="I1461" i="132"/>
  <c r="H1461" i="132"/>
  <c r="G1461" i="132"/>
  <c r="F1461" i="132"/>
  <c r="E1461" i="132"/>
  <c r="D1461" i="132"/>
  <c r="C1461" i="132"/>
  <c r="I1460" i="132"/>
  <c r="H1460" i="132"/>
  <c r="G1460" i="132"/>
  <c r="F1460" i="132"/>
  <c r="E1460" i="132"/>
  <c r="D1460" i="132"/>
  <c r="C1460" i="132"/>
  <c r="I1459" i="132"/>
  <c r="H1459" i="132"/>
  <c r="G1459" i="132"/>
  <c r="F1459" i="132"/>
  <c r="E1459" i="132"/>
  <c r="D1459" i="132"/>
  <c r="C1459" i="132"/>
  <c r="I1458" i="132"/>
  <c r="H1458" i="132"/>
  <c r="G1458" i="132"/>
  <c r="F1458" i="132"/>
  <c r="E1458" i="132"/>
  <c r="D1458" i="132"/>
  <c r="C1458" i="132"/>
  <c r="I1457" i="132"/>
  <c r="H1457" i="132"/>
  <c r="G1457" i="132"/>
  <c r="F1457" i="132"/>
  <c r="E1457" i="132"/>
  <c r="D1457" i="132"/>
  <c r="C1457" i="132"/>
  <c r="I1456" i="132"/>
  <c r="H1456" i="132"/>
  <c r="G1456" i="132"/>
  <c r="F1456" i="132"/>
  <c r="E1456" i="132"/>
  <c r="D1456" i="132"/>
  <c r="C1456" i="132"/>
  <c r="I1455" i="132"/>
  <c r="H1455" i="132"/>
  <c r="G1455" i="132"/>
  <c r="F1455" i="132"/>
  <c r="E1455" i="132"/>
  <c r="D1455" i="132"/>
  <c r="C1455" i="132"/>
  <c r="I1454" i="132"/>
  <c r="H1454" i="132"/>
  <c r="G1454" i="132"/>
  <c r="F1454" i="132"/>
  <c r="E1454" i="132"/>
  <c r="D1454" i="132"/>
  <c r="C1454" i="132"/>
  <c r="C1452" i="132"/>
  <c r="C1451" i="132"/>
  <c r="C1450" i="132"/>
  <c r="C1449" i="132"/>
  <c r="I1448" i="132"/>
  <c r="H1448" i="132"/>
  <c r="G1448" i="132"/>
  <c r="F1448" i="132"/>
  <c r="E1448" i="132"/>
  <c r="D1448" i="132"/>
  <c r="I1447" i="132"/>
  <c r="H1447" i="132"/>
  <c r="G1447" i="132"/>
  <c r="F1447" i="132"/>
  <c r="E1447" i="132"/>
  <c r="D1447" i="132"/>
  <c r="C1446" i="132"/>
  <c r="C1445" i="132"/>
  <c r="I1444" i="132"/>
  <c r="H1444" i="132"/>
  <c r="G1444" i="132"/>
  <c r="F1444" i="132"/>
  <c r="E1444" i="132"/>
  <c r="D1444" i="132"/>
  <c r="C1444" i="132"/>
  <c r="I1443" i="132"/>
  <c r="H1443" i="132"/>
  <c r="G1443" i="132"/>
  <c r="F1443" i="132"/>
  <c r="E1443" i="132"/>
  <c r="D1443" i="132"/>
  <c r="C1443" i="132"/>
  <c r="C1440" i="132"/>
  <c r="C1439" i="132"/>
  <c r="C1438" i="132"/>
  <c r="C1437" i="132"/>
  <c r="C1436" i="132"/>
  <c r="C1435" i="132"/>
  <c r="C1434" i="132"/>
  <c r="C1433" i="132"/>
  <c r="C1432" i="132"/>
  <c r="C1431" i="132"/>
  <c r="C1430" i="132"/>
  <c r="C1429" i="132"/>
  <c r="C1428" i="132"/>
  <c r="C1427" i="132"/>
  <c r="C1426" i="132"/>
  <c r="C1425" i="132"/>
  <c r="I1424" i="132"/>
  <c r="H1424" i="132"/>
  <c r="G1424" i="132"/>
  <c r="F1424" i="132"/>
  <c r="E1424" i="132"/>
  <c r="D1424" i="132"/>
  <c r="C1424" i="132"/>
  <c r="I1423" i="132"/>
  <c r="H1423" i="132"/>
  <c r="G1423" i="132"/>
  <c r="F1423" i="132"/>
  <c r="E1423" i="132"/>
  <c r="D1423" i="132"/>
  <c r="C1423" i="132"/>
  <c r="I1422" i="132"/>
  <c r="H1422" i="132"/>
  <c r="G1422" i="132"/>
  <c r="F1422" i="132"/>
  <c r="E1422" i="132"/>
  <c r="D1422" i="132"/>
  <c r="C1422" i="132"/>
  <c r="I1421" i="132"/>
  <c r="H1421" i="132"/>
  <c r="G1421" i="132"/>
  <c r="F1421" i="132"/>
  <c r="E1421" i="132"/>
  <c r="D1421" i="132"/>
  <c r="C1421" i="132"/>
  <c r="C1420" i="132"/>
  <c r="C1419" i="132"/>
  <c r="C1418" i="132"/>
  <c r="C1417" i="132"/>
  <c r="C1416" i="132"/>
  <c r="C1415" i="132"/>
  <c r="I1414" i="132"/>
  <c r="H1414" i="132"/>
  <c r="G1414" i="132"/>
  <c r="F1414" i="132"/>
  <c r="E1414" i="132"/>
  <c r="D1414" i="132"/>
  <c r="C1414" i="132"/>
  <c r="I1413" i="132"/>
  <c r="H1413" i="132"/>
  <c r="G1413" i="132"/>
  <c r="F1413" i="132"/>
  <c r="E1413" i="132"/>
  <c r="D1413" i="132"/>
  <c r="C1413" i="132"/>
  <c r="C1412" i="132"/>
  <c r="C1411" i="132"/>
  <c r="C1410" i="132"/>
  <c r="C1409" i="132"/>
  <c r="I1408" i="132"/>
  <c r="H1408" i="132"/>
  <c r="G1408" i="132"/>
  <c r="F1408" i="132"/>
  <c r="E1408" i="132"/>
  <c r="D1408" i="132"/>
  <c r="C1408" i="132"/>
  <c r="I1407" i="132"/>
  <c r="H1407" i="132"/>
  <c r="G1407" i="132"/>
  <c r="F1407" i="132"/>
  <c r="E1407" i="132"/>
  <c r="D1407" i="132"/>
  <c r="C1407" i="132"/>
  <c r="C1406" i="132"/>
  <c r="C1405" i="132"/>
  <c r="C1404" i="132"/>
  <c r="C1403" i="132"/>
  <c r="C1402" i="132"/>
  <c r="C1401" i="132"/>
  <c r="C1400" i="132"/>
  <c r="C1399" i="132"/>
  <c r="C1398" i="132"/>
  <c r="C1397" i="132"/>
  <c r="I1396" i="132"/>
  <c r="H1396" i="132"/>
  <c r="G1396" i="132"/>
  <c r="F1396" i="132"/>
  <c r="E1396" i="132"/>
  <c r="D1396" i="132"/>
  <c r="C1396" i="132"/>
  <c r="I1395" i="132"/>
  <c r="H1395" i="132"/>
  <c r="G1395" i="132"/>
  <c r="F1395" i="132"/>
  <c r="E1395" i="132"/>
  <c r="D1395" i="132"/>
  <c r="C1394" i="132"/>
  <c r="C1393" i="132"/>
  <c r="C1392" i="132"/>
  <c r="C1391" i="132"/>
  <c r="I1390" i="132"/>
  <c r="H1390" i="132"/>
  <c r="G1390" i="132"/>
  <c r="F1390" i="132"/>
  <c r="E1390" i="132"/>
  <c r="D1390" i="132"/>
  <c r="I1389" i="132"/>
  <c r="H1389" i="132"/>
  <c r="G1389" i="132"/>
  <c r="F1389" i="132"/>
  <c r="E1389" i="132"/>
  <c r="D1389" i="132"/>
  <c r="C1389" i="132"/>
  <c r="I1380" i="132"/>
  <c r="I1379" i="132"/>
  <c r="C1379" i="132"/>
  <c r="C1378" i="132"/>
  <c r="C1377" i="132"/>
  <c r="C1376" i="132"/>
  <c r="C1375" i="132"/>
  <c r="H1374" i="132"/>
  <c r="G1374" i="132"/>
  <c r="F1374" i="132"/>
  <c r="E1374" i="132"/>
  <c r="D1374" i="132"/>
  <c r="H1373" i="132"/>
  <c r="G1373" i="132"/>
  <c r="F1373" i="132"/>
  <c r="E1373" i="132"/>
  <c r="D1373" i="132"/>
  <c r="C1370" i="132"/>
  <c r="C1369" i="132"/>
  <c r="I1368" i="132"/>
  <c r="H1368" i="132"/>
  <c r="G1368" i="132"/>
  <c r="F1368" i="132"/>
  <c r="E1368" i="132"/>
  <c r="D1368" i="132"/>
  <c r="I1367" i="132"/>
  <c r="H1367" i="132"/>
  <c r="G1367" i="132"/>
  <c r="F1367" i="132"/>
  <c r="E1367" i="132"/>
  <c r="D1367" i="132"/>
  <c r="C1366" i="132"/>
  <c r="C1365" i="132"/>
  <c r="D1364" i="132"/>
  <c r="D1363" i="132"/>
  <c r="I1362" i="132"/>
  <c r="H1362" i="132"/>
  <c r="G1362" i="132"/>
  <c r="F1362" i="132"/>
  <c r="E1362" i="132"/>
  <c r="I1361" i="132"/>
  <c r="H1361" i="132"/>
  <c r="G1361" i="132"/>
  <c r="F1361" i="132"/>
  <c r="E1361" i="132"/>
  <c r="C1349" i="132"/>
  <c r="C1348" i="132"/>
  <c r="C1347" i="132"/>
  <c r="C1346" i="132"/>
  <c r="I1345" i="132"/>
  <c r="H1345" i="132"/>
  <c r="G1345" i="132"/>
  <c r="F1345" i="132"/>
  <c r="E1345" i="132"/>
  <c r="D1345" i="132"/>
  <c r="I1344" i="132"/>
  <c r="H1344" i="132"/>
  <c r="G1344" i="132"/>
  <c r="F1344" i="132"/>
  <c r="E1344" i="132"/>
  <c r="D1344" i="132"/>
  <c r="C1343" i="132"/>
  <c r="C1342" i="132"/>
  <c r="C1341" i="132"/>
  <c r="C1340" i="132"/>
  <c r="C1339" i="132"/>
  <c r="C1338" i="132"/>
  <c r="C1337" i="132"/>
  <c r="C1336" i="132"/>
  <c r="C1335" i="132"/>
  <c r="C1334" i="132"/>
  <c r="C1333" i="132"/>
  <c r="C1332" i="132"/>
  <c r="C1331" i="132"/>
  <c r="C1330" i="132"/>
  <c r="C1329" i="132"/>
  <c r="C1328" i="132"/>
  <c r="C1327" i="132"/>
  <c r="C1326" i="132"/>
  <c r="I1325" i="132"/>
  <c r="H1325" i="132"/>
  <c r="G1325" i="132"/>
  <c r="F1325" i="132"/>
  <c r="E1325" i="132"/>
  <c r="D1325" i="132"/>
  <c r="I1324" i="132"/>
  <c r="H1324" i="132"/>
  <c r="G1324" i="132"/>
  <c r="F1324" i="132"/>
  <c r="E1324" i="132"/>
  <c r="D1324" i="132"/>
  <c r="C1324" i="132" s="1"/>
  <c r="C1321" i="132"/>
  <c r="C1320" i="132"/>
  <c r="I1319" i="132"/>
  <c r="H1319" i="132"/>
  <c r="G1319" i="132"/>
  <c r="F1319" i="132"/>
  <c r="E1319" i="132"/>
  <c r="D1319" i="132"/>
  <c r="C1319" i="132"/>
  <c r="I1318" i="132"/>
  <c r="H1318" i="132"/>
  <c r="G1318" i="132"/>
  <c r="F1318" i="132"/>
  <c r="E1318" i="132"/>
  <c r="D1318" i="132"/>
  <c r="C1318" i="132" s="1"/>
  <c r="I1317" i="132"/>
  <c r="H1317" i="132"/>
  <c r="G1317" i="132"/>
  <c r="F1317" i="132"/>
  <c r="E1317" i="132"/>
  <c r="D1317" i="132"/>
  <c r="C1317" i="132"/>
  <c r="I1316" i="132"/>
  <c r="H1316" i="132"/>
  <c r="G1316" i="132"/>
  <c r="F1316" i="132"/>
  <c r="E1316" i="132"/>
  <c r="D1316" i="132"/>
  <c r="C1316" i="132"/>
  <c r="C1315" i="132"/>
  <c r="C1314" i="132"/>
  <c r="C1313" i="132"/>
  <c r="C1312" i="132"/>
  <c r="C1311" i="132"/>
  <c r="C1310" i="132"/>
  <c r="C1309" i="132"/>
  <c r="C1308" i="132"/>
  <c r="C1307" i="132"/>
  <c r="C1306" i="132"/>
  <c r="C1305" i="132"/>
  <c r="C1304" i="132"/>
  <c r="C1303" i="132"/>
  <c r="C1302" i="132"/>
  <c r="I1301" i="132"/>
  <c r="H1301" i="132"/>
  <c r="G1301" i="132"/>
  <c r="F1301" i="132"/>
  <c r="E1301" i="132"/>
  <c r="D1301" i="132"/>
  <c r="C1301" i="132" s="1"/>
  <c r="I1300" i="132"/>
  <c r="H1300" i="132"/>
  <c r="G1300" i="132"/>
  <c r="F1300" i="132"/>
  <c r="E1300" i="132"/>
  <c r="D1300" i="132"/>
  <c r="C1300" i="132" s="1"/>
  <c r="C1299" i="132"/>
  <c r="C1298" i="132"/>
  <c r="C1297" i="132"/>
  <c r="C1296" i="132"/>
  <c r="C1295" i="132"/>
  <c r="C1294" i="132"/>
  <c r="C1293" i="132"/>
  <c r="C1292" i="132"/>
  <c r="I1291" i="132"/>
  <c r="H1291" i="132"/>
  <c r="G1291" i="132"/>
  <c r="F1291" i="132"/>
  <c r="E1291" i="132"/>
  <c r="D1291" i="132"/>
  <c r="I1290" i="132"/>
  <c r="H1290" i="132"/>
  <c r="G1290" i="132"/>
  <c r="F1290" i="132"/>
  <c r="E1290" i="132"/>
  <c r="D1290" i="132"/>
  <c r="C1290" i="132"/>
  <c r="C1289" i="132"/>
  <c r="C1288" i="132"/>
  <c r="C1287" i="132"/>
  <c r="C1286" i="132"/>
  <c r="C1285" i="132"/>
  <c r="C1284" i="132"/>
  <c r="C1283" i="132"/>
  <c r="C1282" i="132"/>
  <c r="C1281" i="132"/>
  <c r="C1280" i="132"/>
  <c r="C1279" i="132"/>
  <c r="C1278" i="132"/>
  <c r="C1277" i="132"/>
  <c r="C1276" i="132"/>
  <c r="C1275" i="132"/>
  <c r="C1274" i="132"/>
  <c r="C1273" i="132"/>
  <c r="C1272" i="132"/>
  <c r="C1271" i="132"/>
  <c r="C1270" i="132"/>
  <c r="C1269" i="132"/>
  <c r="C1268" i="132"/>
  <c r="C1267" i="132"/>
  <c r="C1266" i="132"/>
  <c r="C1265" i="132"/>
  <c r="C1264" i="132"/>
  <c r="C1263" i="132"/>
  <c r="C1262" i="132"/>
  <c r="C1261" i="132"/>
  <c r="C1260" i="132"/>
  <c r="C1259" i="132"/>
  <c r="C1258" i="132"/>
  <c r="C1257" i="132"/>
  <c r="C1256" i="132"/>
  <c r="C1255" i="132"/>
  <c r="C1254" i="132"/>
  <c r="C1253" i="132"/>
  <c r="C1252" i="132"/>
  <c r="C1251" i="132"/>
  <c r="C1250" i="132"/>
  <c r="C1249" i="132"/>
  <c r="C1248" i="132"/>
  <c r="C1247" i="132"/>
  <c r="C1246" i="132"/>
  <c r="C1245" i="132"/>
  <c r="C1244" i="132"/>
  <c r="I1243" i="132"/>
  <c r="H1243" i="132"/>
  <c r="G1243" i="132"/>
  <c r="F1243" i="132"/>
  <c r="E1243" i="132"/>
  <c r="D1243" i="132"/>
  <c r="C1243" i="132" s="1"/>
  <c r="I1242" i="132"/>
  <c r="H1242" i="132"/>
  <c r="G1242" i="132"/>
  <c r="F1242" i="132"/>
  <c r="E1242" i="132"/>
  <c r="D1242" i="132"/>
  <c r="C1242" i="132" s="1"/>
  <c r="C1241" i="132"/>
  <c r="C1240" i="132"/>
  <c r="C1239" i="132"/>
  <c r="C1238" i="132"/>
  <c r="C1237" i="132"/>
  <c r="C1236" i="132"/>
  <c r="C1235" i="132"/>
  <c r="C1234" i="132"/>
  <c r="C1233" i="132"/>
  <c r="C1232" i="132"/>
  <c r="C1231" i="132"/>
  <c r="C1230" i="132"/>
  <c r="C1229" i="132"/>
  <c r="C1228" i="132"/>
  <c r="C1227" i="132"/>
  <c r="C1226" i="132"/>
  <c r="C1225" i="132"/>
  <c r="C1224" i="132"/>
  <c r="C1223" i="132"/>
  <c r="C1222" i="132"/>
  <c r="C1221" i="132"/>
  <c r="C1220" i="132"/>
  <c r="C1219" i="132"/>
  <c r="C1218" i="132"/>
  <c r="C1217" i="132"/>
  <c r="C1216" i="132"/>
  <c r="C1215" i="132"/>
  <c r="C1214" i="132"/>
  <c r="C1213" i="132"/>
  <c r="C1212" i="132"/>
  <c r="C1211" i="132"/>
  <c r="C1210" i="132"/>
  <c r="C1209" i="132"/>
  <c r="C1208" i="132"/>
  <c r="I1207" i="132"/>
  <c r="H1207" i="132"/>
  <c r="G1207" i="132"/>
  <c r="F1207" i="132"/>
  <c r="I1206" i="132"/>
  <c r="H1206" i="132"/>
  <c r="G1206" i="132"/>
  <c r="F1206" i="132"/>
  <c r="C1205" i="132"/>
  <c r="C1204" i="132"/>
  <c r="I1203" i="132"/>
  <c r="H1203" i="132"/>
  <c r="G1203" i="132"/>
  <c r="F1203" i="132"/>
  <c r="C1203" i="132"/>
  <c r="I1202" i="132"/>
  <c r="H1202" i="132"/>
  <c r="G1202" i="132"/>
  <c r="F1202" i="132"/>
  <c r="C1202" i="132"/>
  <c r="C1201" i="132"/>
  <c r="C1200" i="132"/>
  <c r="I1199" i="132"/>
  <c r="H1199" i="132"/>
  <c r="G1199" i="132"/>
  <c r="F1199" i="132"/>
  <c r="C1199" i="132"/>
  <c r="I1198" i="132"/>
  <c r="H1198" i="132"/>
  <c r="G1198" i="132"/>
  <c r="F1198" i="132"/>
  <c r="C1198" i="132"/>
  <c r="E1197" i="132"/>
  <c r="D1197" i="132"/>
  <c r="E1196" i="132"/>
  <c r="D1196" i="132"/>
  <c r="C1187" i="132"/>
  <c r="C1186" i="132"/>
  <c r="C1185" i="132"/>
  <c r="C1184" i="132"/>
  <c r="I1183" i="132"/>
  <c r="H1183" i="132"/>
  <c r="G1183" i="132"/>
  <c r="F1183" i="132"/>
  <c r="E1183" i="132"/>
  <c r="D1183" i="132"/>
  <c r="C1183" i="132"/>
  <c r="I1182" i="132"/>
  <c r="H1182" i="132"/>
  <c r="G1182" i="132"/>
  <c r="F1182" i="132"/>
  <c r="E1182" i="132"/>
  <c r="D1182" i="132"/>
  <c r="I1181" i="132"/>
  <c r="H1181" i="132"/>
  <c r="G1181" i="132"/>
  <c r="F1181" i="132"/>
  <c r="E1181" i="132"/>
  <c r="D1181" i="132"/>
  <c r="C1181" i="132"/>
  <c r="I1180" i="132"/>
  <c r="H1180" i="132"/>
  <c r="G1180" i="132"/>
  <c r="F1180" i="132"/>
  <c r="E1180" i="132"/>
  <c r="D1180" i="132"/>
  <c r="C1180" i="132"/>
  <c r="I1179" i="132"/>
  <c r="H1179" i="132"/>
  <c r="G1179" i="132"/>
  <c r="F1179" i="132"/>
  <c r="E1179" i="132"/>
  <c r="D1179" i="132"/>
  <c r="C1179" i="132"/>
  <c r="I1178" i="132"/>
  <c r="H1178" i="132"/>
  <c r="G1178" i="132"/>
  <c r="F1178" i="132"/>
  <c r="E1178" i="132"/>
  <c r="D1178" i="132"/>
  <c r="I1177" i="132"/>
  <c r="H1177" i="132"/>
  <c r="G1177" i="132"/>
  <c r="F1177" i="132"/>
  <c r="E1177" i="132"/>
  <c r="D1177" i="132"/>
  <c r="I1176" i="132"/>
  <c r="H1176" i="132"/>
  <c r="G1176" i="132"/>
  <c r="F1176" i="132"/>
  <c r="E1176" i="132"/>
  <c r="D1176" i="132"/>
  <c r="C1176" i="132"/>
  <c r="D1175" i="132"/>
  <c r="D1174" i="132"/>
  <c r="I1173" i="132"/>
  <c r="H1173" i="132"/>
  <c r="G1173" i="132"/>
  <c r="F1173" i="132"/>
  <c r="E1173" i="132"/>
  <c r="D1173" i="132"/>
  <c r="C1173" i="132"/>
  <c r="I1172" i="132"/>
  <c r="H1172" i="132"/>
  <c r="G1172" i="132"/>
  <c r="F1172" i="132"/>
  <c r="E1172" i="132"/>
  <c r="D1172" i="132"/>
  <c r="I1171" i="132"/>
  <c r="H1171" i="132"/>
  <c r="G1171" i="132"/>
  <c r="F1171" i="132"/>
  <c r="E1171" i="132"/>
  <c r="D1171" i="132"/>
  <c r="I1170" i="132"/>
  <c r="H1170" i="132"/>
  <c r="G1170" i="132"/>
  <c r="F1170" i="132"/>
  <c r="E1170" i="132"/>
  <c r="D1170" i="132"/>
  <c r="I1169" i="132"/>
  <c r="H1169" i="132"/>
  <c r="G1169" i="132"/>
  <c r="F1169" i="132"/>
  <c r="E1169" i="132"/>
  <c r="D1169" i="132"/>
  <c r="I1168" i="132"/>
  <c r="H1168" i="132"/>
  <c r="G1168" i="132"/>
  <c r="F1168" i="132"/>
  <c r="E1168" i="132"/>
  <c r="D1168" i="132"/>
  <c r="C1164" i="132"/>
  <c r="C1163" i="132"/>
  <c r="C1162" i="132"/>
  <c r="C1161" i="132"/>
  <c r="C1160" i="132"/>
  <c r="C1159" i="132"/>
  <c r="I1158" i="132"/>
  <c r="H1158" i="132"/>
  <c r="G1158" i="132"/>
  <c r="F1158" i="132"/>
  <c r="E1158" i="132"/>
  <c r="D1158" i="132"/>
  <c r="I1157" i="132"/>
  <c r="H1157" i="132"/>
  <c r="G1157" i="132"/>
  <c r="F1157" i="132"/>
  <c r="E1157" i="132"/>
  <c r="D1157" i="132"/>
  <c r="C1156" i="132"/>
  <c r="C1155" i="132"/>
  <c r="C1154" i="132"/>
  <c r="C1153" i="132"/>
  <c r="D1152" i="132"/>
  <c r="D1151" i="132"/>
  <c r="I1150" i="132"/>
  <c r="H1150" i="132"/>
  <c r="G1150" i="132"/>
  <c r="F1150" i="132"/>
  <c r="E1150" i="132"/>
  <c r="I1149" i="132"/>
  <c r="H1149" i="132"/>
  <c r="G1149" i="132"/>
  <c r="F1149" i="132"/>
  <c r="E1149" i="132"/>
  <c r="C1148" i="132"/>
  <c r="C1147" i="132"/>
  <c r="C1146" i="132"/>
  <c r="C1145" i="132"/>
  <c r="C1144" i="132"/>
  <c r="C1143" i="132"/>
  <c r="C1142" i="132"/>
  <c r="C1141" i="132"/>
  <c r="I1140" i="132"/>
  <c r="H1140" i="132"/>
  <c r="G1140" i="132"/>
  <c r="F1140" i="132"/>
  <c r="E1140" i="132"/>
  <c r="D1140" i="132"/>
  <c r="I1139" i="132"/>
  <c r="H1139" i="132"/>
  <c r="G1139" i="132"/>
  <c r="F1139" i="132"/>
  <c r="E1139" i="132"/>
  <c r="D1139" i="132"/>
  <c r="C1126" i="132"/>
  <c r="C1125" i="132"/>
  <c r="C1124" i="132"/>
  <c r="C1123" i="132"/>
  <c r="C1122" i="132"/>
  <c r="C1121" i="132"/>
  <c r="C1120" i="132"/>
  <c r="C1119" i="132"/>
  <c r="C1118" i="132"/>
  <c r="C1117" i="132"/>
  <c r="C1116" i="132"/>
  <c r="C1115" i="132"/>
  <c r="C1114" i="132"/>
  <c r="C1113" i="132"/>
  <c r="I1112" i="132"/>
  <c r="H1112" i="132"/>
  <c r="G1112" i="132"/>
  <c r="F1112" i="132"/>
  <c r="E1112" i="132"/>
  <c r="D1112" i="132"/>
  <c r="I1111" i="132"/>
  <c r="H1111" i="132"/>
  <c r="G1111" i="132"/>
  <c r="F1111" i="132"/>
  <c r="E1111" i="132"/>
  <c r="D1111" i="132"/>
  <c r="C1110" i="132"/>
  <c r="C1109" i="132"/>
  <c r="C1108" i="132"/>
  <c r="C1107" i="132"/>
  <c r="C1106" i="132"/>
  <c r="C1105" i="132"/>
  <c r="C1104" i="132"/>
  <c r="C1103" i="132"/>
  <c r="I1102" i="132"/>
  <c r="H1102" i="132"/>
  <c r="G1102" i="132"/>
  <c r="F1102" i="132"/>
  <c r="E1102" i="132"/>
  <c r="D1102" i="132"/>
  <c r="C1102" i="132" s="1"/>
  <c r="I1101" i="132"/>
  <c r="H1101" i="132"/>
  <c r="G1101" i="132"/>
  <c r="F1101" i="132"/>
  <c r="E1101" i="132"/>
  <c r="D1101" i="132"/>
  <c r="C1101" i="132" s="1"/>
  <c r="C1100" i="132"/>
  <c r="C1099" i="132"/>
  <c r="C1098" i="132"/>
  <c r="C1097" i="132"/>
  <c r="C1096" i="132"/>
  <c r="C1095" i="132"/>
  <c r="I1094" i="132"/>
  <c r="H1094" i="132"/>
  <c r="G1094" i="132"/>
  <c r="F1094" i="132"/>
  <c r="E1094" i="132"/>
  <c r="D1094" i="132"/>
  <c r="C1094" i="132" s="1"/>
  <c r="I1093" i="132"/>
  <c r="H1093" i="132"/>
  <c r="G1093" i="132"/>
  <c r="F1093" i="132"/>
  <c r="E1093" i="132"/>
  <c r="D1093" i="132"/>
  <c r="C1093" i="132" s="1"/>
  <c r="C1092" i="132"/>
  <c r="C1091" i="132"/>
  <c r="C1090" i="132"/>
  <c r="C1089" i="132"/>
  <c r="C1088" i="132"/>
  <c r="C1087" i="132"/>
  <c r="C1086" i="132"/>
  <c r="C1085" i="132"/>
  <c r="I1084" i="132"/>
  <c r="H1084" i="132"/>
  <c r="G1084" i="132"/>
  <c r="F1084" i="132"/>
  <c r="E1084" i="132"/>
  <c r="D1084" i="132"/>
  <c r="I1083" i="132"/>
  <c r="H1083" i="132"/>
  <c r="G1083" i="132"/>
  <c r="F1083" i="132"/>
  <c r="E1083" i="132"/>
  <c r="D1083" i="132"/>
  <c r="C1082" i="132"/>
  <c r="C1081" i="132"/>
  <c r="C1080" i="132"/>
  <c r="C1079" i="132"/>
  <c r="C1078" i="132"/>
  <c r="C1077" i="132"/>
  <c r="C1076" i="132"/>
  <c r="C1075" i="132"/>
  <c r="C1074" i="132"/>
  <c r="C1073" i="132"/>
  <c r="E1072" i="132"/>
  <c r="E1071" i="132"/>
  <c r="D1071" i="132"/>
  <c r="C1071" i="132" s="1"/>
  <c r="E1070" i="132"/>
  <c r="E1069" i="132"/>
  <c r="D1069" i="132"/>
  <c r="C1069" i="132" s="1"/>
  <c r="E1068" i="132"/>
  <c r="E1067" i="132"/>
  <c r="D1067" i="132"/>
  <c r="C1067" i="132" s="1"/>
  <c r="E1066" i="132"/>
  <c r="E1065" i="132"/>
  <c r="D1065" i="132"/>
  <c r="C1065" i="132" s="1"/>
  <c r="I1064" i="132"/>
  <c r="H1064" i="132"/>
  <c r="G1064" i="132"/>
  <c r="F1064" i="132"/>
  <c r="E1064" i="132"/>
  <c r="I1063" i="132"/>
  <c r="H1063" i="132"/>
  <c r="G1063" i="132"/>
  <c r="F1063" i="132"/>
  <c r="E1063" i="132"/>
  <c r="D1063" i="132"/>
  <c r="C1063" i="132" s="1"/>
  <c r="E1062" i="132"/>
  <c r="E1061" i="132"/>
  <c r="D1061" i="132"/>
  <c r="C1061" i="132" s="1"/>
  <c r="I1060" i="132"/>
  <c r="H1060" i="132"/>
  <c r="G1060" i="132"/>
  <c r="F1060" i="132"/>
  <c r="E1060" i="132"/>
  <c r="I1059" i="132"/>
  <c r="H1059" i="132"/>
  <c r="G1059" i="132"/>
  <c r="F1059" i="132"/>
  <c r="E1059" i="132"/>
  <c r="D1059" i="132"/>
  <c r="C1059" i="132" s="1"/>
  <c r="I1058" i="132"/>
  <c r="H1058" i="132"/>
  <c r="G1058" i="132"/>
  <c r="F1058" i="132"/>
  <c r="E1058" i="132"/>
  <c r="D1058" i="132"/>
  <c r="C1058" i="132" s="1"/>
  <c r="I1057" i="132"/>
  <c r="H1057" i="132"/>
  <c r="G1057" i="132"/>
  <c r="F1057" i="132"/>
  <c r="E1057" i="132"/>
  <c r="D1057" i="132"/>
  <c r="C1056" i="132"/>
  <c r="C1055" i="132"/>
  <c r="C1054" i="132"/>
  <c r="C1053" i="132"/>
  <c r="C1052" i="132"/>
  <c r="C1051" i="132"/>
  <c r="C1050" i="132"/>
  <c r="C1049" i="132"/>
  <c r="I1048" i="132"/>
  <c r="H1048" i="132"/>
  <c r="G1048" i="132"/>
  <c r="F1048" i="132"/>
  <c r="E1048" i="132"/>
  <c r="D1048" i="132"/>
  <c r="I1047" i="132"/>
  <c r="H1047" i="132"/>
  <c r="G1047" i="132"/>
  <c r="F1047" i="132"/>
  <c r="E1047" i="132"/>
  <c r="D1047" i="132"/>
  <c r="C1047" i="132" s="1"/>
  <c r="C1046" i="132"/>
  <c r="C1045" i="132"/>
  <c r="C1044" i="132"/>
  <c r="C1043" i="132"/>
  <c r="C1042" i="132"/>
  <c r="C1041" i="132"/>
  <c r="C1040" i="132"/>
  <c r="C1039" i="132"/>
  <c r="C1038" i="132"/>
  <c r="C1037" i="132"/>
  <c r="C1036" i="132"/>
  <c r="C1035" i="132"/>
  <c r="C1034" i="132"/>
  <c r="C1033" i="132"/>
  <c r="C1032" i="132"/>
  <c r="C1031" i="132"/>
  <c r="C1030" i="132"/>
  <c r="C1029" i="132"/>
  <c r="C1028" i="132"/>
  <c r="C1027" i="132"/>
  <c r="C1026" i="132"/>
  <c r="C1025" i="132"/>
  <c r="C1024" i="132"/>
  <c r="C1023" i="132"/>
  <c r="C1022" i="132"/>
  <c r="C1021" i="132"/>
  <c r="C1020" i="132"/>
  <c r="C1019" i="132"/>
  <c r="C1018" i="132"/>
  <c r="C1017" i="132"/>
  <c r="C1016" i="132"/>
  <c r="C1015" i="132"/>
  <c r="C1014" i="132"/>
  <c r="C1013" i="132"/>
  <c r="C1012" i="132"/>
  <c r="C1011" i="132"/>
  <c r="C1010" i="132"/>
  <c r="C1009" i="132"/>
  <c r="I1008" i="132"/>
  <c r="H1008" i="132"/>
  <c r="G1008" i="132"/>
  <c r="F1008" i="132"/>
  <c r="E1008" i="132"/>
  <c r="D1008" i="132"/>
  <c r="C1008" i="132" s="1"/>
  <c r="I1007" i="132"/>
  <c r="H1007" i="132"/>
  <c r="G1007" i="132"/>
  <c r="F1007" i="132"/>
  <c r="E1007" i="132"/>
  <c r="D1007" i="132"/>
  <c r="C1007" i="132" s="1"/>
  <c r="C1006" i="132"/>
  <c r="C1005" i="132"/>
  <c r="C1004" i="132"/>
  <c r="C1003" i="132"/>
  <c r="C1002" i="132"/>
  <c r="C1001" i="132"/>
  <c r="C1000" i="132"/>
  <c r="C999" i="132"/>
  <c r="C998" i="132"/>
  <c r="C997" i="132"/>
  <c r="C996" i="132"/>
  <c r="C995" i="132"/>
  <c r="C994" i="132"/>
  <c r="C993" i="132"/>
  <c r="C992" i="132"/>
  <c r="C991" i="132"/>
  <c r="C990" i="132"/>
  <c r="C989" i="132"/>
  <c r="C988" i="132"/>
  <c r="C987" i="132"/>
  <c r="C986" i="132"/>
  <c r="C985" i="132"/>
  <c r="C984" i="132"/>
  <c r="C983" i="132"/>
  <c r="C982" i="132"/>
  <c r="C981" i="132"/>
  <c r="C980" i="132"/>
  <c r="C979" i="132"/>
  <c r="C978" i="132"/>
  <c r="C977" i="132"/>
  <c r="C976" i="132"/>
  <c r="C975" i="132"/>
  <c r="C974" i="132"/>
  <c r="C973" i="132"/>
  <c r="C972" i="132"/>
  <c r="C971" i="132"/>
  <c r="C970" i="132"/>
  <c r="C969" i="132"/>
  <c r="C968" i="132"/>
  <c r="C967" i="132"/>
  <c r="C966" i="132"/>
  <c r="C965" i="132"/>
  <c r="C964" i="132"/>
  <c r="C963" i="132"/>
  <c r="C962" i="132"/>
  <c r="C961" i="132"/>
  <c r="C960" i="132"/>
  <c r="C959" i="132"/>
  <c r="C958" i="132"/>
  <c r="C957" i="132"/>
  <c r="C956" i="132"/>
  <c r="C955" i="132"/>
  <c r="C954" i="132"/>
  <c r="C953" i="132"/>
  <c r="C952" i="132"/>
  <c r="C951" i="132"/>
  <c r="C950" i="132"/>
  <c r="C949" i="132"/>
  <c r="I948" i="132"/>
  <c r="H948" i="132"/>
  <c r="G948" i="132"/>
  <c r="F948" i="132"/>
  <c r="E948" i="132"/>
  <c r="D948" i="132"/>
  <c r="I947" i="132"/>
  <c r="H947" i="132"/>
  <c r="G947" i="132"/>
  <c r="F947" i="132"/>
  <c r="E947" i="132"/>
  <c r="D947" i="132"/>
  <c r="C924" i="132"/>
  <c r="C923" i="132"/>
  <c r="C922" i="132"/>
  <c r="C921" i="132"/>
  <c r="C920" i="132"/>
  <c r="C919" i="132"/>
  <c r="C918" i="132"/>
  <c r="C917" i="132"/>
  <c r="C916" i="132"/>
  <c r="C915" i="132"/>
  <c r="C914" i="132"/>
  <c r="C913" i="132"/>
  <c r="C912" i="132"/>
  <c r="C911" i="132"/>
  <c r="C910" i="132"/>
  <c r="C909" i="132"/>
  <c r="C908" i="132"/>
  <c r="C907" i="132"/>
  <c r="C906" i="132"/>
  <c r="C905" i="132"/>
  <c r="C904" i="132"/>
  <c r="C903" i="132"/>
  <c r="C902" i="132"/>
  <c r="C901" i="132"/>
  <c r="C900" i="132"/>
  <c r="C899" i="132"/>
  <c r="C898" i="132"/>
  <c r="C897" i="132"/>
  <c r="C896" i="132"/>
  <c r="C895" i="132"/>
  <c r="C894" i="132"/>
  <c r="C893" i="132"/>
  <c r="C892" i="132"/>
  <c r="C891" i="132"/>
  <c r="C890" i="132"/>
  <c r="C889" i="132"/>
  <c r="C888" i="132"/>
  <c r="C887" i="132"/>
  <c r="C886" i="132"/>
  <c r="C885" i="132"/>
  <c r="C884" i="132"/>
  <c r="C883" i="132"/>
  <c r="C882" i="132"/>
  <c r="C881" i="132"/>
  <c r="C880" i="132"/>
  <c r="C879" i="132"/>
  <c r="C878" i="132"/>
  <c r="C877" i="132"/>
  <c r="C876" i="132"/>
  <c r="C875" i="132"/>
  <c r="C874" i="132"/>
  <c r="C873" i="132"/>
  <c r="C872" i="132"/>
  <c r="C871" i="132"/>
  <c r="C870" i="132"/>
  <c r="C869" i="132"/>
  <c r="C868" i="132"/>
  <c r="C867" i="132"/>
  <c r="C866" i="132"/>
  <c r="C865" i="132"/>
  <c r="C864" i="132"/>
  <c r="C863" i="132"/>
  <c r="C862" i="132"/>
  <c r="C861" i="132"/>
  <c r="C860" i="132"/>
  <c r="C859" i="132"/>
  <c r="C858" i="132"/>
  <c r="C857" i="132"/>
  <c r="C856" i="132"/>
  <c r="C855" i="132"/>
  <c r="C854" i="132"/>
  <c r="C853" i="132"/>
  <c r="C852" i="132"/>
  <c r="C851" i="132"/>
  <c r="C850" i="132"/>
  <c r="C849" i="132"/>
  <c r="C848" i="132"/>
  <c r="C847" i="132"/>
  <c r="C846" i="132"/>
  <c r="C845" i="132"/>
  <c r="C844" i="132"/>
  <c r="C843" i="132"/>
  <c r="C842" i="132"/>
  <c r="C841" i="132"/>
  <c r="C840" i="132"/>
  <c r="C839" i="132"/>
  <c r="C838" i="132"/>
  <c r="C837" i="132"/>
  <c r="C836" i="132"/>
  <c r="C835" i="132"/>
  <c r="C834" i="132"/>
  <c r="C833" i="132"/>
  <c r="C824" i="132"/>
  <c r="C823" i="132"/>
  <c r="I822" i="132"/>
  <c r="H822" i="132"/>
  <c r="G822" i="132"/>
  <c r="F822" i="132"/>
  <c r="E822" i="132"/>
  <c r="D822" i="132"/>
  <c r="I821" i="132"/>
  <c r="H821" i="132"/>
  <c r="G821" i="132"/>
  <c r="F821" i="132"/>
  <c r="E821" i="132"/>
  <c r="D821" i="132"/>
  <c r="C820" i="132"/>
  <c r="C819" i="132"/>
  <c r="I818" i="132"/>
  <c r="I817" i="132"/>
  <c r="H816" i="132"/>
  <c r="G816" i="132"/>
  <c r="F816" i="132"/>
  <c r="E816" i="132"/>
  <c r="D816" i="132"/>
  <c r="I815" i="132"/>
  <c r="H815" i="132"/>
  <c r="G815" i="132"/>
  <c r="F815" i="132"/>
  <c r="E815" i="132"/>
  <c r="D815" i="132"/>
  <c r="C814" i="132"/>
  <c r="C813" i="132"/>
  <c r="I812" i="132"/>
  <c r="I811" i="132"/>
  <c r="C811" i="132" s="1"/>
  <c r="I810" i="132"/>
  <c r="H810" i="132"/>
  <c r="G810" i="132"/>
  <c r="F810" i="132"/>
  <c r="E810" i="132"/>
  <c r="D810" i="132"/>
  <c r="I809" i="132"/>
  <c r="H809" i="132"/>
  <c r="G809" i="132"/>
  <c r="F809" i="132"/>
  <c r="E809" i="132"/>
  <c r="D809" i="132"/>
  <c r="C809" i="132" s="1"/>
  <c r="C806" i="132"/>
  <c r="C805" i="132"/>
  <c r="C804" i="132"/>
  <c r="C803" i="132"/>
  <c r="I802" i="132"/>
  <c r="H802" i="132"/>
  <c r="G802" i="132"/>
  <c r="F802" i="132"/>
  <c r="E802" i="132"/>
  <c r="D802" i="132"/>
  <c r="I801" i="132"/>
  <c r="H801" i="132"/>
  <c r="G801" i="132"/>
  <c r="F801" i="132"/>
  <c r="E801" i="132"/>
  <c r="D801" i="132"/>
  <c r="I800" i="132"/>
  <c r="H800" i="132"/>
  <c r="G800" i="132"/>
  <c r="F800" i="132"/>
  <c r="E800" i="132"/>
  <c r="D800" i="132"/>
  <c r="I799" i="132"/>
  <c r="C793" i="132"/>
  <c r="C792" i="132"/>
  <c r="I791" i="132"/>
  <c r="H791" i="132"/>
  <c r="G791" i="132"/>
  <c r="F791" i="132"/>
  <c r="E791" i="132"/>
  <c r="D791" i="132"/>
  <c r="I790" i="132"/>
  <c r="H790" i="132"/>
  <c r="G790" i="132"/>
  <c r="F790" i="132"/>
  <c r="E790" i="132"/>
  <c r="D790" i="132"/>
  <c r="C790" i="132"/>
  <c r="I789" i="132"/>
  <c r="H789" i="132"/>
  <c r="G789" i="132"/>
  <c r="F789" i="132"/>
  <c r="E789" i="132"/>
  <c r="D789" i="132"/>
  <c r="C789" i="132" s="1"/>
  <c r="I788" i="132"/>
  <c r="H788" i="132"/>
  <c r="C783" i="132"/>
  <c r="C782" i="132"/>
  <c r="C781" i="132"/>
  <c r="C780" i="132"/>
  <c r="I779" i="132"/>
  <c r="H779" i="132"/>
  <c r="G779" i="132"/>
  <c r="F779" i="132"/>
  <c r="E779" i="132"/>
  <c r="D779" i="132"/>
  <c r="C779" i="132" s="1"/>
  <c r="I778" i="132"/>
  <c r="H778" i="132"/>
  <c r="G778" i="132"/>
  <c r="F778" i="132"/>
  <c r="E778" i="132"/>
  <c r="D778" i="132"/>
  <c r="C778" i="132" s="1"/>
  <c r="I777" i="132"/>
  <c r="H777" i="132"/>
  <c r="G777" i="132"/>
  <c r="F777" i="132"/>
  <c r="E777" i="132"/>
  <c r="D777" i="132"/>
  <c r="I776" i="132"/>
  <c r="H776" i="132"/>
  <c r="G776" i="132"/>
  <c r="F776" i="132"/>
  <c r="E776" i="132"/>
  <c r="D776" i="132"/>
  <c r="C770" i="132"/>
  <c r="C769" i="132"/>
  <c r="I768" i="132"/>
  <c r="H768" i="132"/>
  <c r="G768" i="132"/>
  <c r="F768" i="132"/>
  <c r="E768" i="132"/>
  <c r="D768" i="132"/>
  <c r="C768" i="132" s="1"/>
  <c r="I767" i="132"/>
  <c r="H767" i="132"/>
  <c r="G767" i="132"/>
  <c r="F767" i="132"/>
  <c r="E767" i="132"/>
  <c r="D767" i="132"/>
  <c r="C767" i="132"/>
  <c r="I766" i="132"/>
  <c r="H766" i="132"/>
  <c r="G766" i="132"/>
  <c r="F766" i="132"/>
  <c r="E766" i="132"/>
  <c r="D766" i="132"/>
  <c r="C766" i="132" s="1"/>
  <c r="I765" i="132"/>
  <c r="H765" i="132"/>
  <c r="G765" i="132"/>
  <c r="F765" i="132"/>
  <c r="E765" i="132"/>
  <c r="D765" i="132"/>
  <c r="C764" i="132"/>
  <c r="C763" i="132"/>
  <c r="C762" i="132"/>
  <c r="C761" i="132"/>
  <c r="I760" i="132"/>
  <c r="H760" i="132"/>
  <c r="G760" i="132"/>
  <c r="F760" i="132"/>
  <c r="E760" i="132"/>
  <c r="D760" i="132"/>
  <c r="I759" i="132"/>
  <c r="H759" i="132"/>
  <c r="G759" i="132"/>
  <c r="F759" i="132"/>
  <c r="E759" i="132"/>
  <c r="D759" i="132"/>
  <c r="C759" i="132"/>
  <c r="C758" i="132"/>
  <c r="C757" i="132"/>
  <c r="C756" i="132"/>
  <c r="C755" i="132"/>
  <c r="C754" i="132"/>
  <c r="C753" i="132"/>
  <c r="C752" i="132"/>
  <c r="C751" i="132"/>
  <c r="C750" i="132"/>
  <c r="C749" i="132"/>
  <c r="I748" i="132"/>
  <c r="H748" i="132"/>
  <c r="G748" i="132"/>
  <c r="F748" i="132"/>
  <c r="E748" i="132"/>
  <c r="D748" i="132"/>
  <c r="C748" i="132" s="1"/>
  <c r="I747" i="132"/>
  <c r="H747" i="132"/>
  <c r="G747" i="132"/>
  <c r="F747" i="132"/>
  <c r="E747" i="132"/>
  <c r="D747" i="132"/>
  <c r="C747" i="132" s="1"/>
  <c r="C735" i="132"/>
  <c r="C734" i="132"/>
  <c r="I733" i="132"/>
  <c r="H733" i="132"/>
  <c r="G733" i="132"/>
  <c r="F733" i="132"/>
  <c r="E733" i="132"/>
  <c r="D733" i="132"/>
  <c r="I732" i="132"/>
  <c r="H732" i="132"/>
  <c r="G732" i="132"/>
  <c r="F732" i="132"/>
  <c r="E732" i="132"/>
  <c r="D732" i="132"/>
  <c r="C732" i="132"/>
  <c r="C731" i="132"/>
  <c r="C730" i="132"/>
  <c r="I729" i="132"/>
  <c r="H729" i="132"/>
  <c r="G729" i="132"/>
  <c r="F729" i="132"/>
  <c r="E729" i="132"/>
  <c r="D729" i="132"/>
  <c r="C729" i="132"/>
  <c r="I728" i="132"/>
  <c r="H728" i="132"/>
  <c r="G728" i="132"/>
  <c r="F728" i="132"/>
  <c r="E728" i="132"/>
  <c r="D728" i="132"/>
  <c r="I727" i="132"/>
  <c r="H727" i="132"/>
  <c r="G727" i="132"/>
  <c r="F727" i="132"/>
  <c r="E727" i="132"/>
  <c r="D727" i="132"/>
  <c r="I726" i="132"/>
  <c r="H726" i="132"/>
  <c r="G726" i="132"/>
  <c r="F726" i="132"/>
  <c r="E726" i="132"/>
  <c r="D726" i="132"/>
  <c r="C725" i="132"/>
  <c r="C724" i="132"/>
  <c r="D723" i="132"/>
  <c r="D722" i="132"/>
  <c r="I721" i="132"/>
  <c r="H721" i="132"/>
  <c r="G721" i="132"/>
  <c r="F721" i="132"/>
  <c r="E721" i="132"/>
  <c r="D721" i="132"/>
  <c r="I720" i="132"/>
  <c r="H720" i="132"/>
  <c r="G720" i="132"/>
  <c r="F720" i="132"/>
  <c r="E720" i="132"/>
  <c r="D720" i="132"/>
  <c r="I719" i="132"/>
  <c r="H719" i="132"/>
  <c r="G719" i="132"/>
  <c r="F719" i="132"/>
  <c r="E719" i="132"/>
  <c r="D719" i="132"/>
  <c r="C719" i="132"/>
  <c r="I718" i="132"/>
  <c r="I716" i="132" s="1"/>
  <c r="I714" i="132" s="1"/>
  <c r="H718" i="132"/>
  <c r="H716" i="132" s="1"/>
  <c r="H714" i="132" s="1"/>
  <c r="G718" i="132"/>
  <c r="G716" i="132" s="1"/>
  <c r="G714" i="132" s="1"/>
  <c r="F718" i="132"/>
  <c r="F716" i="132" s="1"/>
  <c r="F714" i="132" s="1"/>
  <c r="E718" i="132"/>
  <c r="E716" i="132" s="1"/>
  <c r="E714" i="132" s="1"/>
  <c r="D718" i="132"/>
  <c r="D716" i="132" s="1"/>
  <c r="I717" i="132"/>
  <c r="I715" i="132" s="1"/>
  <c r="H717" i="132"/>
  <c r="H715" i="132" s="1"/>
  <c r="G717" i="132"/>
  <c r="G715" i="132" s="1"/>
  <c r="F717" i="132"/>
  <c r="F715" i="132" s="1"/>
  <c r="E717" i="132"/>
  <c r="E715" i="132" s="1"/>
  <c r="D717" i="132"/>
  <c r="C708" i="132"/>
  <c r="C707" i="132"/>
  <c r="C706" i="132"/>
  <c r="C705" i="132"/>
  <c r="C704" i="132"/>
  <c r="C703" i="132"/>
  <c r="I702" i="132"/>
  <c r="H702" i="132"/>
  <c r="G702" i="132"/>
  <c r="F702" i="132"/>
  <c r="E702" i="132"/>
  <c r="D702" i="132"/>
  <c r="I701" i="132"/>
  <c r="H701" i="132"/>
  <c r="G701" i="132"/>
  <c r="F701" i="132"/>
  <c r="E701" i="132"/>
  <c r="D701" i="132"/>
  <c r="I700" i="132"/>
  <c r="H700" i="132"/>
  <c r="G700" i="132"/>
  <c r="F700" i="132"/>
  <c r="E700" i="132"/>
  <c r="D700" i="132"/>
  <c r="I699" i="132"/>
  <c r="H699" i="132"/>
  <c r="G699" i="132"/>
  <c r="F699" i="132"/>
  <c r="E699" i="132"/>
  <c r="D699" i="132"/>
  <c r="I698" i="132"/>
  <c r="H698" i="132"/>
  <c r="G698" i="132"/>
  <c r="F698" i="132"/>
  <c r="E698" i="132"/>
  <c r="D698" i="132"/>
  <c r="I697" i="132"/>
  <c r="H697" i="132"/>
  <c r="G697" i="132"/>
  <c r="F697" i="132"/>
  <c r="F695" i="132" s="1"/>
  <c r="E697" i="132"/>
  <c r="E695" i="132" s="1"/>
  <c r="D697" i="132"/>
  <c r="D695" i="132" s="1"/>
  <c r="I696" i="132"/>
  <c r="H696" i="132"/>
  <c r="G696" i="132"/>
  <c r="F696" i="132"/>
  <c r="E696" i="132"/>
  <c r="D696" i="132"/>
  <c r="I695" i="132"/>
  <c r="H695" i="132"/>
  <c r="G695" i="132"/>
  <c r="C689" i="132"/>
  <c r="C688" i="132"/>
  <c r="C687" i="132"/>
  <c r="C686" i="132"/>
  <c r="C685" i="132"/>
  <c r="C684" i="132"/>
  <c r="C683" i="132"/>
  <c r="C682" i="132"/>
  <c r="I681" i="132"/>
  <c r="H681" i="132"/>
  <c r="G681" i="132"/>
  <c r="F681" i="132"/>
  <c r="E681" i="132"/>
  <c r="D681" i="132"/>
  <c r="C681" i="132" s="1"/>
  <c r="I680" i="132"/>
  <c r="H680" i="132"/>
  <c r="G680" i="132"/>
  <c r="F680" i="132"/>
  <c r="E680" i="132"/>
  <c r="D680" i="132"/>
  <c r="C679" i="132"/>
  <c r="C678" i="132"/>
  <c r="C677" i="132"/>
  <c r="C676" i="132"/>
  <c r="C675" i="132"/>
  <c r="C674" i="132"/>
  <c r="C673" i="132"/>
  <c r="C672" i="132"/>
  <c r="C671" i="132"/>
  <c r="C670" i="132"/>
  <c r="C669" i="132"/>
  <c r="C668" i="132"/>
  <c r="C667" i="132"/>
  <c r="C666" i="132"/>
  <c r="C665" i="132"/>
  <c r="C664" i="132"/>
  <c r="C663" i="132"/>
  <c r="C662" i="132"/>
  <c r="C661" i="132"/>
  <c r="C660" i="132"/>
  <c r="C659" i="132"/>
  <c r="C658" i="132"/>
  <c r="C657" i="132"/>
  <c r="C656" i="132"/>
  <c r="C655" i="132"/>
  <c r="C654" i="132"/>
  <c r="C653" i="132"/>
  <c r="C652" i="132"/>
  <c r="C651" i="132"/>
  <c r="C650" i="132"/>
  <c r="C649" i="132"/>
  <c r="C648" i="132"/>
  <c r="C647" i="132"/>
  <c r="C646" i="132"/>
  <c r="C645" i="132"/>
  <c r="C644" i="132"/>
  <c r="C643" i="132"/>
  <c r="C642" i="132"/>
  <c r="C641" i="132"/>
  <c r="C640" i="132"/>
  <c r="C639" i="132"/>
  <c r="I638" i="132"/>
  <c r="H638" i="132"/>
  <c r="G638" i="132"/>
  <c r="D638" i="132"/>
  <c r="I637" i="132"/>
  <c r="H637" i="132"/>
  <c r="G637" i="132"/>
  <c r="F637" i="132"/>
  <c r="E637" i="132"/>
  <c r="D637" i="132"/>
  <c r="F636" i="132"/>
  <c r="E636" i="132"/>
  <c r="D631" i="132"/>
  <c r="C631" i="132"/>
  <c r="D630" i="132"/>
  <c r="C630" i="132"/>
  <c r="D629" i="132"/>
  <c r="C629" i="132" s="1"/>
  <c r="D628" i="132"/>
  <c r="I627" i="132"/>
  <c r="H627" i="132"/>
  <c r="G627" i="132"/>
  <c r="F627" i="132"/>
  <c r="E627" i="132"/>
  <c r="D627" i="132"/>
  <c r="I626" i="132"/>
  <c r="H626" i="132"/>
  <c r="G626" i="132"/>
  <c r="F626" i="132"/>
  <c r="E626" i="132"/>
  <c r="D626" i="132"/>
  <c r="C625" i="132"/>
  <c r="C624" i="132"/>
  <c r="I590" i="132"/>
  <c r="I506" i="132" s="1"/>
  <c r="H590" i="132"/>
  <c r="H506" i="132" s="1"/>
  <c r="G590" i="132"/>
  <c r="G506" i="132" s="1"/>
  <c r="F590" i="132"/>
  <c r="F506" i="132" s="1"/>
  <c r="E590" i="132"/>
  <c r="E506" i="132" s="1"/>
  <c r="D590" i="132"/>
  <c r="D506" i="132" s="1"/>
  <c r="C506" i="132" s="1"/>
  <c r="C590" i="132"/>
  <c r="I589" i="132"/>
  <c r="I505" i="132" s="1"/>
  <c r="H589" i="132"/>
  <c r="H505" i="132" s="1"/>
  <c r="G589" i="132"/>
  <c r="G505" i="132" s="1"/>
  <c r="C578" i="132"/>
  <c r="C577" i="132"/>
  <c r="C576" i="132"/>
  <c r="C575" i="132"/>
  <c r="I574" i="132"/>
  <c r="H574" i="132"/>
  <c r="G574" i="132"/>
  <c r="F574" i="132"/>
  <c r="E574" i="132"/>
  <c r="D574" i="132"/>
  <c r="I573" i="132"/>
  <c r="H573" i="132"/>
  <c r="G573" i="132"/>
  <c r="F573" i="132"/>
  <c r="E573" i="132"/>
  <c r="D573" i="132"/>
  <c r="C573" i="132"/>
  <c r="I572" i="132"/>
  <c r="H572" i="132"/>
  <c r="G572" i="132"/>
  <c r="F572" i="132"/>
  <c r="E572" i="132"/>
  <c r="D572" i="132"/>
  <c r="C572" i="132"/>
  <c r="I571" i="132"/>
  <c r="C561" i="132"/>
  <c r="C560" i="132"/>
  <c r="I559" i="132"/>
  <c r="I557" i="132" s="1"/>
  <c r="I555" i="132" s="1"/>
  <c r="I553" i="132" s="1"/>
  <c r="I551" i="132" s="1"/>
  <c r="H559" i="132"/>
  <c r="H557" i="132" s="1"/>
  <c r="H555" i="132" s="1"/>
  <c r="H553" i="132" s="1"/>
  <c r="H551" i="132" s="1"/>
  <c r="G559" i="132"/>
  <c r="G557" i="132" s="1"/>
  <c r="G555" i="132" s="1"/>
  <c r="G553" i="132" s="1"/>
  <c r="G551" i="132" s="1"/>
  <c r="F559" i="132"/>
  <c r="F557" i="132" s="1"/>
  <c r="F555" i="132" s="1"/>
  <c r="F553" i="132" s="1"/>
  <c r="F551" i="132" s="1"/>
  <c r="E559" i="132"/>
  <c r="E557" i="132" s="1"/>
  <c r="E555" i="132" s="1"/>
  <c r="E553" i="132" s="1"/>
  <c r="E551" i="132" s="1"/>
  <c r="D559" i="132"/>
  <c r="I558" i="132"/>
  <c r="I556" i="132" s="1"/>
  <c r="I554" i="132" s="1"/>
  <c r="I552" i="132" s="1"/>
  <c r="I550" i="132" s="1"/>
  <c r="H558" i="132"/>
  <c r="H556" i="132" s="1"/>
  <c r="H554" i="132" s="1"/>
  <c r="H552" i="132" s="1"/>
  <c r="H550" i="132" s="1"/>
  <c r="G558" i="132"/>
  <c r="F558" i="132"/>
  <c r="E558" i="132"/>
  <c r="D558" i="132"/>
  <c r="F556" i="132"/>
  <c r="E556" i="132"/>
  <c r="D556" i="132"/>
  <c r="F554" i="132"/>
  <c r="E554" i="132"/>
  <c r="F552" i="132"/>
  <c r="E552" i="132"/>
  <c r="F550" i="132"/>
  <c r="C492" i="132"/>
  <c r="C491" i="132"/>
  <c r="D490" i="132"/>
  <c r="D489" i="132"/>
  <c r="D488" i="132"/>
  <c r="D487" i="132"/>
  <c r="H486" i="132"/>
  <c r="D486" i="132"/>
  <c r="C486" i="132" s="1"/>
  <c r="H485" i="132"/>
  <c r="D485" i="132"/>
  <c r="C484" i="132"/>
  <c r="C483" i="132"/>
  <c r="I456" i="132"/>
  <c r="F456" i="132"/>
  <c r="C456" i="132" s="1"/>
  <c r="I455" i="132"/>
  <c r="F455" i="132"/>
  <c r="C455" i="132" s="1"/>
  <c r="I454" i="132"/>
  <c r="H454" i="132"/>
  <c r="G454" i="132"/>
  <c r="F454" i="132"/>
  <c r="E454" i="132"/>
  <c r="D454" i="132"/>
  <c r="C454" i="132" s="1"/>
  <c r="I453" i="132"/>
  <c r="H453" i="132"/>
  <c r="G453" i="132"/>
  <c r="F453" i="132"/>
  <c r="E453" i="132"/>
  <c r="D453" i="132"/>
  <c r="C453" i="132"/>
  <c r="I452" i="132"/>
  <c r="H452" i="132"/>
  <c r="G452" i="132"/>
  <c r="F452" i="132"/>
  <c r="E452" i="132"/>
  <c r="D452" i="132"/>
  <c r="C452" i="132"/>
  <c r="I451" i="132"/>
  <c r="H451" i="132"/>
  <c r="G451" i="132"/>
  <c r="F451" i="132"/>
  <c r="E451" i="132"/>
  <c r="D451" i="132"/>
  <c r="C451" i="132"/>
  <c r="I450" i="132"/>
  <c r="H450" i="132"/>
  <c r="G450" i="132"/>
  <c r="F450" i="132"/>
  <c r="E450" i="132"/>
  <c r="D450" i="132"/>
  <c r="C450" i="132" s="1"/>
  <c r="I449" i="132"/>
  <c r="H449" i="132"/>
  <c r="G449" i="132"/>
  <c r="F449" i="132"/>
  <c r="E449" i="132"/>
  <c r="D449" i="132"/>
  <c r="C449" i="132" s="1"/>
  <c r="I448" i="132"/>
  <c r="H448" i="132"/>
  <c r="G448" i="132"/>
  <c r="F448" i="132"/>
  <c r="E448" i="132"/>
  <c r="D448" i="132"/>
  <c r="C448" i="132" s="1"/>
  <c r="I447" i="132"/>
  <c r="H447" i="132"/>
  <c r="G447" i="132"/>
  <c r="F447" i="132"/>
  <c r="E447" i="132"/>
  <c r="D447" i="132"/>
  <c r="C447" i="132" s="1"/>
  <c r="I446" i="132"/>
  <c r="H446" i="132"/>
  <c r="G446" i="132"/>
  <c r="F446" i="132"/>
  <c r="E446" i="132"/>
  <c r="D446" i="132"/>
  <c r="C446" i="132" s="1"/>
  <c r="I445" i="132"/>
  <c r="I443" i="132" s="1"/>
  <c r="H445" i="132"/>
  <c r="H443" i="132" s="1"/>
  <c r="G445" i="132"/>
  <c r="G443" i="132" s="1"/>
  <c r="F445" i="132"/>
  <c r="F443" i="132" s="1"/>
  <c r="E445" i="132"/>
  <c r="E443" i="132" s="1"/>
  <c r="D445" i="132"/>
  <c r="I444" i="132"/>
  <c r="H444" i="132"/>
  <c r="G444" i="132"/>
  <c r="F444" i="132"/>
  <c r="E444" i="132"/>
  <c r="D444" i="132"/>
  <c r="C444" i="132" s="1"/>
  <c r="I435" i="132"/>
  <c r="G435" i="132"/>
  <c r="F435" i="132"/>
  <c r="E435" i="132"/>
  <c r="D435" i="132"/>
  <c r="I434" i="132"/>
  <c r="G434" i="132"/>
  <c r="F434" i="132"/>
  <c r="E434" i="132"/>
  <c r="D434" i="132"/>
  <c r="C422" i="132"/>
  <c r="C421" i="132"/>
  <c r="I420" i="132"/>
  <c r="I419" i="132"/>
  <c r="C419" i="132"/>
  <c r="I418" i="132"/>
  <c r="H418" i="132"/>
  <c r="G418" i="132"/>
  <c r="F418" i="132"/>
  <c r="E418" i="132"/>
  <c r="D418" i="132"/>
  <c r="C418" i="132" s="1"/>
  <c r="I417" i="132"/>
  <c r="H417" i="132"/>
  <c r="G417" i="132"/>
  <c r="F417" i="132"/>
  <c r="E417" i="132"/>
  <c r="D417" i="132"/>
  <c r="C417" i="132"/>
  <c r="I416" i="132"/>
  <c r="H416" i="132"/>
  <c r="G416" i="132"/>
  <c r="F416" i="132"/>
  <c r="E416" i="132"/>
  <c r="D416" i="132"/>
  <c r="C416" i="132"/>
  <c r="I415" i="132"/>
  <c r="H415" i="132"/>
  <c r="G415" i="132"/>
  <c r="F415" i="132"/>
  <c r="E415" i="132"/>
  <c r="D415" i="132"/>
  <c r="C415" i="132"/>
  <c r="I414" i="132"/>
  <c r="H414" i="132"/>
  <c r="G414" i="132"/>
  <c r="F414" i="132"/>
  <c r="E414" i="132"/>
  <c r="D414" i="132"/>
  <c r="I413" i="132"/>
  <c r="H413" i="132"/>
  <c r="G413" i="132"/>
  <c r="F413" i="132"/>
  <c r="E413" i="132"/>
  <c r="D413" i="132"/>
  <c r="I412" i="132"/>
  <c r="H412" i="132"/>
  <c r="G412" i="132"/>
  <c r="F412" i="132"/>
  <c r="E412" i="132"/>
  <c r="D412" i="132"/>
  <c r="C412" i="132"/>
  <c r="I411" i="132"/>
  <c r="H411" i="132"/>
  <c r="G411" i="132"/>
  <c r="F411" i="132"/>
  <c r="E411" i="132"/>
  <c r="D411" i="132"/>
  <c r="C411" i="132"/>
  <c r="I410" i="132"/>
  <c r="H410" i="132"/>
  <c r="G410" i="132"/>
  <c r="F410" i="132"/>
  <c r="E410" i="132"/>
  <c r="D410" i="132"/>
  <c r="C410" i="132"/>
  <c r="I409" i="132"/>
  <c r="H409" i="132"/>
  <c r="G409" i="132"/>
  <c r="F409" i="132"/>
  <c r="E409" i="132"/>
  <c r="D409" i="132"/>
  <c r="C409" i="132"/>
  <c r="I387" i="132"/>
  <c r="C387" i="132"/>
  <c r="I386" i="132"/>
  <c r="C386" i="132"/>
  <c r="I385" i="132"/>
  <c r="D385" i="132"/>
  <c r="C385" i="132" s="1"/>
  <c r="I384" i="132"/>
  <c r="D384" i="132"/>
  <c r="C384" i="132"/>
  <c r="I383" i="132"/>
  <c r="D383" i="132"/>
  <c r="C383" i="132" s="1"/>
  <c r="I382" i="132"/>
  <c r="D382" i="132"/>
  <c r="I381" i="132"/>
  <c r="H381" i="132"/>
  <c r="G381" i="132"/>
  <c r="F381" i="132"/>
  <c r="E381" i="132"/>
  <c r="D381" i="132"/>
  <c r="C381" i="132" s="1"/>
  <c r="I380" i="132"/>
  <c r="H380" i="132"/>
  <c r="G380" i="132"/>
  <c r="F380" i="132"/>
  <c r="E380" i="132"/>
  <c r="D380" i="132"/>
  <c r="C380" i="132"/>
  <c r="I379" i="132"/>
  <c r="H379" i="132"/>
  <c r="G379" i="132"/>
  <c r="F379" i="132"/>
  <c r="E379" i="132"/>
  <c r="D379" i="132"/>
  <c r="C379" i="132"/>
  <c r="I378" i="132"/>
  <c r="H378" i="132"/>
  <c r="G378" i="132"/>
  <c r="F378" i="132"/>
  <c r="E378" i="132"/>
  <c r="D378" i="132"/>
  <c r="C378" i="132"/>
  <c r="F377" i="132"/>
  <c r="F376" i="132"/>
  <c r="C376" i="132" s="1"/>
  <c r="I375" i="132"/>
  <c r="C375" i="132" s="1"/>
  <c r="I374" i="132"/>
  <c r="C374" i="132"/>
  <c r="D373" i="132"/>
  <c r="C373" i="132" s="1"/>
  <c r="D372" i="132"/>
  <c r="C371" i="132"/>
  <c r="C370" i="132"/>
  <c r="I369" i="132"/>
  <c r="D369" i="132"/>
  <c r="C369" i="132" s="1"/>
  <c r="I368" i="132"/>
  <c r="D368" i="132"/>
  <c r="C368" i="132"/>
  <c r="G367" i="132"/>
  <c r="D367" i="132"/>
  <c r="G366" i="132"/>
  <c r="D366" i="132"/>
  <c r="D365" i="132"/>
  <c r="D364" i="132"/>
  <c r="F363" i="132"/>
  <c r="D363" i="132"/>
  <c r="F362" i="132"/>
  <c r="D362" i="132"/>
  <c r="C362" i="132" s="1"/>
  <c r="D361" i="132"/>
  <c r="D360" i="132"/>
  <c r="C360" i="132"/>
  <c r="D359" i="132"/>
  <c r="D358" i="132"/>
  <c r="C358" i="132"/>
  <c r="G357" i="132"/>
  <c r="F357" i="132"/>
  <c r="G356" i="132"/>
  <c r="F356" i="132"/>
  <c r="G355" i="132"/>
  <c r="D355" i="132"/>
  <c r="C355" i="132"/>
  <c r="G354" i="132"/>
  <c r="D354" i="132"/>
  <c r="C354" i="132" s="1"/>
  <c r="F353" i="132"/>
  <c r="D353" i="132"/>
  <c r="C353" i="132" s="1"/>
  <c r="F352" i="132"/>
  <c r="D352" i="132"/>
  <c r="C352" i="132"/>
  <c r="F351" i="132"/>
  <c r="D351" i="132"/>
  <c r="F350" i="132"/>
  <c r="D350" i="132"/>
  <c r="G349" i="132"/>
  <c r="D349" i="132"/>
  <c r="G348" i="132"/>
  <c r="D348" i="132"/>
  <c r="C348" i="132"/>
  <c r="G347" i="132"/>
  <c r="D347" i="132"/>
  <c r="C347" i="132"/>
  <c r="G346" i="132"/>
  <c r="D346" i="132"/>
  <c r="F345" i="132"/>
  <c r="D345" i="132"/>
  <c r="F344" i="132"/>
  <c r="D344" i="132"/>
  <c r="D343" i="132"/>
  <c r="D342" i="132"/>
  <c r="G341" i="132"/>
  <c r="F341" i="132"/>
  <c r="D341" i="132"/>
  <c r="G340" i="132"/>
  <c r="F340" i="132"/>
  <c r="D340" i="132"/>
  <c r="C340" i="132" s="1"/>
  <c r="F339" i="132"/>
  <c r="D339" i="132"/>
  <c r="F338" i="132"/>
  <c r="D338" i="132"/>
  <c r="G337" i="132"/>
  <c r="F337" i="132"/>
  <c r="D337" i="132"/>
  <c r="C337" i="132" s="1"/>
  <c r="G336" i="132"/>
  <c r="F336" i="132"/>
  <c r="D336" i="132"/>
  <c r="C336" i="132" s="1"/>
  <c r="F335" i="132"/>
  <c r="D335" i="132"/>
  <c r="F334" i="132"/>
  <c r="D334" i="132"/>
  <c r="I333" i="132"/>
  <c r="D333" i="132"/>
  <c r="C333" i="132" s="1"/>
  <c r="I332" i="132"/>
  <c r="D332" i="132"/>
  <c r="D331" i="132"/>
  <c r="C331" i="132" s="1"/>
  <c r="D330" i="132"/>
  <c r="C330" i="132" s="1"/>
  <c r="D329" i="132"/>
  <c r="C329" i="132" s="1"/>
  <c r="D328" i="132"/>
  <c r="C328" i="132" s="1"/>
  <c r="D327" i="132"/>
  <c r="D326" i="132"/>
  <c r="C326" i="132" s="1"/>
  <c r="I325" i="132"/>
  <c r="D325" i="132"/>
  <c r="C325" i="132" s="1"/>
  <c r="I324" i="132"/>
  <c r="D324" i="132"/>
  <c r="C324" i="132" s="1"/>
  <c r="D323" i="132"/>
  <c r="D322" i="132"/>
  <c r="D321" i="132"/>
  <c r="C321" i="132" s="1"/>
  <c r="D320" i="132"/>
  <c r="D319" i="132"/>
  <c r="C319" i="132" s="1"/>
  <c r="D318" i="132"/>
  <c r="D317" i="132"/>
  <c r="C317" i="132"/>
  <c r="D316" i="132"/>
  <c r="F315" i="132"/>
  <c r="D315" i="132"/>
  <c r="F314" i="132"/>
  <c r="D314" i="132"/>
  <c r="D313" i="132"/>
  <c r="D312" i="132"/>
  <c r="D311" i="132"/>
  <c r="D310" i="132"/>
  <c r="I309" i="132"/>
  <c r="D309" i="132"/>
  <c r="I308" i="132"/>
  <c r="D301" i="132"/>
  <c r="D297" i="132" s="1"/>
  <c r="C301" i="132"/>
  <c r="D300" i="132"/>
  <c r="D296" i="132" s="1"/>
  <c r="C299" i="132"/>
  <c r="C298" i="132"/>
  <c r="I297" i="132"/>
  <c r="H297" i="132"/>
  <c r="G297" i="132"/>
  <c r="F297" i="132"/>
  <c r="F2577" i="132" s="1"/>
  <c r="E297" i="132"/>
  <c r="E2577" i="132" s="1"/>
  <c r="I296" i="132"/>
  <c r="I2576" i="132" s="1"/>
  <c r="H296" i="132"/>
  <c r="H2576" i="132" s="1"/>
  <c r="G296" i="132"/>
  <c r="G2576" i="132" s="1"/>
  <c r="F296" i="132"/>
  <c r="F2576" i="132" s="1"/>
  <c r="E296" i="132"/>
  <c r="E2576" i="132" s="1"/>
  <c r="F295" i="132"/>
  <c r="E295" i="132"/>
  <c r="I294" i="132"/>
  <c r="H294" i="132"/>
  <c r="G294" i="132"/>
  <c r="F294" i="132"/>
  <c r="E294" i="132"/>
  <c r="F293" i="132"/>
  <c r="F289" i="132" s="1"/>
  <c r="D293" i="132"/>
  <c r="F292" i="132"/>
  <c r="D292" i="132"/>
  <c r="D291" i="132"/>
  <c r="D290" i="132"/>
  <c r="C290" i="132" s="1"/>
  <c r="I289" i="132"/>
  <c r="H289" i="132"/>
  <c r="G289" i="132"/>
  <c r="E289" i="132"/>
  <c r="I288" i="132"/>
  <c r="H288" i="132"/>
  <c r="G288" i="132"/>
  <c r="F288" i="132"/>
  <c r="E288" i="132"/>
  <c r="D288" i="132"/>
  <c r="D287" i="132"/>
  <c r="F285" i="132"/>
  <c r="D285" i="132"/>
  <c r="I284" i="132"/>
  <c r="H284" i="132"/>
  <c r="F284" i="132"/>
  <c r="D284" i="132"/>
  <c r="I283" i="132"/>
  <c r="I2554" i="132" s="1"/>
  <c r="H283" i="132"/>
  <c r="H2554" i="132" s="1"/>
  <c r="F283" i="132"/>
  <c r="F2554" i="132" s="1"/>
  <c r="D283" i="132"/>
  <c r="D2554" i="132" s="1"/>
  <c r="I282" i="132"/>
  <c r="I2553" i="132" s="1"/>
  <c r="H282" i="132"/>
  <c r="H2553" i="132" s="1"/>
  <c r="F282" i="132"/>
  <c r="F2553" i="132" s="1"/>
  <c r="D275" i="132"/>
  <c r="D274" i="132"/>
  <c r="I273" i="132"/>
  <c r="H273" i="132"/>
  <c r="G273" i="132"/>
  <c r="F273" i="132"/>
  <c r="E273" i="132"/>
  <c r="D273" i="132"/>
  <c r="I272" i="132"/>
  <c r="H272" i="132"/>
  <c r="G272" i="132"/>
  <c r="F272" i="132"/>
  <c r="E272" i="132"/>
  <c r="D272" i="132"/>
  <c r="C272" i="132"/>
  <c r="I271" i="132"/>
  <c r="H271" i="132"/>
  <c r="G271" i="132"/>
  <c r="F271" i="132"/>
  <c r="E271" i="132"/>
  <c r="D271" i="132"/>
  <c r="I270" i="132"/>
  <c r="H270" i="132"/>
  <c r="G270" i="132"/>
  <c r="F270" i="132"/>
  <c r="E270" i="132"/>
  <c r="D270" i="132"/>
  <c r="I269" i="132"/>
  <c r="H269" i="132"/>
  <c r="G269" i="132"/>
  <c r="F269" i="132"/>
  <c r="E269" i="132"/>
  <c r="D269" i="132"/>
  <c r="I268" i="132"/>
  <c r="H268" i="132"/>
  <c r="G268" i="132"/>
  <c r="F268" i="132"/>
  <c r="E268" i="132"/>
  <c r="D268" i="132"/>
  <c r="C267" i="132"/>
  <c r="H266" i="132"/>
  <c r="G266" i="132"/>
  <c r="F266" i="132"/>
  <c r="I265" i="132"/>
  <c r="I2544" i="132" s="1"/>
  <c r="H265" i="132"/>
  <c r="H2544" i="132" s="1"/>
  <c r="G265" i="132"/>
  <c r="G2544" i="132" s="1"/>
  <c r="F265" i="132"/>
  <c r="F2544" i="132" s="1"/>
  <c r="E265" i="132"/>
  <c r="E2544" i="132" s="1"/>
  <c r="D265" i="132"/>
  <c r="D2544" i="132" s="1"/>
  <c r="I264" i="132"/>
  <c r="I2543" i="132" s="1"/>
  <c r="H264" i="132"/>
  <c r="H2543" i="132" s="1"/>
  <c r="G264" i="132"/>
  <c r="G2543" i="132" s="1"/>
  <c r="F264" i="132"/>
  <c r="F2543" i="132" s="1"/>
  <c r="E264" i="132"/>
  <c r="E2543" i="132" s="1"/>
  <c r="D264" i="132"/>
  <c r="D2543" i="132" s="1"/>
  <c r="H263" i="132"/>
  <c r="G263" i="132"/>
  <c r="F263" i="132"/>
  <c r="D263" i="132"/>
  <c r="H262" i="132"/>
  <c r="G262" i="132"/>
  <c r="F262" i="132"/>
  <c r="D262" i="132"/>
  <c r="H261" i="132"/>
  <c r="G261" i="132"/>
  <c r="F261" i="132"/>
  <c r="D261" i="132"/>
  <c r="H260" i="132"/>
  <c r="G260" i="132"/>
  <c r="F260" i="132"/>
  <c r="D260" i="132"/>
  <c r="D258" i="132"/>
  <c r="C258" i="132" s="1"/>
  <c r="D257" i="132"/>
  <c r="C257" i="132" s="1"/>
  <c r="I256" i="132"/>
  <c r="H256" i="132"/>
  <c r="G256" i="132"/>
  <c r="F256" i="132"/>
  <c r="E256" i="132"/>
  <c r="D256" i="132"/>
  <c r="I255" i="132"/>
  <c r="H255" i="132"/>
  <c r="G255" i="132"/>
  <c r="F255" i="132"/>
  <c r="E255" i="132"/>
  <c r="D255" i="132"/>
  <c r="I254" i="132"/>
  <c r="H254" i="132"/>
  <c r="G254" i="132"/>
  <c r="F254" i="132"/>
  <c r="E254" i="132"/>
  <c r="D254" i="132"/>
  <c r="C254" i="132" s="1"/>
  <c r="I253" i="132"/>
  <c r="H253" i="132"/>
  <c r="G253" i="132"/>
  <c r="F253" i="132"/>
  <c r="E253" i="132"/>
  <c r="D253" i="132"/>
  <c r="I252" i="132"/>
  <c r="H252" i="132"/>
  <c r="G252" i="132"/>
  <c r="F252" i="132"/>
  <c r="E252" i="132"/>
  <c r="D252" i="132"/>
  <c r="H251" i="132"/>
  <c r="G251" i="132"/>
  <c r="F251" i="132"/>
  <c r="E251" i="132"/>
  <c r="D251" i="132"/>
  <c r="I250" i="132"/>
  <c r="H250" i="132"/>
  <c r="G250" i="132"/>
  <c r="F250" i="132"/>
  <c r="E250" i="132"/>
  <c r="D250" i="132"/>
  <c r="H249" i="132"/>
  <c r="G249" i="132"/>
  <c r="F249" i="132"/>
  <c r="E249" i="132"/>
  <c r="D249" i="132"/>
  <c r="I248" i="132"/>
  <c r="G248" i="132"/>
  <c r="F248" i="132"/>
  <c r="E248" i="132"/>
  <c r="D248" i="132"/>
  <c r="H247" i="132"/>
  <c r="G247" i="132"/>
  <c r="F247" i="132"/>
  <c r="E247" i="132"/>
  <c r="D247" i="132"/>
  <c r="H244" i="132"/>
  <c r="G244" i="132"/>
  <c r="F244" i="132"/>
  <c r="D244" i="132"/>
  <c r="H243" i="132"/>
  <c r="G243" i="132"/>
  <c r="F243" i="132"/>
  <c r="D243" i="132"/>
  <c r="H242" i="132"/>
  <c r="G242" i="132"/>
  <c r="F242" i="132"/>
  <c r="D242" i="132"/>
  <c r="H241" i="132"/>
  <c r="G241" i="132"/>
  <c r="F241" i="132"/>
  <c r="D241" i="132"/>
  <c r="G240" i="132"/>
  <c r="F240" i="132"/>
  <c r="G239" i="132"/>
  <c r="D239" i="132"/>
  <c r="G238" i="132"/>
  <c r="F238" i="132"/>
  <c r="G237" i="132"/>
  <c r="D237" i="132"/>
  <c r="D236" i="132"/>
  <c r="C236" i="132" s="1"/>
  <c r="D235" i="132"/>
  <c r="C234" i="132"/>
  <c r="C233" i="132"/>
  <c r="I232" i="132"/>
  <c r="H232" i="132"/>
  <c r="G232" i="132"/>
  <c r="F232" i="132"/>
  <c r="E232" i="132"/>
  <c r="D232" i="132"/>
  <c r="I231" i="132"/>
  <c r="H231" i="132"/>
  <c r="G231" i="132"/>
  <c r="F231" i="132"/>
  <c r="E231" i="132"/>
  <c r="D231" i="132"/>
  <c r="C231" i="132" s="1"/>
  <c r="I230" i="132"/>
  <c r="I2531" i="132" s="1"/>
  <c r="H230" i="132"/>
  <c r="H2531" i="132" s="1"/>
  <c r="G230" i="132"/>
  <c r="G2531" i="132" s="1"/>
  <c r="F230" i="132"/>
  <c r="F2531" i="132" s="1"/>
  <c r="E230" i="132"/>
  <c r="E2531" i="132" s="1"/>
  <c r="D228" i="132"/>
  <c r="C228" i="132" s="1"/>
  <c r="D227" i="132"/>
  <c r="C227" i="132" s="1"/>
  <c r="I226" i="132"/>
  <c r="D226" i="132"/>
  <c r="I225" i="132"/>
  <c r="D225" i="132"/>
  <c r="D224" i="132"/>
  <c r="C224" i="132" s="1"/>
  <c r="D223" i="132"/>
  <c r="I222" i="132"/>
  <c r="H222" i="132"/>
  <c r="G222" i="132"/>
  <c r="F222" i="132"/>
  <c r="E222" i="132"/>
  <c r="H221" i="132"/>
  <c r="H219" i="132" s="1"/>
  <c r="G221" i="132"/>
  <c r="G219" i="132" s="1"/>
  <c r="F221" i="132"/>
  <c r="F219" i="132" s="1"/>
  <c r="E221" i="132"/>
  <c r="E219" i="132" s="1"/>
  <c r="F213" i="132"/>
  <c r="D213" i="132"/>
  <c r="F212" i="132"/>
  <c r="D212" i="132"/>
  <c r="I211" i="132"/>
  <c r="H211" i="132"/>
  <c r="G211" i="132"/>
  <c r="F211" i="132"/>
  <c r="E211" i="132"/>
  <c r="D211" i="132"/>
  <c r="C211" i="132"/>
  <c r="I210" i="132"/>
  <c r="H210" i="132"/>
  <c r="G210" i="132"/>
  <c r="F210" i="132"/>
  <c r="E210" i="132"/>
  <c r="D210" i="132"/>
  <c r="I209" i="132"/>
  <c r="H209" i="132"/>
  <c r="G209" i="132"/>
  <c r="F209" i="132"/>
  <c r="E209" i="132"/>
  <c r="D209" i="132"/>
  <c r="C209" i="132" s="1"/>
  <c r="C198" i="132"/>
  <c r="C197" i="132"/>
  <c r="I196" i="132"/>
  <c r="E196" i="132"/>
  <c r="I195" i="132"/>
  <c r="E195" i="132"/>
  <c r="I194" i="132"/>
  <c r="H194" i="132"/>
  <c r="G194" i="132"/>
  <c r="F194" i="132"/>
  <c r="E194" i="132"/>
  <c r="D194" i="132"/>
  <c r="H193" i="132"/>
  <c r="G193" i="132"/>
  <c r="F193" i="132"/>
  <c r="D193" i="132"/>
  <c r="D192" i="132"/>
  <c r="D191" i="132"/>
  <c r="I190" i="132"/>
  <c r="D190" i="132"/>
  <c r="C190" i="132" s="1"/>
  <c r="I189" i="132"/>
  <c r="D189" i="132"/>
  <c r="C189" i="132" s="1"/>
  <c r="I188" i="132"/>
  <c r="H188" i="132"/>
  <c r="G188" i="132"/>
  <c r="F188" i="132"/>
  <c r="E188" i="132"/>
  <c r="D188" i="132"/>
  <c r="I187" i="132"/>
  <c r="H187" i="132"/>
  <c r="G187" i="132"/>
  <c r="F187" i="132"/>
  <c r="E187" i="132"/>
  <c r="D187" i="132"/>
  <c r="C187" i="132" s="1"/>
  <c r="I186" i="132"/>
  <c r="H186" i="132"/>
  <c r="G186" i="132"/>
  <c r="F186" i="132"/>
  <c r="E186" i="132"/>
  <c r="D186" i="132"/>
  <c r="C186" i="132" s="1"/>
  <c r="H185" i="132"/>
  <c r="G185" i="132"/>
  <c r="F185" i="132"/>
  <c r="D185" i="132"/>
  <c r="I184" i="132"/>
  <c r="H184" i="132"/>
  <c r="G184" i="132"/>
  <c r="F184" i="132"/>
  <c r="E184" i="132"/>
  <c r="D184" i="132"/>
  <c r="H183" i="132"/>
  <c r="G183" i="132"/>
  <c r="F183" i="132"/>
  <c r="D183" i="132"/>
  <c r="I182" i="132"/>
  <c r="H182" i="132"/>
  <c r="G182" i="132"/>
  <c r="F182" i="132"/>
  <c r="E182" i="132"/>
  <c r="D182" i="132"/>
  <c r="H181" i="132"/>
  <c r="G181" i="132"/>
  <c r="F181" i="132"/>
  <c r="D181" i="132"/>
  <c r="I180" i="132"/>
  <c r="H180" i="132"/>
  <c r="G180" i="132"/>
  <c r="F180" i="132"/>
  <c r="E180" i="132"/>
  <c r="D180" i="132"/>
  <c r="H179" i="132"/>
  <c r="G179" i="132"/>
  <c r="F179" i="132"/>
  <c r="D179" i="132"/>
  <c r="I178" i="132"/>
  <c r="G178" i="132"/>
  <c r="F178" i="132"/>
  <c r="E178" i="132"/>
  <c r="D178" i="132"/>
  <c r="H177" i="132"/>
  <c r="G177" i="132"/>
  <c r="F177" i="132"/>
  <c r="D177" i="132"/>
  <c r="D175" i="132"/>
  <c r="C175" i="132" s="1"/>
  <c r="D174" i="132"/>
  <c r="C174" i="132" s="1"/>
  <c r="D173" i="132"/>
  <c r="D172" i="132"/>
  <c r="C172" i="132" s="1"/>
  <c r="D171" i="132"/>
  <c r="D170" i="132"/>
  <c r="I169" i="132"/>
  <c r="C169" i="132"/>
  <c r="I168" i="132"/>
  <c r="D167" i="132"/>
  <c r="C167" i="132" s="1"/>
  <c r="D166" i="132"/>
  <c r="C166" i="132" s="1"/>
  <c r="D165" i="132"/>
  <c r="C165" i="132" s="1"/>
  <c r="D164" i="132"/>
  <c r="D163" i="132"/>
  <c r="C163" i="132" s="1"/>
  <c r="D162" i="132"/>
  <c r="C162" i="132" s="1"/>
  <c r="D161" i="132"/>
  <c r="C161" i="132" s="1"/>
  <c r="D160" i="132"/>
  <c r="C160" i="132" s="1"/>
  <c r="I159" i="132"/>
  <c r="I2466" i="132" s="1"/>
  <c r="I2464" i="132" s="1"/>
  <c r="H159" i="132"/>
  <c r="H2466" i="132" s="1"/>
  <c r="H2464" i="132" s="1"/>
  <c r="G159" i="132"/>
  <c r="G2466" i="132" s="1"/>
  <c r="G2464" i="132" s="1"/>
  <c r="F159" i="132"/>
  <c r="F2466" i="132" s="1"/>
  <c r="F2464" i="132" s="1"/>
  <c r="E159" i="132"/>
  <c r="E2466" i="132" s="1"/>
  <c r="E2464" i="132" s="1"/>
  <c r="D159" i="132"/>
  <c r="I158" i="132"/>
  <c r="I2465" i="132" s="1"/>
  <c r="I2463" i="132" s="1"/>
  <c r="H158" i="132"/>
  <c r="H2465" i="132" s="1"/>
  <c r="H2463" i="132" s="1"/>
  <c r="G158" i="132"/>
  <c r="G2465" i="132" s="1"/>
  <c r="G2463" i="132" s="1"/>
  <c r="F158" i="132"/>
  <c r="F2465" i="132" s="1"/>
  <c r="F2463" i="132" s="1"/>
  <c r="E158" i="132"/>
  <c r="E2465" i="132" s="1"/>
  <c r="E2463" i="132" s="1"/>
  <c r="D158" i="132"/>
  <c r="I157" i="132"/>
  <c r="H157" i="132"/>
  <c r="G157" i="132"/>
  <c r="F157" i="132"/>
  <c r="E157" i="132"/>
  <c r="D157" i="132"/>
  <c r="I156" i="132"/>
  <c r="H156" i="132"/>
  <c r="G156" i="132"/>
  <c r="F156" i="132"/>
  <c r="E156" i="132"/>
  <c r="D156" i="132"/>
  <c r="D155" i="132"/>
  <c r="D154" i="132"/>
  <c r="D153" i="132"/>
  <c r="D152" i="132"/>
  <c r="D151" i="132"/>
  <c r="D150" i="132"/>
  <c r="I149" i="132"/>
  <c r="H149" i="132"/>
  <c r="G149" i="132"/>
  <c r="F149" i="132"/>
  <c r="I148" i="132"/>
  <c r="H148" i="132"/>
  <c r="G148" i="132"/>
  <c r="F148" i="132"/>
  <c r="D148" i="132"/>
  <c r="H147" i="132"/>
  <c r="H145" i="132" s="1"/>
  <c r="G147" i="132"/>
  <c r="G145" i="132" s="1"/>
  <c r="F147" i="132"/>
  <c r="F145" i="132" s="1"/>
  <c r="H146" i="132"/>
  <c r="H144" i="132" s="1"/>
  <c r="F146" i="132"/>
  <c r="F144" i="132" s="1"/>
  <c r="C143" i="132"/>
  <c r="C142" i="132"/>
  <c r="D141" i="132"/>
  <c r="C141" i="132" s="1"/>
  <c r="D140" i="132"/>
  <c r="D139" i="132"/>
  <c r="D138" i="132"/>
  <c r="C138" i="132" s="1"/>
  <c r="I137" i="132"/>
  <c r="H137" i="132"/>
  <c r="G137" i="132"/>
  <c r="F137" i="132"/>
  <c r="E137" i="132"/>
  <c r="D137" i="132"/>
  <c r="I136" i="132"/>
  <c r="H136" i="132"/>
  <c r="G136" i="132"/>
  <c r="F136" i="132"/>
  <c r="E136" i="132"/>
  <c r="D136" i="132"/>
  <c r="D135" i="132"/>
  <c r="D134" i="132"/>
  <c r="C134" i="132" s="1"/>
  <c r="D133" i="132"/>
  <c r="D132" i="132"/>
  <c r="C132" i="132" s="1"/>
  <c r="G131" i="132"/>
  <c r="D131" i="132"/>
  <c r="C131" i="132" s="1"/>
  <c r="G130" i="132"/>
  <c r="D130" i="132"/>
  <c r="C130" i="132" s="1"/>
  <c r="D129" i="132"/>
  <c r="C129" i="132" s="1"/>
  <c r="D128" i="132"/>
  <c r="C128" i="132" s="1"/>
  <c r="D127" i="132"/>
  <c r="D126" i="132"/>
  <c r="C126" i="132" s="1"/>
  <c r="D125" i="132"/>
  <c r="D124" i="132"/>
  <c r="C124" i="132" s="1"/>
  <c r="D123" i="132"/>
  <c r="I122" i="132"/>
  <c r="D122" i="132"/>
  <c r="C122" i="132" s="1"/>
  <c r="D121" i="132"/>
  <c r="C121" i="132" s="1"/>
  <c r="I120" i="132"/>
  <c r="D120" i="132"/>
  <c r="I119" i="132"/>
  <c r="H119" i="132"/>
  <c r="G119" i="132"/>
  <c r="F119" i="132"/>
  <c r="E119" i="132"/>
  <c r="D119" i="132"/>
  <c r="I118" i="132"/>
  <c r="H118" i="132"/>
  <c r="G118" i="132"/>
  <c r="F118" i="132"/>
  <c r="E118" i="132"/>
  <c r="D118" i="132"/>
  <c r="C2297" i="132" l="1"/>
  <c r="E2112" i="132"/>
  <c r="D2112" i="132"/>
  <c r="C700" i="132"/>
  <c r="C698" i="132"/>
  <c r="H2111" i="132"/>
  <c r="G2111" i="132"/>
  <c r="F2111" i="132"/>
  <c r="D2111" i="132"/>
  <c r="I2110" i="132"/>
  <c r="H2110" i="132"/>
  <c r="G2110" i="132"/>
  <c r="F2110" i="132"/>
  <c r="D2110" i="132"/>
  <c r="D289" i="132"/>
  <c r="C346" i="132"/>
  <c r="C365" i="132"/>
  <c r="G146" i="132"/>
  <c r="G144" i="132" s="1"/>
  <c r="C727" i="132"/>
  <c r="D230" i="132"/>
  <c r="D2531" i="132" s="1"/>
  <c r="C2531" i="132" s="1"/>
  <c r="I229" i="132"/>
  <c r="I2530" i="132" s="1"/>
  <c r="H229" i="132"/>
  <c r="H2530" i="132" s="1"/>
  <c r="G229" i="132"/>
  <c r="G2530" i="132" s="1"/>
  <c r="E1979" i="132"/>
  <c r="E1977" i="132" s="1"/>
  <c r="E1975" i="132" s="1"/>
  <c r="E1973" i="132" s="1"/>
  <c r="C1178" i="132"/>
  <c r="C363" i="132"/>
  <c r="C2319" i="132"/>
  <c r="E114" i="132"/>
  <c r="E193" i="132"/>
  <c r="H2053" i="132"/>
  <c r="H2052" i="132"/>
  <c r="E2052" i="132"/>
  <c r="C2009" i="132"/>
  <c r="E1980" i="132"/>
  <c r="E1978" i="132" s="1"/>
  <c r="E1976" i="132" s="1"/>
  <c r="E1974" i="132" s="1"/>
  <c r="C1395" i="132"/>
  <c r="C168" i="132"/>
  <c r="I193" i="132"/>
  <c r="I185" i="132" s="1"/>
  <c r="I183" i="132" s="1"/>
  <c r="I181" i="132" s="1"/>
  <c r="I179" i="132" s="1"/>
  <c r="I177" i="132" s="1"/>
  <c r="C2158" i="132"/>
  <c r="C2159" i="132"/>
  <c r="C2271" i="132"/>
  <c r="G2270" i="132"/>
  <c r="F2270" i="132"/>
  <c r="E2270" i="132"/>
  <c r="D2270" i="132"/>
  <c r="I2269" i="132"/>
  <c r="C2106" i="132"/>
  <c r="C1889" i="132"/>
  <c r="C810" i="132"/>
  <c r="E1832" i="132"/>
  <c r="F1832" i="132"/>
  <c r="G1832" i="132"/>
  <c r="H1832" i="132"/>
  <c r="I1832" i="132"/>
  <c r="D1832" i="132"/>
  <c r="E1833" i="132"/>
  <c r="F1833" i="132"/>
  <c r="G1833" i="132"/>
  <c r="H1833" i="132"/>
  <c r="I1833" i="132"/>
  <c r="D1833" i="132"/>
  <c r="E115" i="132"/>
  <c r="C117" i="132"/>
  <c r="C116" i="132"/>
  <c r="I2270" i="132"/>
  <c r="H2270" i="132"/>
  <c r="C1171" i="132"/>
  <c r="E2110" i="132"/>
  <c r="C2110" i="132" s="1"/>
  <c r="C2112" i="132"/>
  <c r="I2111" i="132"/>
  <c r="C2113" i="132"/>
  <c r="E2111" i="132"/>
  <c r="C2111" i="132" s="1"/>
  <c r="E2053" i="132"/>
  <c r="C1979" i="132"/>
  <c r="I1978" i="132"/>
  <c r="I1976" i="132" s="1"/>
  <c r="I1974" i="132" s="1"/>
  <c r="C1980" i="132"/>
  <c r="C2010" i="132"/>
  <c r="C1908" i="132"/>
  <c r="C1909" i="132"/>
  <c r="C2566" i="132"/>
  <c r="C2572" i="132"/>
  <c r="C2573" i="132"/>
  <c r="H2571" i="132"/>
  <c r="G2571" i="132"/>
  <c r="F2571" i="132"/>
  <c r="E2571" i="132"/>
  <c r="D2571" i="132"/>
  <c r="I2570" i="132"/>
  <c r="C255" i="132"/>
  <c r="H2570" i="132"/>
  <c r="G2570" i="132"/>
  <c r="F2570" i="132"/>
  <c r="E2570" i="132"/>
  <c r="D2105" i="132"/>
  <c r="D2570" i="132"/>
  <c r="C2570" i="132" s="1"/>
  <c r="I2569" i="132"/>
  <c r="H2569" i="132"/>
  <c r="C327" i="132"/>
  <c r="I2104" i="132"/>
  <c r="G2569" i="132"/>
  <c r="F2569" i="132"/>
  <c r="E2569" i="132"/>
  <c r="D2569" i="132"/>
  <c r="C2569" i="132"/>
  <c r="I2568" i="132"/>
  <c r="H2568" i="132"/>
  <c r="C2266" i="132"/>
  <c r="H2104" i="132"/>
  <c r="G2104" i="132"/>
  <c r="F2104" i="132"/>
  <c r="E2104" i="132"/>
  <c r="D2104" i="132"/>
  <c r="C413" i="132"/>
  <c r="C332" i="132"/>
  <c r="E1606" i="132"/>
  <c r="D1606" i="132"/>
  <c r="C2565" i="132"/>
  <c r="I2564" i="132"/>
  <c r="H2564" i="132"/>
  <c r="G2564" i="132"/>
  <c r="F2564" i="132"/>
  <c r="E2564" i="132"/>
  <c r="C139" i="132"/>
  <c r="C638" i="132"/>
  <c r="I1606" i="132"/>
  <c r="I1607" i="132"/>
  <c r="G2568" i="132"/>
  <c r="F2568" i="132"/>
  <c r="E2568" i="132"/>
  <c r="D2568" i="132"/>
  <c r="H2269" i="132"/>
  <c r="G2269" i="132"/>
  <c r="F2269" i="132"/>
  <c r="E2269" i="132"/>
  <c r="D2269" i="132"/>
  <c r="C2107" i="132"/>
  <c r="I2105" i="132"/>
  <c r="H2105" i="132"/>
  <c r="G2105" i="132"/>
  <c r="F2105" i="132"/>
  <c r="E2105" i="132"/>
  <c r="C2105" i="132" s="1"/>
  <c r="C1177" i="132"/>
  <c r="D2564" i="132"/>
  <c r="C2564" i="132" s="1"/>
  <c r="I2563" i="132"/>
  <c r="C2104" i="132"/>
  <c r="I2103" i="132"/>
  <c r="H2103" i="132"/>
  <c r="G2103" i="132"/>
  <c r="F2103" i="132"/>
  <c r="E2103" i="132"/>
  <c r="D2103" i="132"/>
  <c r="I2102" i="132"/>
  <c r="H2102" i="132"/>
  <c r="C1819" i="132"/>
  <c r="C680" i="132"/>
  <c r="D149" i="132"/>
  <c r="D147" i="132" s="1"/>
  <c r="D145" i="132" s="1"/>
  <c r="C1345" i="132"/>
  <c r="C2571" i="132"/>
  <c r="E1497" i="132"/>
  <c r="I1497" i="132"/>
  <c r="D1497" i="132"/>
  <c r="E1498" i="132"/>
  <c r="I1498" i="132"/>
  <c r="D1498" i="132"/>
  <c r="C2559" i="132"/>
  <c r="G2102" i="132"/>
  <c r="F2102" i="132"/>
  <c r="C1616" i="132"/>
  <c r="H1495" i="132"/>
  <c r="H1493" i="132" s="1"/>
  <c r="H1491" i="132" s="1"/>
  <c r="H1489" i="132" s="1"/>
  <c r="G1495" i="132"/>
  <c r="G1493" i="132" s="1"/>
  <c r="G1491" i="132" s="1"/>
  <c r="G1489" i="132" s="1"/>
  <c r="F1495" i="132"/>
  <c r="F1493" i="132" s="1"/>
  <c r="F1491" i="132" s="1"/>
  <c r="F1489" i="132" s="1"/>
  <c r="G1496" i="132"/>
  <c r="G1494" i="132" s="1"/>
  <c r="G1492" i="132" s="1"/>
  <c r="G1490" i="132" s="1"/>
  <c r="F1496" i="132"/>
  <c r="F1494" i="132" s="1"/>
  <c r="F1492" i="132" s="1"/>
  <c r="F1490" i="132" s="1"/>
  <c r="H1496" i="132"/>
  <c r="H1494" i="132" s="1"/>
  <c r="H1492" i="132" s="1"/>
  <c r="H1490" i="132" s="1"/>
  <c r="C626" i="132"/>
  <c r="C574" i="132"/>
  <c r="C349" i="132"/>
  <c r="D554" i="132"/>
  <c r="D552" i="132" s="1"/>
  <c r="C1539" i="132"/>
  <c r="C2560" i="132"/>
  <c r="C2447" i="132"/>
  <c r="C2056" i="132"/>
  <c r="C182" i="132"/>
  <c r="E1589" i="132"/>
  <c r="C232" i="132"/>
  <c r="C702" i="132"/>
  <c r="C1885" i="132"/>
  <c r="C728" i="132"/>
  <c r="C777" i="132"/>
  <c r="C171" i="132"/>
  <c r="C1364" i="132"/>
  <c r="E1127" i="132"/>
  <c r="E613" i="132" s="1"/>
  <c r="F1127" i="132"/>
  <c r="F613" i="132" s="1"/>
  <c r="G1127" i="132"/>
  <c r="G613" i="132" s="1"/>
  <c r="H1127" i="132"/>
  <c r="H613" i="132" s="1"/>
  <c r="I1127" i="132"/>
  <c r="I613" i="132" s="1"/>
  <c r="D1127" i="132"/>
  <c r="D613" i="132" s="1"/>
  <c r="E1128" i="132"/>
  <c r="E614" i="132" s="1"/>
  <c r="F1128" i="132"/>
  <c r="F614" i="132" s="1"/>
  <c r="G1128" i="132"/>
  <c r="G614" i="132" s="1"/>
  <c r="H1128" i="132"/>
  <c r="H614" i="132" s="1"/>
  <c r="I1128" i="132"/>
  <c r="I614" i="132" s="1"/>
  <c r="D1128" i="132"/>
  <c r="D614" i="132" s="1"/>
  <c r="H2563" i="132"/>
  <c r="G2563" i="132"/>
  <c r="F2563" i="132"/>
  <c r="E2563" i="132"/>
  <c r="D2563" i="132"/>
  <c r="C2265" i="132"/>
  <c r="I1815" i="132"/>
  <c r="C1815" i="132" s="1"/>
  <c r="C1610" i="132"/>
  <c r="I1373" i="132"/>
  <c r="C341" i="132"/>
  <c r="C320" i="132"/>
  <c r="F229" i="132"/>
  <c r="F2530" i="132" s="1"/>
  <c r="E148" i="132"/>
  <c r="C164" i="132"/>
  <c r="C316" i="132"/>
  <c r="C318" i="132"/>
  <c r="C1057" i="132"/>
  <c r="D240" i="132"/>
  <c r="D238" i="132" s="1"/>
  <c r="C776" i="132"/>
  <c r="D1589" i="132"/>
  <c r="D1587" i="132" s="1"/>
  <c r="D1585" i="132" s="1"/>
  <c r="C815" i="132"/>
  <c r="C726" i="132"/>
  <c r="C127" i="132"/>
  <c r="C2055" i="132"/>
  <c r="D2054" i="132"/>
  <c r="C372" i="132"/>
  <c r="C364" i="132"/>
  <c r="C420" i="132"/>
  <c r="C245" i="132"/>
  <c r="I243" i="132"/>
  <c r="E243" i="132"/>
  <c r="E2445" i="132"/>
  <c r="D2445" i="132"/>
  <c r="C154" i="132"/>
  <c r="F2089" i="132"/>
  <c r="F2087" i="132" s="1"/>
  <c r="E2089" i="132"/>
  <c r="D2089" i="132"/>
  <c r="H2087" i="132"/>
  <c r="G2087" i="132"/>
  <c r="C1367" i="132"/>
  <c r="I2444" i="132"/>
  <c r="I2442" i="132" s="1"/>
  <c r="H2444" i="132"/>
  <c r="H2442" i="132" s="1"/>
  <c r="G2444" i="132"/>
  <c r="G2442" i="132" s="1"/>
  <c r="F2444" i="132"/>
  <c r="F2442" i="132" s="1"/>
  <c r="E2444" i="132"/>
  <c r="E2442" i="132" s="1"/>
  <c r="D2444" i="132"/>
  <c r="I2443" i="132"/>
  <c r="I2441" i="132" s="1"/>
  <c r="I2439" i="132" s="1"/>
  <c r="I2437" i="132" s="1"/>
  <c r="H2443" i="132"/>
  <c r="H2441" i="132" s="1"/>
  <c r="H2439" i="132" s="1"/>
  <c r="H2437" i="132" s="1"/>
  <c r="G2443" i="132"/>
  <c r="F2443" i="132"/>
  <c r="D2241" i="132"/>
  <c r="I2242" i="132"/>
  <c r="I2240" i="132" s="1"/>
  <c r="C1820" i="132"/>
  <c r="I1816" i="132"/>
  <c r="C1816" i="132" s="1"/>
  <c r="C1380" i="132"/>
  <c r="I1374" i="132"/>
  <c r="C1374" i="132" s="1"/>
  <c r="C489" i="132"/>
  <c r="C184" i="132"/>
  <c r="C831" i="132"/>
  <c r="C832" i="132"/>
  <c r="C1151" i="132"/>
  <c r="C213" i="132"/>
  <c r="C195" i="132"/>
  <c r="C125" i="132"/>
  <c r="C275" i="132"/>
  <c r="H2242" i="132"/>
  <c r="G2242" i="132"/>
  <c r="I1372" i="132"/>
  <c r="H1372" i="132"/>
  <c r="G1372" i="132"/>
  <c r="C188" i="132"/>
  <c r="C123" i="132"/>
  <c r="F2242" i="132"/>
  <c r="E2242" i="132"/>
  <c r="D2242" i="132"/>
  <c r="F239" i="132"/>
  <c r="F237" i="132" s="1"/>
  <c r="C697" i="132"/>
  <c r="C312" i="132"/>
  <c r="C235" i="132"/>
  <c r="F1372" i="132"/>
  <c r="H239" i="132"/>
  <c r="H237" i="132" s="1"/>
  <c r="C718" i="132"/>
  <c r="C170" i="132"/>
  <c r="I2241" i="132"/>
  <c r="I2239" i="132" s="1"/>
  <c r="E1372" i="132"/>
  <c r="D1372" i="132"/>
  <c r="C313" i="132"/>
  <c r="D308" i="132"/>
  <c r="C192" i="132"/>
  <c r="C2287" i="132"/>
  <c r="C2296" i="132"/>
  <c r="H2241" i="132"/>
  <c r="G2241" i="132"/>
  <c r="F2241" i="132"/>
  <c r="C1157" i="132"/>
  <c r="C1812" i="132"/>
  <c r="C1592" i="132"/>
  <c r="C1182" i="132"/>
  <c r="H1371" i="132"/>
  <c r="G1371" i="132"/>
  <c r="F1371" i="132"/>
  <c r="C268" i="132"/>
  <c r="C2431" i="132"/>
  <c r="E2241" i="132"/>
  <c r="C270" i="132"/>
  <c r="E1371" i="132"/>
  <c r="D1371" i="132"/>
  <c r="C699" i="132"/>
  <c r="D1149" i="132"/>
  <c r="C1149" i="132" s="1"/>
  <c r="C818" i="132"/>
  <c r="I816" i="132"/>
  <c r="C722" i="132"/>
  <c r="C723" i="132"/>
  <c r="C1363" i="132"/>
  <c r="I1137" i="132"/>
  <c r="H1137" i="132"/>
  <c r="G1137" i="132"/>
  <c r="F1137" i="132"/>
  <c r="E1137" i="132"/>
  <c r="C637" i="132"/>
  <c r="I636" i="132"/>
  <c r="I634" i="132" s="1"/>
  <c r="I632" i="132" s="1"/>
  <c r="H636" i="132"/>
  <c r="H634" i="132" s="1"/>
  <c r="H632" i="132" s="1"/>
  <c r="G636" i="132"/>
  <c r="G634" i="132" s="1"/>
  <c r="G632" i="132" s="1"/>
  <c r="D636" i="132"/>
  <c r="I635" i="132"/>
  <c r="I633" i="132" s="1"/>
  <c r="H635" i="132"/>
  <c r="H633" i="132" s="1"/>
  <c r="G635" i="132"/>
  <c r="G633" i="132" s="1"/>
  <c r="F635" i="132"/>
  <c r="F633" i="132" s="1"/>
  <c r="E635" i="132"/>
  <c r="E633" i="132" s="1"/>
  <c r="D635" i="132"/>
  <c r="F634" i="132"/>
  <c r="F632" i="132" s="1"/>
  <c r="E634" i="132"/>
  <c r="E632" i="132" s="1"/>
  <c r="E229" i="132"/>
  <c r="E2530" i="132" s="1"/>
  <c r="D229" i="132"/>
  <c r="D2530" i="132" s="1"/>
  <c r="H481" i="132"/>
  <c r="I481" i="132"/>
  <c r="D481" i="132"/>
  <c r="H482" i="132"/>
  <c r="I482" i="132"/>
  <c r="D482" i="132"/>
  <c r="D480" i="132" s="1"/>
  <c r="C1805" i="132"/>
  <c r="C256" i="132"/>
  <c r="E2428" i="132"/>
  <c r="D2428" i="132"/>
  <c r="C2228" i="132"/>
  <c r="E550" i="132"/>
  <c r="C359" i="132"/>
  <c r="C311" i="132"/>
  <c r="I2221" i="132"/>
  <c r="C382" i="132"/>
  <c r="C266" i="132"/>
  <c r="C226" i="132"/>
  <c r="D2053" i="132"/>
  <c r="G2052" i="132"/>
  <c r="C414" i="132"/>
  <c r="I1790" i="132"/>
  <c r="C485" i="132"/>
  <c r="C1344" i="132"/>
  <c r="C367" i="132"/>
  <c r="C377" i="132"/>
  <c r="C361" i="132"/>
  <c r="I208" i="132"/>
  <c r="I206" i="132" s="1"/>
  <c r="I204" i="132" s="1"/>
  <c r="I202" i="132" s="1"/>
  <c r="I200" i="132" s="1"/>
  <c r="H208" i="132"/>
  <c r="H206" i="132" s="1"/>
  <c r="H204" i="132" s="1"/>
  <c r="H202" i="132" s="1"/>
  <c r="H200" i="132" s="1"/>
  <c r="G208" i="132"/>
  <c r="G206" i="132" s="1"/>
  <c r="G204" i="132" s="1"/>
  <c r="G202" i="132" s="1"/>
  <c r="G200" i="132" s="1"/>
  <c r="F208" i="132"/>
  <c r="F206" i="132" s="1"/>
  <c r="F204" i="132" s="1"/>
  <c r="F202" i="132" s="1"/>
  <c r="F200" i="132" s="1"/>
  <c r="E208" i="132"/>
  <c r="E206" i="132" s="1"/>
  <c r="E204" i="132" s="1"/>
  <c r="E202" i="132" s="1"/>
  <c r="E200" i="132" s="1"/>
  <c r="D208" i="132"/>
  <c r="I207" i="132"/>
  <c r="I205" i="132" s="1"/>
  <c r="I203" i="132" s="1"/>
  <c r="I201" i="132" s="1"/>
  <c r="H207" i="132"/>
  <c r="H205" i="132" s="1"/>
  <c r="H203" i="132" s="1"/>
  <c r="H201" i="132" s="1"/>
  <c r="G207" i="132"/>
  <c r="G205" i="132" s="1"/>
  <c r="G203" i="132" s="1"/>
  <c r="G201" i="132" s="1"/>
  <c r="F207" i="132"/>
  <c r="F205" i="132" s="1"/>
  <c r="F203" i="132" s="1"/>
  <c r="F201" i="132" s="1"/>
  <c r="E207" i="132"/>
  <c r="E205" i="132" s="1"/>
  <c r="E203" i="132" s="1"/>
  <c r="E201" i="132" s="1"/>
  <c r="D207" i="132"/>
  <c r="G479" i="132"/>
  <c r="F479" i="132"/>
  <c r="F480" i="132"/>
  <c r="G480" i="132"/>
  <c r="C493" i="132"/>
  <c r="F398" i="132"/>
  <c r="G398" i="132"/>
  <c r="E460" i="132"/>
  <c r="F460" i="132"/>
  <c r="G460" i="132"/>
  <c r="G458" i="132" s="1"/>
  <c r="H460" i="132"/>
  <c r="I460" i="132"/>
  <c r="D460" i="132"/>
  <c r="G461" i="132"/>
  <c r="G459" i="132" s="1"/>
  <c r="H461" i="132"/>
  <c r="H459" i="132" s="1"/>
  <c r="I461" i="132"/>
  <c r="D461" i="132"/>
  <c r="C2243" i="132"/>
  <c r="C2224" i="132"/>
  <c r="C812" i="132"/>
  <c r="C120" i="132"/>
  <c r="F2426" i="132"/>
  <c r="D2221" i="132"/>
  <c r="I2220" i="132"/>
  <c r="D2220" i="132"/>
  <c r="C252" i="132"/>
  <c r="C194" i="132"/>
  <c r="I2051" i="132"/>
  <c r="H2051" i="132"/>
  <c r="F2051" i="132"/>
  <c r="I2050" i="132"/>
  <c r="H2050" i="132"/>
  <c r="F2050" i="132"/>
  <c r="E2050" i="132"/>
  <c r="D1790" i="132"/>
  <c r="I1789" i="132"/>
  <c r="D1789" i="132"/>
  <c r="C821" i="132"/>
  <c r="C225" i="132"/>
  <c r="C1540" i="132"/>
  <c r="C155" i="132"/>
  <c r="C1325" i="132"/>
  <c r="I1323" i="132"/>
  <c r="H1323" i="132"/>
  <c r="G1323" i="132"/>
  <c r="F1323" i="132"/>
  <c r="E1323" i="132"/>
  <c r="D1323" i="132"/>
  <c r="C1323" i="132" s="1"/>
  <c r="I1322" i="132"/>
  <c r="H1322" i="132"/>
  <c r="G1322" i="132"/>
  <c r="F1322" i="132"/>
  <c r="E1322" i="132"/>
  <c r="D1322" i="132"/>
  <c r="C1322" i="132" s="1"/>
  <c r="C802" i="132"/>
  <c r="H799" i="132"/>
  <c r="G799" i="132"/>
  <c r="F799" i="132"/>
  <c r="E799" i="132"/>
  <c r="D799" i="132"/>
  <c r="F589" i="132"/>
  <c r="F505" i="132" s="1"/>
  <c r="E589" i="132"/>
  <c r="E505" i="132" s="1"/>
  <c r="C490" i="132"/>
  <c r="E480" i="132"/>
  <c r="C487" i="132"/>
  <c r="E479" i="132"/>
  <c r="C488" i="132"/>
  <c r="F463" i="132"/>
  <c r="F461" i="132" s="1"/>
  <c r="F465" i="132"/>
  <c r="C462" i="132"/>
  <c r="F464" i="132"/>
  <c r="C464" i="132" s="1"/>
  <c r="C466" i="132"/>
  <c r="E463" i="132"/>
  <c r="E461" i="132" s="1"/>
  <c r="E465" i="132"/>
  <c r="C467" i="132"/>
  <c r="C1811" i="132"/>
  <c r="C765" i="132"/>
  <c r="C733" i="132"/>
  <c r="C627" i="132"/>
  <c r="C212" i="132"/>
  <c r="C196" i="132"/>
  <c r="C2218" i="132"/>
  <c r="I2215" i="132"/>
  <c r="I2214" i="132"/>
  <c r="E2213" i="132"/>
  <c r="H2212" i="132"/>
  <c r="G2212" i="132"/>
  <c r="F2212" i="132"/>
  <c r="E2212" i="132"/>
  <c r="C2171" i="132"/>
  <c r="C2170" i="132"/>
  <c r="I2169" i="132"/>
  <c r="C2169" i="132" s="1"/>
  <c r="I2168" i="132"/>
  <c r="C2168" i="132" s="1"/>
  <c r="C210" i="132"/>
  <c r="H178" i="132"/>
  <c r="C178" i="132" s="1"/>
  <c r="I2044" i="132"/>
  <c r="I2042" i="132" s="1"/>
  <c r="I2040" i="132" s="1"/>
  <c r="F2044" i="132"/>
  <c r="F2042" i="132" s="1"/>
  <c r="F2040" i="132" s="1"/>
  <c r="I2043" i="132"/>
  <c r="I2041" i="132" s="1"/>
  <c r="I2039" i="132" s="1"/>
  <c r="F2043" i="132"/>
  <c r="F2041" i="132" s="1"/>
  <c r="C1834" i="132"/>
  <c r="C1575" i="132"/>
  <c r="C721" i="132"/>
  <c r="C696" i="132"/>
  <c r="C628" i="132"/>
  <c r="C152" i="132"/>
  <c r="C1806" i="132"/>
  <c r="C817" i="132"/>
  <c r="C1570" i="132"/>
  <c r="I1569" i="132"/>
  <c r="I1567" i="132" s="1"/>
  <c r="I1565" i="132" s="1"/>
  <c r="H1569" i="132"/>
  <c r="H1567" i="132" s="1"/>
  <c r="H1565" i="132" s="1"/>
  <c r="G1569" i="132"/>
  <c r="G1567" i="132" s="1"/>
  <c r="G1565" i="132" s="1"/>
  <c r="F1569" i="132"/>
  <c r="F1567" i="132" s="1"/>
  <c r="F1565" i="132" s="1"/>
  <c r="E1569" i="132"/>
  <c r="E1567" i="132" s="1"/>
  <c r="D1569" i="132"/>
  <c r="I1568" i="132"/>
  <c r="I1566" i="132" s="1"/>
  <c r="H1568" i="132"/>
  <c r="H1566" i="132" s="1"/>
  <c r="G1568" i="132"/>
  <c r="G1566" i="132" s="1"/>
  <c r="F1568" i="132"/>
  <c r="F1566" i="132" s="1"/>
  <c r="E1568" i="132"/>
  <c r="E1566" i="132" s="1"/>
  <c r="D1568" i="132"/>
  <c r="C720" i="132"/>
  <c r="C701" i="132"/>
  <c r="C180" i="132"/>
  <c r="C191" i="132"/>
  <c r="C140" i="132"/>
  <c r="D589" i="132"/>
  <c r="E432" i="132"/>
  <c r="F432" i="132"/>
  <c r="G432" i="132"/>
  <c r="I432" i="132"/>
  <c r="D432" i="132"/>
  <c r="D430" i="132" s="1"/>
  <c r="D428" i="132" s="1"/>
  <c r="E433" i="132"/>
  <c r="F433" i="132"/>
  <c r="G433" i="132"/>
  <c r="I433" i="132"/>
  <c r="D433" i="132"/>
  <c r="C2272" i="132"/>
  <c r="C2430" i="132"/>
  <c r="I2429" i="132"/>
  <c r="I2427" i="132" s="1"/>
  <c r="I2425" i="132" s="1"/>
  <c r="I2423" i="132" s="1"/>
  <c r="H2429" i="132"/>
  <c r="H2427" i="132" s="1"/>
  <c r="H2425" i="132" s="1"/>
  <c r="H2423" i="132" s="1"/>
  <c r="G2429" i="132"/>
  <c r="G2427" i="132" s="1"/>
  <c r="G2425" i="132" s="1"/>
  <c r="G2423" i="132" s="1"/>
  <c r="F2429" i="132"/>
  <c r="F2427" i="132" s="1"/>
  <c r="F2425" i="132" s="1"/>
  <c r="F2423" i="132" s="1"/>
  <c r="E2429" i="132"/>
  <c r="E2427" i="132" s="1"/>
  <c r="E2425" i="132" s="1"/>
  <c r="E2423" i="132" s="1"/>
  <c r="D2429" i="132"/>
  <c r="I2428" i="132"/>
  <c r="I2426" i="132" s="1"/>
  <c r="I2424" i="132" s="1"/>
  <c r="I2422" i="132" s="1"/>
  <c r="H2428" i="132"/>
  <c r="H2426" i="132" s="1"/>
  <c r="H2424" i="132" s="1"/>
  <c r="H2422" i="132" s="1"/>
  <c r="G2428" i="132"/>
  <c r="C2308" i="132"/>
  <c r="C2286" i="132"/>
  <c r="C2092" i="132"/>
  <c r="C2229" i="132"/>
  <c r="H2213" i="132"/>
  <c r="G2213" i="132"/>
  <c r="F2213" i="132"/>
  <c r="C1884" i="132"/>
  <c r="C1873" i="132"/>
  <c r="C1872" i="132"/>
  <c r="C1862" i="132"/>
  <c r="C2091" i="132"/>
  <c r="I2090" i="132"/>
  <c r="I2088" i="132" s="1"/>
  <c r="I2086" i="132" s="1"/>
  <c r="H2090" i="132"/>
  <c r="H2088" i="132" s="1"/>
  <c r="H2086" i="132" s="1"/>
  <c r="G2090" i="132"/>
  <c r="G2088" i="132" s="1"/>
  <c r="G2086" i="132" s="1"/>
  <c r="F2090" i="132"/>
  <c r="F2088" i="132" s="1"/>
  <c r="F2086" i="132" s="1"/>
  <c r="E2090" i="132"/>
  <c r="E2088" i="132" s="1"/>
  <c r="E2086" i="132" s="1"/>
  <c r="D2090" i="132"/>
  <c r="I2089" i="132"/>
  <c r="C1591" i="132"/>
  <c r="I1590" i="132"/>
  <c r="I1588" i="132" s="1"/>
  <c r="I1586" i="132" s="1"/>
  <c r="I1584" i="132" s="1"/>
  <c r="I1582" i="132" s="1"/>
  <c r="H1590" i="132"/>
  <c r="H1588" i="132" s="1"/>
  <c r="H1586" i="132" s="1"/>
  <c r="H1584" i="132" s="1"/>
  <c r="H1582" i="132" s="1"/>
  <c r="G1590" i="132"/>
  <c r="G1588" i="132" s="1"/>
  <c r="G1586" i="132" s="1"/>
  <c r="G1584" i="132" s="1"/>
  <c r="G1582" i="132" s="1"/>
  <c r="F1590" i="132"/>
  <c r="F1588" i="132" s="1"/>
  <c r="F1586" i="132" s="1"/>
  <c r="F1584" i="132" s="1"/>
  <c r="F1582" i="132" s="1"/>
  <c r="E1590" i="132"/>
  <c r="E1588" i="132" s="1"/>
  <c r="E1586" i="132" s="1"/>
  <c r="E1584" i="132" s="1"/>
  <c r="E1582" i="132" s="1"/>
  <c r="D1590" i="132"/>
  <c r="I1589" i="132"/>
  <c r="I1587" i="132" s="1"/>
  <c r="I1585" i="132" s="1"/>
  <c r="I1583" i="132" s="1"/>
  <c r="I1581" i="132" s="1"/>
  <c r="H1589" i="132"/>
  <c r="H1587" i="132" s="1"/>
  <c r="H1585" i="132" s="1"/>
  <c r="H1583" i="132" s="1"/>
  <c r="H1581" i="132" s="1"/>
  <c r="G1589" i="132"/>
  <c r="G1587" i="132" s="1"/>
  <c r="G1585" i="132" s="1"/>
  <c r="G1583" i="132" s="1"/>
  <c r="G1581" i="132" s="1"/>
  <c r="F1589" i="132"/>
  <c r="C1169" i="132"/>
  <c r="C1390" i="132"/>
  <c r="I1388" i="132"/>
  <c r="H1388" i="132"/>
  <c r="G1388" i="132"/>
  <c r="F1388" i="132"/>
  <c r="E1388" i="132"/>
  <c r="D1388" i="132"/>
  <c r="I1387" i="132"/>
  <c r="H1387" i="132"/>
  <c r="G1387" i="132"/>
  <c r="F1387" i="132"/>
  <c r="E1387" i="132"/>
  <c r="D1387" i="132"/>
  <c r="C1387" i="132" s="1"/>
  <c r="I1138" i="132"/>
  <c r="H1138" i="132"/>
  <c r="G1138" i="132"/>
  <c r="F1138" i="132"/>
  <c r="E1138" i="132"/>
  <c r="H808" i="132"/>
  <c r="G808" i="132"/>
  <c r="F808" i="132"/>
  <c r="D808" i="132"/>
  <c r="I807" i="132"/>
  <c r="H807" i="132"/>
  <c r="G807" i="132"/>
  <c r="F807" i="132"/>
  <c r="E807" i="132"/>
  <c r="D807" i="132"/>
  <c r="C366" i="132"/>
  <c r="C351" i="132"/>
  <c r="G307" i="132"/>
  <c r="G305" i="132" s="1"/>
  <c r="G303" i="132" s="1"/>
  <c r="G306" i="132"/>
  <c r="G304" i="132" s="1"/>
  <c r="G302" i="132" s="1"/>
  <c r="C334" i="132"/>
  <c r="C323" i="132"/>
  <c r="F306" i="132"/>
  <c r="F304" i="132" s="1"/>
  <c r="F302" i="132" s="1"/>
  <c r="G284" i="132"/>
  <c r="C133" i="132"/>
  <c r="C438" i="132"/>
  <c r="C439" i="132"/>
  <c r="F82" i="132"/>
  <c r="H82" i="132"/>
  <c r="I82" i="132"/>
  <c r="F83" i="132"/>
  <c r="H83" i="132"/>
  <c r="I83" i="132"/>
  <c r="D83" i="132"/>
  <c r="H2410" i="132"/>
  <c r="H2408" i="132" s="1"/>
  <c r="H2406" i="132" s="1"/>
  <c r="G2410" i="132"/>
  <c r="G2408" i="132" s="1"/>
  <c r="G2406" i="132" s="1"/>
  <c r="F2410" i="132"/>
  <c r="F2408" i="132" s="1"/>
  <c r="F2406" i="132" s="1"/>
  <c r="E2410" i="132"/>
  <c r="E2408" i="132" s="1"/>
  <c r="E2406" i="132" s="1"/>
  <c r="D2410" i="132"/>
  <c r="I2409" i="132"/>
  <c r="I2407" i="132" s="1"/>
  <c r="H2409" i="132"/>
  <c r="H2407" i="132" s="1"/>
  <c r="G2409" i="132"/>
  <c r="G2407" i="132" s="1"/>
  <c r="F2409" i="132"/>
  <c r="F2407" i="132" s="1"/>
  <c r="E2409" i="132"/>
  <c r="E2407" i="132" s="1"/>
  <c r="C2244" i="132"/>
  <c r="C2225" i="132"/>
  <c r="C253" i="132"/>
  <c r="C223" i="132"/>
  <c r="C150" i="132"/>
  <c r="C2206" i="132"/>
  <c r="H1935" i="132"/>
  <c r="H1933" i="132" s="1"/>
  <c r="H1931" i="132" s="1"/>
  <c r="H1929" i="132" s="1"/>
  <c r="G1935" i="132"/>
  <c r="G1933" i="132" s="1"/>
  <c r="G1931" i="132" s="1"/>
  <c r="G1929" i="132" s="1"/>
  <c r="F1935" i="132"/>
  <c r="F1933" i="132" s="1"/>
  <c r="F1931" i="132" s="1"/>
  <c r="F1929" i="132" s="1"/>
  <c r="D1935" i="132"/>
  <c r="H1934" i="132"/>
  <c r="H1932" i="132" s="1"/>
  <c r="H1930" i="132" s="1"/>
  <c r="H1928" i="132" s="1"/>
  <c r="C1791" i="132"/>
  <c r="C1139" i="132"/>
  <c r="C800" i="132"/>
  <c r="C292" i="132"/>
  <c r="C269" i="132"/>
  <c r="H1762" i="132"/>
  <c r="H1760" i="132" s="1"/>
  <c r="H1758" i="132" s="1"/>
  <c r="H1756" i="132" s="1"/>
  <c r="D1679" i="132"/>
  <c r="C1679" i="132" s="1"/>
  <c r="C1174" i="132"/>
  <c r="H1442" i="132"/>
  <c r="G1442" i="132"/>
  <c r="F1442" i="132"/>
  <c r="E1442" i="132"/>
  <c r="D1442" i="132"/>
  <c r="I1441" i="132"/>
  <c r="H1441" i="132"/>
  <c r="G1441" i="132"/>
  <c r="F1441" i="132"/>
  <c r="E1441" i="132"/>
  <c r="C1172" i="132"/>
  <c r="C1170" i="132"/>
  <c r="C1158" i="132"/>
  <c r="C1152" i="132"/>
  <c r="C1140" i="132"/>
  <c r="C289" i="132"/>
  <c r="C288" i="132"/>
  <c r="D1362" i="132"/>
  <c r="D1361" i="132"/>
  <c r="I1359" i="132"/>
  <c r="H1359" i="132"/>
  <c r="G1359" i="132"/>
  <c r="F1359" i="132"/>
  <c r="E1359" i="132"/>
  <c r="I1197" i="132"/>
  <c r="H1197" i="132"/>
  <c r="G1197" i="132"/>
  <c r="C1175" i="132"/>
  <c r="C1168" i="132"/>
  <c r="D1150" i="132"/>
  <c r="C1112" i="132"/>
  <c r="C273" i="132"/>
  <c r="H240" i="132"/>
  <c r="H238" i="132" s="1"/>
  <c r="C153" i="132"/>
  <c r="C1111" i="132"/>
  <c r="C801" i="132"/>
  <c r="C791" i="132"/>
  <c r="C291" i="132"/>
  <c r="I251" i="132"/>
  <c r="C135" i="132"/>
  <c r="G788" i="132"/>
  <c r="G786" i="132" s="1"/>
  <c r="G784" i="132" s="1"/>
  <c r="G774" i="132" s="1"/>
  <c r="G772" i="132" s="1"/>
  <c r="F788" i="132"/>
  <c r="F786" i="132" s="1"/>
  <c r="F784" i="132" s="1"/>
  <c r="F774" i="132" s="1"/>
  <c r="F772" i="132" s="1"/>
  <c r="E788" i="132"/>
  <c r="D788" i="132"/>
  <c r="D786" i="132" s="1"/>
  <c r="D784" i="132" s="1"/>
  <c r="D774" i="132" s="1"/>
  <c r="D772" i="132" s="1"/>
  <c r="I787" i="132"/>
  <c r="I785" i="132" s="1"/>
  <c r="I775" i="132" s="1"/>
  <c r="I773" i="132" s="1"/>
  <c r="H787" i="132"/>
  <c r="H785" i="132" s="1"/>
  <c r="H775" i="132" s="1"/>
  <c r="H773" i="132" s="1"/>
  <c r="G787" i="132"/>
  <c r="G785" i="132" s="1"/>
  <c r="G775" i="132" s="1"/>
  <c r="G773" i="132" s="1"/>
  <c r="F787" i="132"/>
  <c r="F785" i="132" s="1"/>
  <c r="F775" i="132" s="1"/>
  <c r="F773" i="132" s="1"/>
  <c r="E787" i="132"/>
  <c r="E785" i="132" s="1"/>
  <c r="E775" i="132" s="1"/>
  <c r="E773" i="132" s="1"/>
  <c r="D787" i="132"/>
  <c r="I786" i="132"/>
  <c r="I784" i="132" s="1"/>
  <c r="I774" i="132" s="1"/>
  <c r="I772" i="132" s="1"/>
  <c r="H786" i="132"/>
  <c r="H784" i="132" s="1"/>
  <c r="H774" i="132" s="1"/>
  <c r="H772" i="132" s="1"/>
  <c r="C309" i="132"/>
  <c r="C300" i="132"/>
  <c r="D286" i="132"/>
  <c r="D282" i="132" s="1"/>
  <c r="D2553" i="132" s="1"/>
  <c r="H571" i="132"/>
  <c r="H569" i="132" s="1"/>
  <c r="H567" i="132" s="1"/>
  <c r="H565" i="132" s="1"/>
  <c r="H563" i="132" s="1"/>
  <c r="G571" i="132"/>
  <c r="G569" i="132" s="1"/>
  <c r="G567" i="132" s="1"/>
  <c r="G565" i="132" s="1"/>
  <c r="G563" i="132" s="1"/>
  <c r="F571" i="132"/>
  <c r="F569" i="132" s="1"/>
  <c r="F567" i="132" s="1"/>
  <c r="F565" i="132" s="1"/>
  <c r="F563" i="132" s="1"/>
  <c r="E571" i="132"/>
  <c r="E569" i="132" s="1"/>
  <c r="E567" i="132" s="1"/>
  <c r="E565" i="132" s="1"/>
  <c r="E563" i="132" s="1"/>
  <c r="D571" i="132"/>
  <c r="I570" i="132"/>
  <c r="I568" i="132" s="1"/>
  <c r="I566" i="132" s="1"/>
  <c r="I564" i="132" s="1"/>
  <c r="H570" i="132"/>
  <c r="H568" i="132" s="1"/>
  <c r="H566" i="132" s="1"/>
  <c r="H564" i="132" s="1"/>
  <c r="G570" i="132"/>
  <c r="G568" i="132" s="1"/>
  <c r="G566" i="132" s="1"/>
  <c r="G564" i="132" s="1"/>
  <c r="F570" i="132"/>
  <c r="F568" i="132" s="1"/>
  <c r="F566" i="132" s="1"/>
  <c r="F564" i="132" s="1"/>
  <c r="E570" i="132"/>
  <c r="E568" i="132" s="1"/>
  <c r="E566" i="132" s="1"/>
  <c r="E564" i="132" s="1"/>
  <c r="D570" i="132"/>
  <c r="I569" i="132"/>
  <c r="I567" i="132" s="1"/>
  <c r="I565" i="132" s="1"/>
  <c r="I563" i="132" s="1"/>
  <c r="C274" i="132"/>
  <c r="C271" i="132"/>
  <c r="H248" i="132"/>
  <c r="C248" i="132" s="1"/>
  <c r="C173" i="132"/>
  <c r="D222" i="132"/>
  <c r="I221" i="132"/>
  <c r="I219" i="132" s="1"/>
  <c r="D221" i="132"/>
  <c r="I220" i="132"/>
  <c r="I2529" i="132" s="1"/>
  <c r="H220" i="132"/>
  <c r="H2529" i="132" s="1"/>
  <c r="G220" i="132"/>
  <c r="G2529" i="132" s="1"/>
  <c r="F220" i="132"/>
  <c r="F2529" i="132" s="1"/>
  <c r="E220" i="132"/>
  <c r="E2529" i="132" s="1"/>
  <c r="C436" i="132"/>
  <c r="H434" i="132"/>
  <c r="H432" i="132" s="1"/>
  <c r="H435" i="132"/>
  <c r="H433" i="132" s="1"/>
  <c r="C437" i="132"/>
  <c r="H306" i="132"/>
  <c r="H304" i="132" s="1"/>
  <c r="H302" i="132" s="1"/>
  <c r="C314" i="132"/>
  <c r="H307" i="132"/>
  <c r="H305" i="132" s="1"/>
  <c r="H303" i="132" s="1"/>
  <c r="C315" i="132"/>
  <c r="C356" i="132"/>
  <c r="C357" i="132"/>
  <c r="C350" i="132"/>
  <c r="C344" i="132"/>
  <c r="C345" i="132"/>
  <c r="C342" i="132"/>
  <c r="C338" i="132"/>
  <c r="C339" i="132"/>
  <c r="E307" i="132"/>
  <c r="E305" i="132" s="1"/>
  <c r="E303" i="132" s="1"/>
  <c r="C335" i="132"/>
  <c r="E306" i="132"/>
  <c r="E304" i="132" s="1"/>
  <c r="E302" i="132" s="1"/>
  <c r="C322" i="132"/>
  <c r="G283" i="132"/>
  <c r="G2554" i="132" s="1"/>
  <c r="C287" i="132"/>
  <c r="E284" i="132"/>
  <c r="E283" i="132"/>
  <c r="C285" i="132"/>
  <c r="E262" i="132"/>
  <c r="E260" i="132" s="1"/>
  <c r="C2543" i="132"/>
  <c r="C264" i="132"/>
  <c r="I262" i="132"/>
  <c r="I263" i="132"/>
  <c r="I261" i="132" s="1"/>
  <c r="C265" i="132"/>
  <c r="E263" i="132"/>
  <c r="C2544" i="132"/>
  <c r="I244" i="132"/>
  <c r="I242" i="132" s="1"/>
  <c r="I240" i="132" s="1"/>
  <c r="I238" i="132" s="1"/>
  <c r="E244" i="132"/>
  <c r="C246" i="132"/>
  <c r="I146" i="132"/>
  <c r="I144" i="132" s="1"/>
  <c r="I147" i="132"/>
  <c r="I145" i="132" s="1"/>
  <c r="E149" i="132"/>
  <c r="C151" i="132"/>
  <c r="H2283" i="132"/>
  <c r="H2281" i="132" s="1"/>
  <c r="H2279" i="132" s="1"/>
  <c r="G2283" i="132"/>
  <c r="G2281" i="132" s="1"/>
  <c r="G2279" i="132" s="1"/>
  <c r="F2283" i="132"/>
  <c r="F2281" i="132" s="1"/>
  <c r="F2279" i="132" s="1"/>
  <c r="E2283" i="132"/>
  <c r="E2281" i="132" s="1"/>
  <c r="E2279" i="132" s="1"/>
  <c r="I2282" i="132"/>
  <c r="I2280" i="132" s="1"/>
  <c r="I2278" i="132" s="1"/>
  <c r="H2282" i="132"/>
  <c r="H2280" i="132" s="1"/>
  <c r="H2278" i="132" s="1"/>
  <c r="G2282" i="132"/>
  <c r="G2280" i="132" s="1"/>
  <c r="G2278" i="132" s="1"/>
  <c r="F2282" i="132"/>
  <c r="F2280" i="132" s="1"/>
  <c r="F2278" i="132" s="1"/>
  <c r="E2282" i="132"/>
  <c r="E2280" i="132" s="1"/>
  <c r="E2278" i="132" s="1"/>
  <c r="F1934" i="132"/>
  <c r="F1932" i="132" s="1"/>
  <c r="F1930" i="132" s="1"/>
  <c r="F1928" i="132" s="1"/>
  <c r="I1935" i="132"/>
  <c r="I1933" i="132" s="1"/>
  <c r="I1931" i="132" s="1"/>
  <c r="I1929" i="132" s="1"/>
  <c r="I1934" i="132"/>
  <c r="I1932" i="132" s="1"/>
  <c r="I1930" i="132" s="1"/>
  <c r="I1928" i="132" s="1"/>
  <c r="E1934" i="132"/>
  <c r="E1932" i="132" s="1"/>
  <c r="E1930" i="132" s="1"/>
  <c r="E1928" i="132" s="1"/>
  <c r="I1196" i="132"/>
  <c r="H1196" i="132"/>
  <c r="G1196" i="132"/>
  <c r="C293" i="132"/>
  <c r="I2460" i="132"/>
  <c r="H2460" i="132"/>
  <c r="G2460" i="132"/>
  <c r="F2460" i="132"/>
  <c r="E2460" i="132"/>
  <c r="I2459" i="132"/>
  <c r="H2459" i="132"/>
  <c r="G2459" i="132"/>
  <c r="F2459" i="132"/>
  <c r="E2459" i="132"/>
  <c r="I2283" i="132"/>
  <c r="I2281" i="132" s="1"/>
  <c r="I2279" i="132" s="1"/>
  <c r="C2309" i="132"/>
  <c r="D2125" i="132"/>
  <c r="C2127" i="132"/>
  <c r="C2128" i="132"/>
  <c r="D2126" i="132"/>
  <c r="G1934" i="132"/>
  <c r="G1932" i="132" s="1"/>
  <c r="G1930" i="132" s="1"/>
  <c r="G1928" i="132" s="1"/>
  <c r="C1950" i="132"/>
  <c r="C1684" i="132"/>
  <c r="D1678" i="132"/>
  <c r="C1678" i="132" s="1"/>
  <c r="C1447" i="132"/>
  <c r="D1441" i="132"/>
  <c r="F1197" i="132"/>
  <c r="C1207" i="132"/>
  <c r="D557" i="132"/>
  <c r="C559" i="132"/>
  <c r="C548" i="132" s="1"/>
  <c r="C546" i="132" s="1"/>
  <c r="C544" i="132" s="1"/>
  <c r="D443" i="132"/>
  <c r="C443" i="132" s="1"/>
  <c r="C445" i="132"/>
  <c r="F112" i="132"/>
  <c r="G112" i="132"/>
  <c r="H112" i="132"/>
  <c r="F113" i="132"/>
  <c r="G113" i="132"/>
  <c r="H113" i="132"/>
  <c r="C2384" i="132"/>
  <c r="H2071" i="132"/>
  <c r="G2071" i="132"/>
  <c r="F2071" i="132"/>
  <c r="D2071" i="132"/>
  <c r="I2070" i="132"/>
  <c r="H2070" i="132"/>
  <c r="G2070" i="132"/>
  <c r="F2070" i="132"/>
  <c r="D2070" i="132"/>
  <c r="G1968" i="132"/>
  <c r="G1966" i="132" s="1"/>
  <c r="F1968" i="132"/>
  <c r="F1966" i="132" s="1"/>
  <c r="E1968" i="132"/>
  <c r="E1966" i="132" s="1"/>
  <c r="I1967" i="132"/>
  <c r="I1965" i="132" s="1"/>
  <c r="H1967" i="132"/>
  <c r="H1965" i="132" s="1"/>
  <c r="G1967" i="132"/>
  <c r="G1965" i="132" s="1"/>
  <c r="F1967" i="132"/>
  <c r="F1965" i="132" s="1"/>
  <c r="E1967" i="132"/>
  <c r="E1965" i="132" s="1"/>
  <c r="H1968" i="132"/>
  <c r="H1966" i="132" s="1"/>
  <c r="H1605" i="132"/>
  <c r="G1605" i="132"/>
  <c r="G1603" i="132" s="1"/>
  <c r="G1601" i="132" s="1"/>
  <c r="G1599" i="132" s="1"/>
  <c r="G1597" i="132" s="1"/>
  <c r="F1605" i="132"/>
  <c r="F1603" i="132" s="1"/>
  <c r="F1601" i="132" s="1"/>
  <c r="F1599" i="132" s="1"/>
  <c r="F1597" i="132" s="1"/>
  <c r="E1605" i="132"/>
  <c r="E1603" i="132" s="1"/>
  <c r="E1601" i="132" s="1"/>
  <c r="E1599" i="132" s="1"/>
  <c r="E1597" i="132" s="1"/>
  <c r="H1604" i="132"/>
  <c r="H1602" i="132" s="1"/>
  <c r="H1600" i="132" s="1"/>
  <c r="H1598" i="132" s="1"/>
  <c r="H1596" i="132" s="1"/>
  <c r="G1604" i="132"/>
  <c r="G1602" i="132" s="1"/>
  <c r="G1600" i="132" s="1"/>
  <c r="G1598" i="132" s="1"/>
  <c r="G1596" i="132" s="1"/>
  <c r="F1604" i="132"/>
  <c r="F1602" i="132" s="1"/>
  <c r="F1600" i="132" s="1"/>
  <c r="F1598" i="132" s="1"/>
  <c r="F1596" i="132" s="1"/>
  <c r="C1291" i="132"/>
  <c r="I307" i="132"/>
  <c r="I306" i="132"/>
  <c r="D307" i="132"/>
  <c r="I2556" i="132"/>
  <c r="H2556" i="132"/>
  <c r="G2556" i="132"/>
  <c r="F2556" i="132"/>
  <c r="E2556" i="132"/>
  <c r="D2556" i="132"/>
  <c r="I2555" i="132"/>
  <c r="H2555" i="132"/>
  <c r="G2555" i="132"/>
  <c r="F2555" i="132"/>
  <c r="E2555" i="132"/>
  <c r="D2555" i="132"/>
  <c r="E1935" i="132"/>
  <c r="C1937" i="132"/>
  <c r="D1934" i="132"/>
  <c r="C1936" i="132"/>
  <c r="C1702" i="132"/>
  <c r="C1448" i="132"/>
  <c r="I1442" i="132"/>
  <c r="C1206" i="132"/>
  <c r="F1196" i="132"/>
  <c r="F693" i="132"/>
  <c r="F691" i="132" s="1"/>
  <c r="F2472" i="132"/>
  <c r="F2470" i="132" s="1"/>
  <c r="F2468" i="132" s="1"/>
  <c r="E693" i="132"/>
  <c r="E691" i="132" s="1"/>
  <c r="E2472" i="132"/>
  <c r="E2470" i="132" s="1"/>
  <c r="E2468" i="132" s="1"/>
  <c r="D693" i="132"/>
  <c r="C695" i="132"/>
  <c r="D2472" i="132"/>
  <c r="I2473" i="132"/>
  <c r="I2471" i="132" s="1"/>
  <c r="I2469" i="132" s="1"/>
  <c r="I694" i="132"/>
  <c r="I692" i="132" s="1"/>
  <c r="H2473" i="132"/>
  <c r="H2471" i="132" s="1"/>
  <c r="H2469" i="132" s="1"/>
  <c r="H694" i="132"/>
  <c r="H692" i="132" s="1"/>
  <c r="G2473" i="132"/>
  <c r="G2471" i="132" s="1"/>
  <c r="G2469" i="132" s="1"/>
  <c r="G694" i="132"/>
  <c r="G692" i="132" s="1"/>
  <c r="F2473" i="132"/>
  <c r="F2471" i="132" s="1"/>
  <c r="F2469" i="132" s="1"/>
  <c r="F694" i="132"/>
  <c r="F692" i="132" s="1"/>
  <c r="E2473" i="132"/>
  <c r="E2471" i="132" s="1"/>
  <c r="E2469" i="132" s="1"/>
  <c r="E694" i="132"/>
  <c r="E692" i="132" s="1"/>
  <c r="D2473" i="132"/>
  <c r="D694" i="132"/>
  <c r="I2472" i="132"/>
  <c r="I2470" i="132" s="1"/>
  <c r="I2468" i="132" s="1"/>
  <c r="I693" i="132"/>
  <c r="I691" i="132" s="1"/>
  <c r="H2472" i="132"/>
  <c r="H2470" i="132" s="1"/>
  <c r="H2468" i="132" s="1"/>
  <c r="H693" i="132"/>
  <c r="H691" i="132" s="1"/>
  <c r="G2472" i="132"/>
  <c r="G2470" i="132" s="1"/>
  <c r="G2468" i="132" s="1"/>
  <c r="G693" i="132"/>
  <c r="G691" i="132" s="1"/>
  <c r="D295" i="132"/>
  <c r="C297" i="132"/>
  <c r="C295" i="132" s="1"/>
  <c r="D2577" i="132"/>
  <c r="D294" i="132"/>
  <c r="C296" i="132"/>
  <c r="C294" i="132" s="1"/>
  <c r="D2576" i="132"/>
  <c r="I2577" i="132"/>
  <c r="I295" i="132"/>
  <c r="H2577" i="132"/>
  <c r="H295" i="132"/>
  <c r="G2577" i="132"/>
  <c r="G295" i="132"/>
  <c r="I2377" i="132"/>
  <c r="H2377" i="132"/>
  <c r="H2375" i="132" s="1"/>
  <c r="H2373" i="132" s="1"/>
  <c r="G2377" i="132"/>
  <c r="G2375" i="132" s="1"/>
  <c r="G2373" i="132" s="1"/>
  <c r="F2377" i="132"/>
  <c r="F2375" i="132" s="1"/>
  <c r="F2373" i="132" s="1"/>
  <c r="E2377" i="132"/>
  <c r="E2375" i="132" s="1"/>
  <c r="E2373" i="132" s="1"/>
  <c r="D2377" i="132"/>
  <c r="I2376" i="132"/>
  <c r="I2374" i="132" s="1"/>
  <c r="I2372" i="132" s="1"/>
  <c r="H2376" i="132"/>
  <c r="H2374" i="132" s="1"/>
  <c r="H2372" i="132" s="1"/>
  <c r="G2376" i="132"/>
  <c r="G2374" i="132" s="1"/>
  <c r="G2372" i="132" s="1"/>
  <c r="G2370" i="132" s="1"/>
  <c r="F2376" i="132"/>
  <c r="F2374" i="132" s="1"/>
  <c r="F2372" i="132" s="1"/>
  <c r="F2370" i="132" s="1"/>
  <c r="E2376" i="132"/>
  <c r="E2374" i="132" s="1"/>
  <c r="E2372" i="132" s="1"/>
  <c r="E2370" i="132" s="1"/>
  <c r="D2376" i="132"/>
  <c r="H2157" i="132"/>
  <c r="G2157" i="132"/>
  <c r="F2157" i="132"/>
  <c r="E2157" i="132"/>
  <c r="D2157" i="132"/>
  <c r="H2156" i="132"/>
  <c r="G2156" i="132"/>
  <c r="F2156" i="132"/>
  <c r="E2156" i="132"/>
  <c r="D2156" i="132"/>
  <c r="D2154" i="132" s="1"/>
  <c r="C2197" i="132"/>
  <c r="I1360" i="132"/>
  <c r="H1360" i="132"/>
  <c r="G1360" i="132"/>
  <c r="E1360" i="132"/>
  <c r="I2517" i="132"/>
  <c r="H2517" i="132"/>
  <c r="G2517" i="132"/>
  <c r="F2517" i="132"/>
  <c r="E2517" i="132"/>
  <c r="D2517" i="132"/>
  <c r="I2516" i="132"/>
  <c r="H2516" i="132"/>
  <c r="G2516" i="132"/>
  <c r="F2516" i="132"/>
  <c r="E2516" i="132"/>
  <c r="D2516" i="132"/>
  <c r="C2516" i="132" s="1"/>
  <c r="C1083" i="132"/>
  <c r="I746" i="132"/>
  <c r="H746" i="132"/>
  <c r="G746" i="132"/>
  <c r="F746" i="132"/>
  <c r="F744" i="132" s="1"/>
  <c r="F742" i="132" s="1"/>
  <c r="E746" i="132"/>
  <c r="I745" i="132"/>
  <c r="H745" i="132"/>
  <c r="G745" i="132"/>
  <c r="F745" i="132"/>
  <c r="E745" i="132"/>
  <c r="D745" i="132"/>
  <c r="D1976" i="132"/>
  <c r="D1975" i="132"/>
  <c r="C1735" i="132"/>
  <c r="C1734" i="132"/>
  <c r="I2479" i="132"/>
  <c r="I2477" i="132" s="1"/>
  <c r="I2475" i="132" s="1"/>
  <c r="I712" i="132"/>
  <c r="I710" i="132" s="1"/>
  <c r="H2479" i="132"/>
  <c r="H2477" i="132" s="1"/>
  <c r="H2475" i="132" s="1"/>
  <c r="H712" i="132"/>
  <c r="H710" i="132" s="1"/>
  <c r="G2479" i="132"/>
  <c r="G2477" i="132" s="1"/>
  <c r="G2475" i="132" s="1"/>
  <c r="G712" i="132"/>
  <c r="G710" i="132" s="1"/>
  <c r="F2479" i="132"/>
  <c r="F2477" i="132" s="1"/>
  <c r="F2475" i="132" s="1"/>
  <c r="F712" i="132"/>
  <c r="F710" i="132" s="1"/>
  <c r="E2479" i="132"/>
  <c r="E2477" i="132" s="1"/>
  <c r="E2475" i="132" s="1"/>
  <c r="E712" i="132"/>
  <c r="E710" i="132" s="1"/>
  <c r="D714" i="132"/>
  <c r="C716" i="132"/>
  <c r="I2480" i="132"/>
  <c r="I2478" i="132" s="1"/>
  <c r="I713" i="132"/>
  <c r="I711" i="132" s="1"/>
  <c r="H2480" i="132"/>
  <c r="H2478" i="132" s="1"/>
  <c r="H2476" i="132" s="1"/>
  <c r="H713" i="132"/>
  <c r="H711" i="132" s="1"/>
  <c r="G2480" i="132"/>
  <c r="G2478" i="132" s="1"/>
  <c r="G2476" i="132" s="1"/>
  <c r="G713" i="132"/>
  <c r="G711" i="132" s="1"/>
  <c r="F2480" i="132"/>
  <c r="F2478" i="132" s="1"/>
  <c r="F2476" i="132" s="1"/>
  <c r="F713" i="132"/>
  <c r="F711" i="132" s="1"/>
  <c r="E2480" i="132"/>
  <c r="E2478" i="132" s="1"/>
  <c r="E2476" i="132" s="1"/>
  <c r="E713" i="132"/>
  <c r="E711" i="132" s="1"/>
  <c r="C717" i="132"/>
  <c r="D715" i="132"/>
  <c r="C623" i="132"/>
  <c r="C2456" i="132"/>
  <c r="C2455" i="132"/>
  <c r="C622" i="132"/>
  <c r="C310" i="132"/>
  <c r="I87" i="132"/>
  <c r="I35" i="132" s="1"/>
  <c r="H87" i="132"/>
  <c r="H35" i="132" s="1"/>
  <c r="C1835" i="132"/>
  <c r="G87" i="132"/>
  <c r="G35" i="132" s="1"/>
  <c r="C1048" i="132"/>
  <c r="C822" i="132"/>
  <c r="E87" i="132"/>
  <c r="E35" i="132" s="1"/>
  <c r="I548" i="132"/>
  <c r="I546" i="132" s="1"/>
  <c r="I544" i="132" s="1"/>
  <c r="I542" i="132" s="1"/>
  <c r="I540" i="132" s="1"/>
  <c r="H548" i="132"/>
  <c r="H546" i="132" s="1"/>
  <c r="H544" i="132" s="1"/>
  <c r="H542" i="132" s="1"/>
  <c r="H540" i="132" s="1"/>
  <c r="G548" i="132"/>
  <c r="G546" i="132" s="1"/>
  <c r="G544" i="132" s="1"/>
  <c r="G542" i="132" s="1"/>
  <c r="G540" i="132" s="1"/>
  <c r="F548" i="132"/>
  <c r="F546" i="132" s="1"/>
  <c r="F544" i="132" s="1"/>
  <c r="F542" i="132" s="1"/>
  <c r="F540" i="132" s="1"/>
  <c r="E548" i="132"/>
  <c r="E546" i="132" s="1"/>
  <c r="E544" i="132" s="1"/>
  <c r="E542" i="132" s="1"/>
  <c r="E540" i="132" s="1"/>
  <c r="D548" i="132"/>
  <c r="D546" i="132" s="1"/>
  <c r="D544" i="132" s="1"/>
  <c r="D542" i="132" s="1"/>
  <c r="I547" i="132"/>
  <c r="I545" i="132" s="1"/>
  <c r="I543" i="132" s="1"/>
  <c r="I541" i="132" s="1"/>
  <c r="I539" i="132" s="1"/>
  <c r="F87" i="132"/>
  <c r="F35" i="132" s="1"/>
  <c r="D87" i="132"/>
  <c r="D2407" i="132"/>
  <c r="C2196" i="132"/>
  <c r="C2057" i="132"/>
  <c r="G2053" i="132"/>
  <c r="I588" i="132"/>
  <c r="I504" i="132" s="1"/>
  <c r="I2515" i="132"/>
  <c r="H588" i="132"/>
  <c r="H504" i="132" s="1"/>
  <c r="H2515" i="132"/>
  <c r="G588" i="132"/>
  <c r="G504" i="132" s="1"/>
  <c r="G2515" i="132"/>
  <c r="F588" i="132"/>
  <c r="F504" i="132" s="1"/>
  <c r="F2515" i="132"/>
  <c r="E588" i="132"/>
  <c r="E504" i="132" s="1"/>
  <c r="E2515" i="132"/>
  <c r="D588" i="132"/>
  <c r="D2515" i="132"/>
  <c r="I587" i="132"/>
  <c r="I503" i="132" s="1"/>
  <c r="I2514" i="132"/>
  <c r="H587" i="132"/>
  <c r="H503" i="132" s="1"/>
  <c r="H2514" i="132"/>
  <c r="G587" i="132"/>
  <c r="G503" i="132" s="1"/>
  <c r="G2514" i="132"/>
  <c r="F587" i="132"/>
  <c r="F503" i="132" s="1"/>
  <c r="F2514" i="132"/>
  <c r="E587" i="132"/>
  <c r="E503" i="132" s="1"/>
  <c r="E2514" i="132"/>
  <c r="D587" i="132"/>
  <c r="D2514" i="132"/>
  <c r="D1060" i="132"/>
  <c r="C1060" i="132" s="1"/>
  <c r="D1062" i="132"/>
  <c r="C1062" i="132" s="1"/>
  <c r="D1064" i="132"/>
  <c r="C1064" i="132" s="1"/>
  <c r="D1066" i="132"/>
  <c r="C1066" i="132" s="1"/>
  <c r="D1068" i="132"/>
  <c r="C1068" i="132" s="1"/>
  <c r="D1070" i="132"/>
  <c r="C1070" i="132" s="1"/>
  <c r="C1084" i="132"/>
  <c r="D1072" i="132"/>
  <c r="C1072" i="132" s="1"/>
  <c r="C760" i="132"/>
  <c r="D746" i="132"/>
  <c r="C558" i="132"/>
  <c r="C547" i="132" s="1"/>
  <c r="C545" i="132" s="1"/>
  <c r="C543" i="132" s="1"/>
  <c r="G556" i="132"/>
  <c r="D2542" i="132"/>
  <c r="C2546" i="132"/>
  <c r="D2541" i="132"/>
  <c r="C2545" i="132"/>
  <c r="C250" i="132"/>
  <c r="D2466" i="132"/>
  <c r="C159" i="132"/>
  <c r="C157" i="132" s="1"/>
  <c r="D2465" i="132"/>
  <c r="C158" i="132"/>
  <c r="C156" i="132" s="1"/>
  <c r="D2460" i="132"/>
  <c r="C137" i="132"/>
  <c r="C136" i="132"/>
  <c r="D2459" i="132"/>
  <c r="I2458" i="132"/>
  <c r="H2458" i="132"/>
  <c r="G2458" i="132"/>
  <c r="F2458" i="132"/>
  <c r="E2458" i="132"/>
  <c r="C119" i="132"/>
  <c r="D2458" i="132"/>
  <c r="I2457" i="132"/>
  <c r="H2457" i="132"/>
  <c r="G2457" i="132"/>
  <c r="F2457" i="132"/>
  <c r="E2457" i="132"/>
  <c r="D2457" i="132"/>
  <c r="C118" i="132"/>
  <c r="H2542" i="132"/>
  <c r="H2540" i="132" s="1"/>
  <c r="E2542" i="132"/>
  <c r="E2540" i="132" s="1"/>
  <c r="H2541" i="132"/>
  <c r="H2539" i="132" s="1"/>
  <c r="F2541" i="132"/>
  <c r="F2539" i="132" s="1"/>
  <c r="I2542" i="132"/>
  <c r="I2540" i="132" s="1"/>
  <c r="G2542" i="132"/>
  <c r="G2540" i="132" s="1"/>
  <c r="F2542" i="132"/>
  <c r="F2540" i="132" s="1"/>
  <c r="I2541" i="132"/>
  <c r="I2539" i="132" s="1"/>
  <c r="G2541" i="132"/>
  <c r="G2539" i="132" s="1"/>
  <c r="E2541" i="132"/>
  <c r="E2539" i="132" s="1"/>
  <c r="E829" i="132"/>
  <c r="E830" i="132"/>
  <c r="F1762" i="132"/>
  <c r="E1762" i="132"/>
  <c r="G1761" i="132"/>
  <c r="F1761" i="132"/>
  <c r="E1761" i="132"/>
  <c r="G830" i="132"/>
  <c r="F830" i="132"/>
  <c r="E1195" i="132"/>
  <c r="D1195" i="132"/>
  <c r="E1194" i="132"/>
  <c r="D1194" i="132"/>
  <c r="I830" i="132"/>
  <c r="H830" i="132"/>
  <c r="I600" i="132"/>
  <c r="H600" i="132"/>
  <c r="G600" i="132"/>
  <c r="F600" i="132"/>
  <c r="E600" i="132"/>
  <c r="D600" i="132"/>
  <c r="I599" i="132"/>
  <c r="H599" i="132"/>
  <c r="F829" i="132"/>
  <c r="I829" i="132"/>
  <c r="H829" i="132"/>
  <c r="I107" i="132"/>
  <c r="H107" i="132"/>
  <c r="G107" i="132"/>
  <c r="F107" i="132"/>
  <c r="E107" i="132"/>
  <c r="D107" i="132"/>
  <c r="I97" i="132"/>
  <c r="I53" i="132" s="1"/>
  <c r="H97" i="132"/>
  <c r="G97" i="132"/>
  <c r="F97" i="132"/>
  <c r="F53" i="132" s="1"/>
  <c r="E97" i="132"/>
  <c r="D97" i="132"/>
  <c r="I96" i="132"/>
  <c r="H96" i="132"/>
  <c r="G96" i="132"/>
  <c r="F96" i="132"/>
  <c r="E96" i="132"/>
  <c r="D96" i="132"/>
  <c r="G829" i="132"/>
  <c r="C1863" i="132"/>
  <c r="C1368" i="132"/>
  <c r="F1360" i="132"/>
  <c r="E808" i="132"/>
  <c r="I2504" i="132"/>
  <c r="I604" i="132"/>
  <c r="I522" i="132" s="1"/>
  <c r="I59" i="132" s="1"/>
  <c r="H604" i="132"/>
  <c r="G604" i="132"/>
  <c r="F604" i="132"/>
  <c r="E604" i="132"/>
  <c r="E522" i="132" s="1"/>
  <c r="E59" i="132" s="1"/>
  <c r="E2504" i="132"/>
  <c r="D604" i="132"/>
  <c r="D2504" i="132"/>
  <c r="I2503" i="132"/>
  <c r="I603" i="132"/>
  <c r="I521" i="132" s="1"/>
  <c r="I58" i="132" s="1"/>
  <c r="I586" i="132"/>
  <c r="I502" i="132" s="1"/>
  <c r="I2495" i="132"/>
  <c r="H2495" i="132"/>
  <c r="H586" i="132"/>
  <c r="H502" i="132" s="1"/>
  <c r="G2495" i="132"/>
  <c r="G586" i="132"/>
  <c r="G502" i="132" s="1"/>
  <c r="F2495" i="132"/>
  <c r="F586" i="132"/>
  <c r="F502" i="132" s="1"/>
  <c r="E2495" i="132"/>
  <c r="E586" i="132"/>
  <c r="E502" i="132" s="1"/>
  <c r="D586" i="132"/>
  <c r="D2495" i="132"/>
  <c r="I2494" i="132"/>
  <c r="I585" i="132"/>
  <c r="I501" i="132" s="1"/>
  <c r="H2494" i="132"/>
  <c r="H585" i="132"/>
  <c r="H501" i="132" s="1"/>
  <c r="G2494" i="132"/>
  <c r="G585" i="132"/>
  <c r="G501" i="132" s="1"/>
  <c r="F2494" i="132"/>
  <c r="F585" i="132"/>
  <c r="F501" i="132" s="1"/>
  <c r="E2494" i="132"/>
  <c r="E585" i="132"/>
  <c r="E501" i="132" s="1"/>
  <c r="D585" i="132"/>
  <c r="D2494" i="132"/>
  <c r="H99" i="132"/>
  <c r="H55" i="132" s="1"/>
  <c r="H2579" i="132"/>
  <c r="G99" i="132"/>
  <c r="G2579" i="132"/>
  <c r="F99" i="132"/>
  <c r="F55" i="132" s="1"/>
  <c r="F2579" i="132"/>
  <c r="F2575" i="132" s="1"/>
  <c r="E99" i="132"/>
  <c r="E55" i="132" s="1"/>
  <c r="E2579" i="132"/>
  <c r="E2575" i="132" s="1"/>
  <c r="D99" i="132"/>
  <c r="D2579" i="132"/>
  <c r="I98" i="132"/>
  <c r="I54" i="132" s="1"/>
  <c r="I2578" i="132"/>
  <c r="I2574" i="132" s="1"/>
  <c r="H98" i="132"/>
  <c r="H54" i="132" s="1"/>
  <c r="H2578" i="132"/>
  <c r="H2574" i="132" s="1"/>
  <c r="G98" i="132"/>
  <c r="G54" i="132" s="1"/>
  <c r="G2578" i="132"/>
  <c r="G2574" i="132" s="1"/>
  <c r="F98" i="132"/>
  <c r="F54" i="132" s="1"/>
  <c r="F2578" i="132"/>
  <c r="F2574" i="132" s="1"/>
  <c r="E98" i="132"/>
  <c r="E54" i="132" s="1"/>
  <c r="E2578" i="132"/>
  <c r="E2574" i="132" s="1"/>
  <c r="D98" i="132"/>
  <c r="D2578" i="132"/>
  <c r="C2578" i="132" s="1"/>
  <c r="H2528" i="132"/>
  <c r="H84" i="132"/>
  <c r="G2528" i="132"/>
  <c r="G217" i="132"/>
  <c r="G215" i="132" s="1"/>
  <c r="G84" i="132"/>
  <c r="F2528" i="132"/>
  <c r="F84" i="132"/>
  <c r="E2528" i="132"/>
  <c r="E84" i="132"/>
  <c r="C343" i="132"/>
  <c r="F307" i="132"/>
  <c r="C1473" i="132"/>
  <c r="C1472" i="132"/>
  <c r="H1761" i="132"/>
  <c r="C1764" i="132"/>
  <c r="G1762" i="132"/>
  <c r="C948" i="132"/>
  <c r="D830" i="132"/>
  <c r="D829" i="132"/>
  <c r="C947" i="132"/>
  <c r="I99" i="132"/>
  <c r="I2579" i="132"/>
  <c r="D146" i="132"/>
  <c r="E2102" i="132" l="1"/>
  <c r="D2102" i="132"/>
  <c r="I1495" i="132"/>
  <c r="I1493" i="132" s="1"/>
  <c r="I1491" i="132" s="1"/>
  <c r="I1489" i="132" s="1"/>
  <c r="I2237" i="132"/>
  <c r="I2235" i="132" s="1"/>
  <c r="I2233" i="132" s="1"/>
  <c r="C2568" i="132"/>
  <c r="C230" i="132"/>
  <c r="I86" i="132"/>
  <c r="I34" i="132" s="1"/>
  <c r="H86" i="132"/>
  <c r="H34" i="132" s="1"/>
  <c r="G86" i="132"/>
  <c r="C2269" i="132"/>
  <c r="C2445" i="132"/>
  <c r="G2083" i="132"/>
  <c r="G536" i="132" s="1"/>
  <c r="G75" i="132" s="1"/>
  <c r="E2070" i="132"/>
  <c r="I2071" i="132"/>
  <c r="C1977" i="132"/>
  <c r="C114" i="132"/>
  <c r="D1495" i="132"/>
  <c r="E1496" i="132"/>
  <c r="E1494" i="132" s="1"/>
  <c r="E1492" i="132" s="1"/>
  <c r="E1490" i="132" s="1"/>
  <c r="E185" i="132"/>
  <c r="C193" i="132"/>
  <c r="D1496" i="132"/>
  <c r="I2238" i="132"/>
  <c r="I2236" i="132" s="1"/>
  <c r="I2234" i="132" s="1"/>
  <c r="D1137" i="132"/>
  <c r="H2044" i="132"/>
  <c r="H2042" i="132" s="1"/>
  <c r="H2040" i="132" s="1"/>
  <c r="H2043" i="132"/>
  <c r="H2041" i="132" s="1"/>
  <c r="E2043" i="132"/>
  <c r="E2041" i="132" s="1"/>
  <c r="C2563" i="132"/>
  <c r="I2101" i="132"/>
  <c r="H2101" i="132"/>
  <c r="G2101" i="132"/>
  <c r="F2101" i="132"/>
  <c r="D2101" i="132"/>
  <c r="I2100" i="132"/>
  <c r="H2100" i="132"/>
  <c r="G2100" i="132"/>
  <c r="C2270" i="132"/>
  <c r="E2051" i="132"/>
  <c r="E2044" i="132"/>
  <c r="E2042" i="132" s="1"/>
  <c r="E2040" i="132" s="1"/>
  <c r="H2083" i="132"/>
  <c r="H536" i="132" s="1"/>
  <c r="H75" i="132" s="1"/>
  <c r="C1388" i="132"/>
  <c r="I1830" i="132"/>
  <c r="I1828" i="132" s="1"/>
  <c r="I1826" i="132" s="1"/>
  <c r="H1830" i="132"/>
  <c r="H1828" i="132" s="1"/>
  <c r="H1826" i="132" s="1"/>
  <c r="G1830" i="132"/>
  <c r="G1828" i="132" s="1"/>
  <c r="G1826" i="132" s="1"/>
  <c r="F1830" i="132"/>
  <c r="F1828" i="132" s="1"/>
  <c r="F1826" i="132" s="1"/>
  <c r="E1830" i="132"/>
  <c r="E1828" i="132" s="1"/>
  <c r="C115" i="132"/>
  <c r="C2103" i="132"/>
  <c r="E2101" i="132"/>
  <c r="C2101" i="132" s="1"/>
  <c r="E2071" i="132"/>
  <c r="C2071" i="132" s="1"/>
  <c r="I1968" i="132"/>
  <c r="I1966" i="132" s="1"/>
  <c r="C1978" i="132"/>
  <c r="F2100" i="132"/>
  <c r="E1587" i="132"/>
  <c r="E1585" i="132" s="1"/>
  <c r="D113" i="132"/>
  <c r="C1607" i="132"/>
  <c r="D550" i="132"/>
  <c r="D2283" i="132"/>
  <c r="D1493" i="132"/>
  <c r="E1583" i="132"/>
  <c r="E1581" i="132" s="1"/>
  <c r="C2054" i="132"/>
  <c r="D2052" i="132"/>
  <c r="C2052" i="132" s="1"/>
  <c r="D1583" i="132"/>
  <c r="D1581" i="132" s="1"/>
  <c r="H531" i="132"/>
  <c r="H70" i="132" s="1"/>
  <c r="G531" i="132"/>
  <c r="G70" i="132" s="1"/>
  <c r="F531" i="132"/>
  <c r="F70" i="132" s="1"/>
  <c r="E531" i="132"/>
  <c r="E70" i="132" s="1"/>
  <c r="F827" i="132"/>
  <c r="I827" i="132"/>
  <c r="H827" i="132"/>
  <c r="G827" i="132"/>
  <c r="C2530" i="132"/>
  <c r="E2443" i="132"/>
  <c r="D2443" i="132"/>
  <c r="C2443" i="132" s="1"/>
  <c r="C2102" i="132"/>
  <c r="E2100" i="132"/>
  <c r="E2098" i="132" s="1"/>
  <c r="D2100" i="132"/>
  <c r="I2099" i="132"/>
  <c r="H2099" i="132"/>
  <c r="G2099" i="132"/>
  <c r="F2099" i="132"/>
  <c r="E2099" i="132"/>
  <c r="D2099" i="132"/>
  <c r="C435" i="132"/>
  <c r="I2098" i="132"/>
  <c r="H2098" i="132"/>
  <c r="G2098" i="132"/>
  <c r="G2441" i="132"/>
  <c r="G2439" i="132" s="1"/>
  <c r="G2437" i="132" s="1"/>
  <c r="F2441" i="132"/>
  <c r="F2439" i="132" s="1"/>
  <c r="F2437" i="132" s="1"/>
  <c r="I2440" i="132"/>
  <c r="I2438" i="132" s="1"/>
  <c r="C1373" i="132"/>
  <c r="H2440" i="132"/>
  <c r="H2438" i="132" s="1"/>
  <c r="G2440" i="132"/>
  <c r="G2438" i="132" s="1"/>
  <c r="F2440" i="132"/>
  <c r="F2438" i="132" s="1"/>
  <c r="E146" i="132"/>
  <c r="E144" i="132" s="1"/>
  <c r="C148" i="132"/>
  <c r="F86" i="132"/>
  <c r="I531" i="132"/>
  <c r="I70" i="132" s="1"/>
  <c r="C1497" i="132"/>
  <c r="E1495" i="132"/>
  <c r="E2440" i="132"/>
  <c r="E2438" i="132" s="1"/>
  <c r="C1372" i="132"/>
  <c r="I1371" i="132"/>
  <c r="C1371" i="132" s="1"/>
  <c r="E2087" i="132"/>
  <c r="E2085" i="132" s="1"/>
  <c r="D2087" i="132"/>
  <c r="D2085" i="132" s="1"/>
  <c r="H2085" i="132"/>
  <c r="G2085" i="132"/>
  <c r="F2085" i="132"/>
  <c r="E827" i="132"/>
  <c r="E828" i="132"/>
  <c r="G828" i="132"/>
  <c r="F828" i="132"/>
  <c r="I828" i="132"/>
  <c r="H828" i="132"/>
  <c r="I532" i="132"/>
  <c r="I71" i="132" s="1"/>
  <c r="H532" i="132"/>
  <c r="H71" i="132" s="1"/>
  <c r="G532" i="132"/>
  <c r="G71" i="132" s="1"/>
  <c r="F532" i="132"/>
  <c r="F71" i="132" s="1"/>
  <c r="E532" i="132"/>
  <c r="E71" i="132" s="1"/>
  <c r="D1762" i="132"/>
  <c r="C2242" i="132"/>
  <c r="I241" i="132"/>
  <c r="I239" i="132" s="1"/>
  <c r="I237" i="132" s="1"/>
  <c r="C243" i="132"/>
  <c r="E241" i="132"/>
  <c r="C229" i="132"/>
  <c r="C1127" i="132"/>
  <c r="C1129" i="132"/>
  <c r="D2442" i="132"/>
  <c r="C2444" i="132"/>
  <c r="C1606" i="132"/>
  <c r="I1605" i="132"/>
  <c r="I1604" i="132"/>
  <c r="I1602" i="132" s="1"/>
  <c r="I1600" i="132" s="1"/>
  <c r="I1598" i="132" s="1"/>
  <c r="I1596" i="132" s="1"/>
  <c r="I1358" i="132"/>
  <c r="I1356" i="132" s="1"/>
  <c r="H1358" i="132"/>
  <c r="H1356" i="132" s="1"/>
  <c r="H1354" i="132" s="1"/>
  <c r="G1358" i="132"/>
  <c r="G1356" i="132" s="1"/>
  <c r="G1354" i="132" s="1"/>
  <c r="E1358" i="132"/>
  <c r="E1356" i="132" s="1"/>
  <c r="E1604" i="132"/>
  <c r="I598" i="132"/>
  <c r="I514" i="132" s="1"/>
  <c r="I45" i="132" s="1"/>
  <c r="H598" i="132"/>
  <c r="H514" i="132" s="1"/>
  <c r="H45" i="132" s="1"/>
  <c r="G598" i="132"/>
  <c r="G514" i="132" s="1"/>
  <c r="G45" i="132" s="1"/>
  <c r="D2239" i="132"/>
  <c r="H2240" i="132"/>
  <c r="H2238" i="132" s="1"/>
  <c r="G2240" i="132"/>
  <c r="G2238" i="132" s="1"/>
  <c r="G2236" i="132" s="1"/>
  <c r="G2234" i="132" s="1"/>
  <c r="H479" i="132"/>
  <c r="H398" i="132" s="1"/>
  <c r="D479" i="132"/>
  <c r="H480" i="132"/>
  <c r="D476" i="132"/>
  <c r="D474" i="132" s="1"/>
  <c r="D472" i="132" s="1"/>
  <c r="D478" i="132"/>
  <c r="D2044" i="132"/>
  <c r="D2042" i="132" s="1"/>
  <c r="D2040" i="132" s="1"/>
  <c r="G2043" i="132"/>
  <c r="G2041" i="132" s="1"/>
  <c r="I808" i="132"/>
  <c r="C308" i="132"/>
  <c r="D306" i="132"/>
  <c r="D86" i="132"/>
  <c r="E86" i="132"/>
  <c r="E598" i="132"/>
  <c r="E514" i="132" s="1"/>
  <c r="E45" i="132" s="1"/>
  <c r="G597" i="132"/>
  <c r="G513" i="132" s="1"/>
  <c r="G44" i="132" s="1"/>
  <c r="E597" i="132"/>
  <c r="E513" i="132" s="1"/>
  <c r="E44" i="132" s="1"/>
  <c r="D597" i="132"/>
  <c r="E620" i="132"/>
  <c r="E618" i="132" s="1"/>
  <c r="F598" i="132"/>
  <c r="F514" i="132" s="1"/>
  <c r="F45" i="132" s="1"/>
  <c r="D598" i="132"/>
  <c r="H597" i="132"/>
  <c r="H513" i="132" s="1"/>
  <c r="H44" i="132" s="1"/>
  <c r="F597" i="132"/>
  <c r="F513" i="132" s="1"/>
  <c r="F44" i="132" s="1"/>
  <c r="F620" i="132"/>
  <c r="F618" i="132" s="1"/>
  <c r="I621" i="132"/>
  <c r="I619" i="132" s="1"/>
  <c r="H621" i="132"/>
  <c r="H619" i="132" s="1"/>
  <c r="G621" i="132"/>
  <c r="G619" i="132" s="1"/>
  <c r="F621" i="132"/>
  <c r="F619" i="132" s="1"/>
  <c r="E621" i="132"/>
  <c r="E619" i="132" s="1"/>
  <c r="I620" i="132"/>
  <c r="I618" i="132" s="1"/>
  <c r="H620" i="132"/>
  <c r="H618" i="132" s="1"/>
  <c r="G620" i="132"/>
  <c r="G618" i="132" s="1"/>
  <c r="I106" i="132"/>
  <c r="H106" i="132"/>
  <c r="G106" i="132"/>
  <c r="F106" i="132"/>
  <c r="D106" i="132"/>
  <c r="F2240" i="132"/>
  <c r="F2238" i="132" s="1"/>
  <c r="F2236" i="132" s="1"/>
  <c r="F2234" i="132" s="1"/>
  <c r="E2240" i="132"/>
  <c r="E2238" i="132" s="1"/>
  <c r="E2236" i="132" s="1"/>
  <c r="E2234" i="132" s="1"/>
  <c r="D2240" i="132"/>
  <c r="H217" i="132"/>
  <c r="H215" i="132" s="1"/>
  <c r="F217" i="132"/>
  <c r="F215" i="132" s="1"/>
  <c r="F399" i="132"/>
  <c r="G399" i="132"/>
  <c r="D399" i="132"/>
  <c r="I113" i="132"/>
  <c r="D1933" i="132"/>
  <c r="C2241" i="132"/>
  <c r="H2239" i="132"/>
  <c r="H2237" i="132" s="1"/>
  <c r="H2235" i="132" s="1"/>
  <c r="H2233" i="132" s="1"/>
  <c r="G2239" i="132"/>
  <c r="G2237" i="132" s="1"/>
  <c r="G2235" i="132" s="1"/>
  <c r="G2233" i="132" s="1"/>
  <c r="F2239" i="132"/>
  <c r="F2237" i="132" s="1"/>
  <c r="F2235" i="132" s="1"/>
  <c r="F2233" i="132" s="1"/>
  <c r="E2239" i="132"/>
  <c r="E2237" i="132" s="1"/>
  <c r="E2235" i="132" s="1"/>
  <c r="E2233" i="132" s="1"/>
  <c r="C816" i="132"/>
  <c r="I84" i="132"/>
  <c r="I85" i="132"/>
  <c r="I218" i="132"/>
  <c r="I216" i="132" s="1"/>
  <c r="H85" i="132"/>
  <c r="H218" i="132"/>
  <c r="H216" i="132" s="1"/>
  <c r="G85" i="132"/>
  <c r="G218" i="132"/>
  <c r="G216" i="132" s="1"/>
  <c r="F85" i="132"/>
  <c r="F218" i="132"/>
  <c r="F216" i="132" s="1"/>
  <c r="E85" i="132"/>
  <c r="F92" i="132"/>
  <c r="C1790" i="132"/>
  <c r="C1789" i="132"/>
  <c r="E2426" i="132"/>
  <c r="D2426" i="132"/>
  <c r="I479" i="132"/>
  <c r="C2555" i="132"/>
  <c r="D2051" i="132"/>
  <c r="G2050" i="132"/>
  <c r="F458" i="132"/>
  <c r="D458" i="132"/>
  <c r="H603" i="132"/>
  <c r="G603" i="132"/>
  <c r="F603" i="132"/>
  <c r="E603" i="132"/>
  <c r="E521" i="132" s="1"/>
  <c r="E58" i="132" s="1"/>
  <c r="E2503" i="132"/>
  <c r="D2503" i="132"/>
  <c r="D603" i="132"/>
  <c r="D634" i="132"/>
  <c r="C636" i="132"/>
  <c r="D633" i="132"/>
  <c r="C635" i="132"/>
  <c r="H458" i="132"/>
  <c r="I458" i="132"/>
  <c r="I459" i="132"/>
  <c r="H2506" i="132"/>
  <c r="H606" i="132"/>
  <c r="H524" i="132" s="1"/>
  <c r="H61" i="132" s="1"/>
  <c r="G606" i="132"/>
  <c r="G524" i="132" s="1"/>
  <c r="G61" i="132" s="1"/>
  <c r="G2506" i="132"/>
  <c r="F606" i="132"/>
  <c r="F524" i="132" s="1"/>
  <c r="F61" i="132" s="1"/>
  <c r="F2506" i="132"/>
  <c r="D2506" i="132"/>
  <c r="I2505" i="132"/>
  <c r="I605" i="132"/>
  <c r="I523" i="132" s="1"/>
  <c r="I60" i="132" s="1"/>
  <c r="H2505" i="132"/>
  <c r="H605" i="132"/>
  <c r="H523" i="132" s="1"/>
  <c r="H60" i="132" s="1"/>
  <c r="G2505" i="132"/>
  <c r="G605" i="132"/>
  <c r="G523" i="132" s="1"/>
  <c r="G60" i="132" s="1"/>
  <c r="F2505" i="132"/>
  <c r="F605" i="132"/>
  <c r="F523" i="132" s="1"/>
  <c r="F60" i="132" s="1"/>
  <c r="E2505" i="132"/>
  <c r="E605" i="132"/>
  <c r="E523" i="132" s="1"/>
  <c r="E60" i="132" s="1"/>
  <c r="D2505" i="132"/>
  <c r="D605" i="132"/>
  <c r="C807" i="132"/>
  <c r="E786" i="132"/>
  <c r="C788" i="132"/>
  <c r="I2528" i="132"/>
  <c r="D206" i="132"/>
  <c r="C208" i="132"/>
  <c r="D205" i="132"/>
  <c r="C207" i="132"/>
  <c r="D459" i="132"/>
  <c r="C465" i="132"/>
  <c r="C463" i="132"/>
  <c r="C460" i="132"/>
  <c r="E458" i="132"/>
  <c r="F2424" i="132"/>
  <c r="F2422" i="132" s="1"/>
  <c r="D2213" i="132"/>
  <c r="D2212" i="132"/>
  <c r="I2049" i="132"/>
  <c r="I2047" i="132" s="1"/>
  <c r="H2049" i="132"/>
  <c r="H2047" i="132" s="1"/>
  <c r="F2049" i="132"/>
  <c r="F2047" i="132" s="1"/>
  <c r="I2048" i="132"/>
  <c r="I2046" i="132" s="1"/>
  <c r="H2048" i="132"/>
  <c r="H2046" i="132" s="1"/>
  <c r="F2048" i="132"/>
  <c r="F2046" i="132" s="1"/>
  <c r="E2048" i="132"/>
  <c r="E2046" i="132" s="1"/>
  <c r="I1762" i="132"/>
  <c r="I1760" i="132" s="1"/>
  <c r="I1758" i="132" s="1"/>
  <c r="I1756" i="132" s="1"/>
  <c r="E1565" i="132"/>
  <c r="E1563" i="132" s="1"/>
  <c r="E1561" i="132" s="1"/>
  <c r="I1564" i="132"/>
  <c r="I1562" i="132" s="1"/>
  <c r="I1560" i="132" s="1"/>
  <c r="H1564" i="132"/>
  <c r="H1562" i="132" s="1"/>
  <c r="H1560" i="132" s="1"/>
  <c r="G1564" i="132"/>
  <c r="G1562" i="132" s="1"/>
  <c r="G1560" i="132" s="1"/>
  <c r="F1564" i="132"/>
  <c r="F1562" i="132" s="1"/>
  <c r="F1560" i="132" s="1"/>
  <c r="E1564" i="132"/>
  <c r="E1562" i="132" s="1"/>
  <c r="E1560" i="132" s="1"/>
  <c r="I1563" i="132"/>
  <c r="I1561" i="132" s="1"/>
  <c r="H1563" i="132"/>
  <c r="H1561" i="132" s="1"/>
  <c r="G1563" i="132"/>
  <c r="G1561" i="132" s="1"/>
  <c r="F1563" i="132"/>
  <c r="F1561" i="132" s="1"/>
  <c r="C799" i="132"/>
  <c r="D407" i="132"/>
  <c r="D405" i="132" s="1"/>
  <c r="F407" i="132"/>
  <c r="F405" i="132" s="1"/>
  <c r="F403" i="132" s="1"/>
  <c r="F401" i="132" s="1"/>
  <c r="D406" i="132"/>
  <c r="I407" i="132"/>
  <c r="I405" i="132" s="1"/>
  <c r="I403" i="132" s="1"/>
  <c r="I401" i="132" s="1"/>
  <c r="G406" i="132"/>
  <c r="G404" i="132" s="1"/>
  <c r="G402" i="132" s="1"/>
  <c r="G400" i="132" s="1"/>
  <c r="I406" i="132"/>
  <c r="I404" i="132" s="1"/>
  <c r="I402" i="132" s="1"/>
  <c r="I400" i="132" s="1"/>
  <c r="E407" i="132"/>
  <c r="G407" i="132"/>
  <c r="G405" i="132" s="1"/>
  <c r="G403" i="132" s="1"/>
  <c r="G401" i="132" s="1"/>
  <c r="F406" i="132"/>
  <c r="F404" i="132" s="1"/>
  <c r="F402" i="132" s="1"/>
  <c r="F400" i="132" s="1"/>
  <c r="D505" i="132"/>
  <c r="G2276" i="132"/>
  <c r="F2276" i="132"/>
  <c r="E2276" i="132"/>
  <c r="I2069" i="132"/>
  <c r="I2067" i="132" s="1"/>
  <c r="H2069" i="132"/>
  <c r="H2067" i="132" s="1"/>
  <c r="H2065" i="132" s="1"/>
  <c r="H2063" i="132" s="1"/>
  <c r="C2457" i="132"/>
  <c r="D55" i="132"/>
  <c r="D54" i="132"/>
  <c r="C54" i="132" s="1"/>
  <c r="C98" i="132"/>
  <c r="G475" i="132"/>
  <c r="G477" i="132"/>
  <c r="F475" i="132"/>
  <c r="F477" i="132"/>
  <c r="G396" i="132"/>
  <c r="G394" i="132" s="1"/>
  <c r="G392" i="132" s="1"/>
  <c r="F396" i="132"/>
  <c r="F394" i="132" s="1"/>
  <c r="F392" i="132" s="1"/>
  <c r="F476" i="132"/>
  <c r="F474" i="132" s="1"/>
  <c r="F472" i="132" s="1"/>
  <c r="F478" i="132"/>
  <c r="G478" i="132"/>
  <c r="G476" i="132"/>
  <c r="I1496" i="132"/>
  <c r="C1498" i="132"/>
  <c r="I2213" i="132"/>
  <c r="I2083" i="132" s="1"/>
  <c r="I536" i="132" s="1"/>
  <c r="I75" i="132" s="1"/>
  <c r="E2083" i="132"/>
  <c r="E536" i="132" s="1"/>
  <c r="E75" i="132" s="1"/>
  <c r="H2082" i="132"/>
  <c r="H535" i="132" s="1"/>
  <c r="H74" i="132" s="1"/>
  <c r="I430" i="132"/>
  <c r="I428" i="132" s="1"/>
  <c r="I426" i="132" s="1"/>
  <c r="C2221" i="132"/>
  <c r="C2220" i="132"/>
  <c r="C2215" i="132"/>
  <c r="I2038" i="132"/>
  <c r="C589" i="132"/>
  <c r="D547" i="132"/>
  <c r="D545" i="132" s="1"/>
  <c r="D543" i="132" s="1"/>
  <c r="D541" i="132" s="1"/>
  <c r="D539" i="132" s="1"/>
  <c r="F518" i="132"/>
  <c r="F49" i="132" s="1"/>
  <c r="I517" i="132"/>
  <c r="I48" i="132" s="1"/>
  <c r="F517" i="132"/>
  <c r="F48" i="132" s="1"/>
  <c r="I2156" i="132"/>
  <c r="I2157" i="132"/>
  <c r="I2155" i="132" s="1"/>
  <c r="I1761" i="132"/>
  <c r="D1761" i="132"/>
  <c r="E1193" i="132"/>
  <c r="E1191" i="132" s="1"/>
  <c r="E1189" i="132" s="1"/>
  <c r="E1167" i="132" s="1"/>
  <c r="E1192" i="132"/>
  <c r="E1190" i="132" s="1"/>
  <c r="G281" i="132"/>
  <c r="H2462" i="132"/>
  <c r="H2461" i="132"/>
  <c r="F2461" i="132"/>
  <c r="C481" i="132"/>
  <c r="E478" i="132"/>
  <c r="E399" i="132"/>
  <c r="E397" i="132" s="1"/>
  <c r="E476" i="132"/>
  <c r="E474" i="132" s="1"/>
  <c r="E472" i="132" s="1"/>
  <c r="E398" i="132"/>
  <c r="E475" i="132"/>
  <c r="E477" i="132"/>
  <c r="C482" i="132"/>
  <c r="I480" i="132"/>
  <c r="F459" i="132"/>
  <c r="C461" i="132"/>
  <c r="E459" i="132"/>
  <c r="I2212" i="132"/>
  <c r="C2214" i="132"/>
  <c r="D1567" i="132"/>
  <c r="C1569" i="132"/>
  <c r="D1566" i="132"/>
  <c r="C1568" i="132"/>
  <c r="G2082" i="132"/>
  <c r="G535" i="132" s="1"/>
  <c r="G74" i="132" s="1"/>
  <c r="F2082" i="132"/>
  <c r="F535" i="132" s="1"/>
  <c r="F74" i="132" s="1"/>
  <c r="E2082" i="132"/>
  <c r="E535" i="132" s="1"/>
  <c r="E74" i="132" s="1"/>
  <c r="F2039" i="132"/>
  <c r="F2037" i="132" s="1"/>
  <c r="F2038" i="132"/>
  <c r="I2037" i="132"/>
  <c r="E406" i="132"/>
  <c r="E404" i="132" s="1"/>
  <c r="E402" i="132" s="1"/>
  <c r="E400" i="132" s="1"/>
  <c r="I2497" i="132"/>
  <c r="H2497" i="132"/>
  <c r="G2497" i="132"/>
  <c r="F2497" i="132"/>
  <c r="C2285" i="132"/>
  <c r="D1604" i="132"/>
  <c r="D1602" i="132" s="1"/>
  <c r="D1600" i="132" s="1"/>
  <c r="D1598" i="132" s="1"/>
  <c r="C2460" i="132"/>
  <c r="C2459" i="132"/>
  <c r="G599" i="132"/>
  <c r="F599" i="132"/>
  <c r="E599" i="132"/>
  <c r="D599" i="132"/>
  <c r="F280" i="132"/>
  <c r="F278" i="132" s="1"/>
  <c r="D2427" i="132"/>
  <c r="C2429" i="132"/>
  <c r="G2426" i="132"/>
  <c r="C2428" i="132"/>
  <c r="F2083" i="132"/>
  <c r="F536" i="132" s="1"/>
  <c r="F75" i="132" s="1"/>
  <c r="D2088" i="132"/>
  <c r="C2090" i="132"/>
  <c r="I2087" i="132"/>
  <c r="C2089" i="132"/>
  <c r="D1588" i="132"/>
  <c r="C1590" i="132"/>
  <c r="F1587" i="132"/>
  <c r="C1589" i="132"/>
  <c r="E430" i="132"/>
  <c r="E428" i="132" s="1"/>
  <c r="E426" i="132" s="1"/>
  <c r="E424" i="132" s="1"/>
  <c r="F430" i="132"/>
  <c r="F428" i="132" s="1"/>
  <c r="F426" i="132" s="1"/>
  <c r="F424" i="132" s="1"/>
  <c r="G430" i="132"/>
  <c r="G428" i="132" s="1"/>
  <c r="G426" i="132" s="1"/>
  <c r="G424" i="132" s="1"/>
  <c r="D426" i="132"/>
  <c r="D424" i="132" s="1"/>
  <c r="G431" i="132"/>
  <c r="G429" i="132" s="1"/>
  <c r="G427" i="132" s="1"/>
  <c r="G425" i="132" s="1"/>
  <c r="I431" i="132"/>
  <c r="I429" i="132" s="1"/>
  <c r="I427" i="132" s="1"/>
  <c r="I425" i="132" s="1"/>
  <c r="F431" i="132"/>
  <c r="F429" i="132" s="1"/>
  <c r="F427" i="132" s="1"/>
  <c r="F425" i="132" s="1"/>
  <c r="D431" i="132"/>
  <c r="D429" i="132" s="1"/>
  <c r="D427" i="132" s="1"/>
  <c r="D425" i="132" s="1"/>
  <c r="D82" i="132"/>
  <c r="E83" i="132"/>
  <c r="G83" i="132"/>
  <c r="H1386" i="132"/>
  <c r="H1384" i="132" s="1"/>
  <c r="H1382" i="132" s="1"/>
  <c r="G1386" i="132"/>
  <c r="G1384" i="132" s="1"/>
  <c r="G1382" i="132" s="1"/>
  <c r="F1386" i="132"/>
  <c r="F1384" i="132" s="1"/>
  <c r="F1382" i="132" s="1"/>
  <c r="E1386" i="132"/>
  <c r="E1384" i="132" s="1"/>
  <c r="E1382" i="132" s="1"/>
  <c r="D1386" i="132"/>
  <c r="D1384" i="132" s="1"/>
  <c r="D1382" i="132" s="1"/>
  <c r="I1385" i="132"/>
  <c r="I1383" i="132" s="1"/>
  <c r="I1381" i="132" s="1"/>
  <c r="H1385" i="132"/>
  <c r="H1383" i="132" s="1"/>
  <c r="H1381" i="132" s="1"/>
  <c r="G1385" i="132"/>
  <c r="G1383" i="132" s="1"/>
  <c r="G1381" i="132" s="1"/>
  <c r="F1385" i="132"/>
  <c r="F1383" i="132" s="1"/>
  <c r="F1381" i="132" s="1"/>
  <c r="E1385" i="132"/>
  <c r="E1383" i="132" s="1"/>
  <c r="E1381" i="132" s="1"/>
  <c r="C286" i="132"/>
  <c r="G282" i="132"/>
  <c r="G82" i="132" s="1"/>
  <c r="E2497" i="132"/>
  <c r="I2496" i="132"/>
  <c r="H2496" i="132"/>
  <c r="G2496" i="132"/>
  <c r="D2282" i="132"/>
  <c r="C2284" i="132"/>
  <c r="G2069" i="132"/>
  <c r="G2067" i="132" s="1"/>
  <c r="G2065" i="132" s="1"/>
  <c r="G2063" i="132" s="1"/>
  <c r="F2069" i="132"/>
  <c r="F2067" i="132" s="1"/>
  <c r="F2065" i="132" s="1"/>
  <c r="F2063" i="132" s="1"/>
  <c r="E547" i="132"/>
  <c r="E545" i="132" s="1"/>
  <c r="E543" i="132" s="1"/>
  <c r="E541" i="132" s="1"/>
  <c r="E539" i="132" s="1"/>
  <c r="F547" i="132"/>
  <c r="F545" i="132" s="1"/>
  <c r="F543" i="132" s="1"/>
  <c r="F541" i="132" s="1"/>
  <c r="F539" i="132" s="1"/>
  <c r="D2471" i="132"/>
  <c r="C2473" i="132"/>
  <c r="H547" i="132"/>
  <c r="H545" i="132" s="1"/>
  <c r="H543" i="132" s="1"/>
  <c r="H541" i="132" s="1"/>
  <c r="H539" i="132" s="1"/>
  <c r="G547" i="132"/>
  <c r="G545" i="132" s="1"/>
  <c r="G543" i="132" s="1"/>
  <c r="G541" i="132" s="1"/>
  <c r="D555" i="132"/>
  <c r="C557" i="132"/>
  <c r="G1478" i="132"/>
  <c r="G1476" i="132" s="1"/>
  <c r="G1474" i="132" s="1"/>
  <c r="G1470" i="132" s="1"/>
  <c r="F1478" i="132"/>
  <c r="F1476" i="132" s="1"/>
  <c r="F1474" i="132" s="1"/>
  <c r="F1470" i="132" s="1"/>
  <c r="E1478" i="132"/>
  <c r="E1476" i="132" s="1"/>
  <c r="E1474" i="132" s="1"/>
  <c r="E1470" i="132" s="1"/>
  <c r="D1478" i="132"/>
  <c r="I1194" i="132"/>
  <c r="I1192" i="132" s="1"/>
  <c r="I1190" i="132" s="1"/>
  <c r="H1194" i="132"/>
  <c r="H1192" i="132" s="1"/>
  <c r="H1190" i="132" s="1"/>
  <c r="H1188" i="132" s="1"/>
  <c r="H1166" i="132" s="1"/>
  <c r="G1194" i="132"/>
  <c r="G1192" i="132" s="1"/>
  <c r="G1190" i="132" s="1"/>
  <c r="G93" i="132"/>
  <c r="G92" i="132"/>
  <c r="D1830" i="132"/>
  <c r="D606" i="132"/>
  <c r="H111" i="132"/>
  <c r="G111" i="132"/>
  <c r="F2462" i="132"/>
  <c r="F111" i="132"/>
  <c r="H110" i="132"/>
  <c r="G110" i="132"/>
  <c r="F110" i="132"/>
  <c r="H407" i="132"/>
  <c r="H405" i="132" s="1"/>
  <c r="H403" i="132" s="1"/>
  <c r="H401" i="132" s="1"/>
  <c r="H431" i="132"/>
  <c r="H429" i="132" s="1"/>
  <c r="H427" i="132" s="1"/>
  <c r="H425" i="132" s="1"/>
  <c r="C2410" i="132"/>
  <c r="D2408" i="132"/>
  <c r="D1360" i="132"/>
  <c r="D1358" i="132" s="1"/>
  <c r="D1356" i="132" s="1"/>
  <c r="C1362" i="132"/>
  <c r="D1359" i="132"/>
  <c r="C1361" i="132"/>
  <c r="D1138" i="132"/>
  <c r="D828" i="132" s="1"/>
  <c r="C1150" i="132"/>
  <c r="I249" i="132"/>
  <c r="C251" i="132"/>
  <c r="D785" i="132"/>
  <c r="C787" i="132"/>
  <c r="D569" i="132"/>
  <c r="C571" i="132"/>
  <c r="D568" i="132"/>
  <c r="C570" i="132"/>
  <c r="D220" i="132"/>
  <c r="C222" i="132"/>
  <c r="C221" i="132"/>
  <c r="D219" i="132"/>
  <c r="C1197" i="132"/>
  <c r="E2069" i="132"/>
  <c r="E2067" i="132" s="1"/>
  <c r="D2069" i="132"/>
  <c r="I2068" i="132"/>
  <c r="I2066" i="132" s="1"/>
  <c r="I2064" i="132" s="1"/>
  <c r="I2062" i="132" s="1"/>
  <c r="H2068" i="132"/>
  <c r="H2066" i="132" s="1"/>
  <c r="H2064" i="132" s="1"/>
  <c r="H2062" i="132" s="1"/>
  <c r="G2068" i="132"/>
  <c r="G2066" i="132" s="1"/>
  <c r="G2064" i="132" s="1"/>
  <c r="G2062" i="132" s="1"/>
  <c r="F2068" i="132"/>
  <c r="E2068" i="132"/>
  <c r="E2066" i="132" s="1"/>
  <c r="D2068" i="132"/>
  <c r="D2066" i="132" s="1"/>
  <c r="H1357" i="132"/>
  <c r="H1355" i="132" s="1"/>
  <c r="G1357" i="132"/>
  <c r="G1355" i="132" s="1"/>
  <c r="F1357" i="132"/>
  <c r="F1355" i="132" s="1"/>
  <c r="E1357" i="132"/>
  <c r="E1355" i="132" s="1"/>
  <c r="E1353" i="132" s="1"/>
  <c r="D1605" i="132"/>
  <c r="D2375" i="132"/>
  <c r="C2377" i="132"/>
  <c r="C2407" i="132"/>
  <c r="C2409" i="132"/>
  <c r="I2512" i="132"/>
  <c r="H2512" i="132"/>
  <c r="G2512" i="132"/>
  <c r="F2512" i="132"/>
  <c r="E2512" i="132"/>
  <c r="C2458" i="132"/>
  <c r="D1479" i="132"/>
  <c r="D1477" i="132" s="1"/>
  <c r="I1478" i="132"/>
  <c r="I1476" i="132" s="1"/>
  <c r="I1474" i="132" s="1"/>
  <c r="I1470" i="132" s="1"/>
  <c r="H1478" i="132"/>
  <c r="H1476" i="132" s="1"/>
  <c r="H1474" i="132" s="1"/>
  <c r="H1470" i="132" s="1"/>
  <c r="H1742" i="132"/>
  <c r="I1195" i="132"/>
  <c r="I1193" i="132" s="1"/>
  <c r="I1191" i="132" s="1"/>
  <c r="H1195" i="132"/>
  <c r="H1193" i="132" s="1"/>
  <c r="H1191" i="132" s="1"/>
  <c r="H1189" i="132" s="1"/>
  <c r="H1167" i="132" s="1"/>
  <c r="G1195" i="132"/>
  <c r="G1193" i="132" s="1"/>
  <c r="G1191" i="132" s="1"/>
  <c r="G1189" i="132" s="1"/>
  <c r="G1167" i="132" s="1"/>
  <c r="F1195" i="132"/>
  <c r="F1193" i="132" s="1"/>
  <c r="F1191" i="132" s="1"/>
  <c r="F1189" i="132" s="1"/>
  <c r="F1167" i="132" s="1"/>
  <c r="I616" i="132"/>
  <c r="H616" i="132"/>
  <c r="G616" i="132"/>
  <c r="F616" i="132"/>
  <c r="E616" i="132"/>
  <c r="I615" i="132"/>
  <c r="H615" i="132"/>
  <c r="G615" i="132"/>
  <c r="F615" i="132"/>
  <c r="E615" i="132"/>
  <c r="C2556" i="132"/>
  <c r="I2476" i="132"/>
  <c r="D1831" i="132"/>
  <c r="C1832" i="132"/>
  <c r="I31" i="132"/>
  <c r="H31" i="132"/>
  <c r="F31" i="132"/>
  <c r="I30" i="132"/>
  <c r="H30" i="132"/>
  <c r="F30" i="132"/>
  <c r="H2575" i="132"/>
  <c r="G2575" i="132"/>
  <c r="F32" i="132"/>
  <c r="E32" i="132"/>
  <c r="C434" i="132"/>
  <c r="C433" i="132"/>
  <c r="E431" i="132"/>
  <c r="H92" i="132"/>
  <c r="H280" i="132"/>
  <c r="H278" i="132" s="1"/>
  <c r="H93" i="132"/>
  <c r="H281" i="132"/>
  <c r="H279" i="132" s="1"/>
  <c r="E281" i="132"/>
  <c r="E279" i="132" s="1"/>
  <c r="E282" i="132"/>
  <c r="E82" i="132" s="1"/>
  <c r="C284" i="132"/>
  <c r="C283" i="132"/>
  <c r="E2554" i="132"/>
  <c r="C2554" i="132" s="1"/>
  <c r="I260" i="132"/>
  <c r="C260" i="132" s="1"/>
  <c r="C262" i="132"/>
  <c r="E261" i="132"/>
  <c r="C261" i="132" s="1"/>
  <c r="C263" i="132"/>
  <c r="C244" i="132"/>
  <c r="E242" i="132"/>
  <c r="I112" i="132"/>
  <c r="I110" i="132" s="1"/>
  <c r="C149" i="132"/>
  <c r="E147" i="132"/>
  <c r="E93" i="132"/>
  <c r="C2125" i="132"/>
  <c r="D2123" i="132"/>
  <c r="C2126" i="132"/>
  <c r="D2124" i="132"/>
  <c r="D1385" i="132"/>
  <c r="C1441" i="132"/>
  <c r="C2577" i="132"/>
  <c r="I2513" i="132"/>
  <c r="H2513" i="132"/>
  <c r="G2513" i="132"/>
  <c r="E2513" i="132"/>
  <c r="D2513" i="132"/>
  <c r="F596" i="132"/>
  <c r="I744" i="132"/>
  <c r="I742" i="132" s="1"/>
  <c r="I596" i="132"/>
  <c r="H744" i="132"/>
  <c r="H742" i="132" s="1"/>
  <c r="H596" i="132"/>
  <c r="G744" i="132"/>
  <c r="G742" i="132" s="1"/>
  <c r="G596" i="132"/>
  <c r="F2487" i="132"/>
  <c r="F2485" i="132" s="1"/>
  <c r="F2483" i="132" s="1"/>
  <c r="F740" i="132"/>
  <c r="F738" i="132" s="1"/>
  <c r="E744" i="132"/>
  <c r="E742" i="132" s="1"/>
  <c r="E596" i="132"/>
  <c r="I743" i="132"/>
  <c r="I741" i="132" s="1"/>
  <c r="I595" i="132"/>
  <c r="H743" i="132"/>
  <c r="H741" i="132" s="1"/>
  <c r="H595" i="132"/>
  <c r="G743" i="132"/>
  <c r="G741" i="132" s="1"/>
  <c r="G595" i="132"/>
  <c r="F743" i="132"/>
  <c r="F741" i="132" s="1"/>
  <c r="F595" i="132"/>
  <c r="E743" i="132"/>
  <c r="E741" i="132" s="1"/>
  <c r="E595" i="132"/>
  <c r="C745" i="132"/>
  <c r="D743" i="132"/>
  <c r="I1831" i="132"/>
  <c r="I1829" i="132" s="1"/>
  <c r="I1827" i="132" s="1"/>
  <c r="I1825" i="132" s="1"/>
  <c r="I1479" i="132"/>
  <c r="I1477" i="132" s="1"/>
  <c r="I1475" i="132" s="1"/>
  <c r="I1471" i="132" s="1"/>
  <c r="F1831" i="132"/>
  <c r="F1829" i="132" s="1"/>
  <c r="F1827" i="132" s="1"/>
  <c r="F1825" i="132" s="1"/>
  <c r="F1479" i="132"/>
  <c r="F1477" i="132" s="1"/>
  <c r="F1475" i="132" s="1"/>
  <c r="F1471" i="132" s="1"/>
  <c r="E1831" i="132"/>
  <c r="E1829" i="132" s="1"/>
  <c r="E1827" i="132" s="1"/>
  <c r="E1479" i="132"/>
  <c r="E1477" i="132" s="1"/>
  <c r="E1475" i="132" s="1"/>
  <c r="E1471" i="132" s="1"/>
  <c r="C588" i="132"/>
  <c r="D504" i="132"/>
  <c r="C587" i="132"/>
  <c r="D503" i="132"/>
  <c r="D1932" i="132"/>
  <c r="C1934" i="132"/>
  <c r="I1386" i="132"/>
  <c r="C1442" i="132"/>
  <c r="D691" i="132"/>
  <c r="C691" i="132" s="1"/>
  <c r="C693" i="132"/>
  <c r="D692" i="132"/>
  <c r="C692" i="132" s="1"/>
  <c r="C694" i="132"/>
  <c r="D2575" i="132"/>
  <c r="G32" i="132"/>
  <c r="C307" i="132"/>
  <c r="H1603" i="132"/>
  <c r="H1487" i="132"/>
  <c r="I305" i="132"/>
  <c r="I303" i="132" s="1"/>
  <c r="I93" i="132"/>
  <c r="I304" i="132"/>
  <c r="D305" i="132"/>
  <c r="D303" i="132" s="1"/>
  <c r="D93" i="132"/>
  <c r="E1933" i="132"/>
  <c r="C1935" i="132"/>
  <c r="C1196" i="132"/>
  <c r="F1194" i="132"/>
  <c r="D2470" i="132"/>
  <c r="C2472" i="132"/>
  <c r="C2576" i="132"/>
  <c r="D2574" i="132"/>
  <c r="C2574" i="132" s="1"/>
  <c r="I2375" i="132"/>
  <c r="C2376" i="132"/>
  <c r="D2080" i="132"/>
  <c r="D2078" i="132" s="1"/>
  <c r="D2374" i="132"/>
  <c r="H2155" i="132"/>
  <c r="H2153" i="132" s="1"/>
  <c r="H2151" i="132"/>
  <c r="H2149" i="132" s="1"/>
  <c r="H2147" i="132" s="1"/>
  <c r="H2081" i="132"/>
  <c r="H2079" i="132" s="1"/>
  <c r="G2151" i="132"/>
  <c r="G2149" i="132" s="1"/>
  <c r="G2147" i="132" s="1"/>
  <c r="G2155" i="132"/>
  <c r="G2153" i="132" s="1"/>
  <c r="G2081" i="132"/>
  <c r="G2079" i="132" s="1"/>
  <c r="F2151" i="132"/>
  <c r="F2081" i="132"/>
  <c r="F2079" i="132" s="1"/>
  <c r="F2155" i="132"/>
  <c r="F2153" i="132" s="1"/>
  <c r="E2155" i="132"/>
  <c r="E2153" i="132" s="1"/>
  <c r="E2145" i="132" s="1"/>
  <c r="E2143" i="132" s="1"/>
  <c r="E2081" i="132"/>
  <c r="E2079" i="132" s="1"/>
  <c r="D2155" i="132"/>
  <c r="D2081" i="132"/>
  <c r="H2154" i="132"/>
  <c r="H2152" i="132" s="1"/>
  <c r="H2080" i="132"/>
  <c r="H2078" i="132" s="1"/>
  <c r="H2150" i="132"/>
  <c r="H2148" i="132" s="1"/>
  <c r="H2146" i="132" s="1"/>
  <c r="G2150" i="132"/>
  <c r="G2148" i="132" s="1"/>
  <c r="G2146" i="132" s="1"/>
  <c r="G2154" i="132"/>
  <c r="G2152" i="132" s="1"/>
  <c r="G2080" i="132"/>
  <c r="G2078" i="132" s="1"/>
  <c r="F2150" i="132"/>
  <c r="F2154" i="132"/>
  <c r="F2152" i="132" s="1"/>
  <c r="F2080" i="132"/>
  <c r="F2078" i="132" s="1"/>
  <c r="E2154" i="132"/>
  <c r="E2152" i="132" s="1"/>
  <c r="E2144" i="132" s="1"/>
  <c r="E2142" i="132" s="1"/>
  <c r="E2080" i="132"/>
  <c r="E2078" i="132" s="1"/>
  <c r="F2513" i="132"/>
  <c r="C2515" i="132"/>
  <c r="D532" i="132"/>
  <c r="C614" i="132"/>
  <c r="C613" i="132"/>
  <c r="D531" i="132"/>
  <c r="G55" i="132"/>
  <c r="C99" i="132"/>
  <c r="H2371" i="132"/>
  <c r="G2371" i="132"/>
  <c r="F2371" i="132"/>
  <c r="E2371" i="132"/>
  <c r="I2370" i="132"/>
  <c r="H2370" i="132"/>
  <c r="D1974" i="132"/>
  <c r="C1976" i="132"/>
  <c r="D1973" i="132"/>
  <c r="C1975" i="132"/>
  <c r="D2479" i="132"/>
  <c r="D712" i="132"/>
  <c r="C714" i="132"/>
  <c r="D2480" i="132"/>
  <c r="D713" i="132"/>
  <c r="C715" i="132"/>
  <c r="C2517" i="132"/>
  <c r="F51" i="132"/>
  <c r="D540" i="132"/>
  <c r="C540" i="132" s="1"/>
  <c r="C542" i="132"/>
  <c r="G2044" i="132"/>
  <c r="G2051" i="132"/>
  <c r="C2053" i="132"/>
  <c r="D2512" i="132"/>
  <c r="C2514" i="132"/>
  <c r="D744" i="132"/>
  <c r="C746" i="132"/>
  <c r="G554" i="132"/>
  <c r="C556" i="132"/>
  <c r="D2540" i="132"/>
  <c r="C2540" i="132" s="1"/>
  <c r="C2542" i="132"/>
  <c r="D2539" i="132"/>
  <c r="C2539" i="132" s="1"/>
  <c r="C2541" i="132"/>
  <c r="D2464" i="132"/>
  <c r="C2464" i="132" s="1"/>
  <c r="C2466" i="132"/>
  <c r="D2463" i="132"/>
  <c r="C2463" i="132" s="1"/>
  <c r="C2465" i="132"/>
  <c r="F95" i="132"/>
  <c r="H1831" i="132"/>
  <c r="H1829" i="132" s="1"/>
  <c r="H1479" i="132"/>
  <c r="D35" i="132"/>
  <c r="C87" i="132"/>
  <c r="H53" i="132"/>
  <c r="H51" i="132" s="1"/>
  <c r="H95" i="132"/>
  <c r="G53" i="132"/>
  <c r="G95" i="132"/>
  <c r="F1487" i="132"/>
  <c r="F1760" i="132"/>
  <c r="F1758" i="132" s="1"/>
  <c r="E1487" i="132"/>
  <c r="E1760" i="132"/>
  <c r="E1758" i="132" s="1"/>
  <c r="G1486" i="132"/>
  <c r="G1759" i="132"/>
  <c r="G1757" i="132" s="1"/>
  <c r="F1486" i="132"/>
  <c r="F1759" i="132"/>
  <c r="F1757" i="132" s="1"/>
  <c r="E1759" i="132"/>
  <c r="F1358" i="132"/>
  <c r="E2506" i="132"/>
  <c r="E606" i="132"/>
  <c r="E524" i="132" s="1"/>
  <c r="E61" i="132" s="1"/>
  <c r="C586" i="132"/>
  <c r="D502" i="132"/>
  <c r="C2495" i="132"/>
  <c r="C585" i="132"/>
  <c r="D501" i="132"/>
  <c r="C2494" i="132"/>
  <c r="E611" i="132"/>
  <c r="E612" i="132"/>
  <c r="D1193" i="132"/>
  <c r="D1192" i="132"/>
  <c r="C600" i="132"/>
  <c r="I105" i="132"/>
  <c r="I103" i="132" s="1"/>
  <c r="I101" i="132" s="1"/>
  <c r="H105" i="132"/>
  <c r="H103" i="132" s="1"/>
  <c r="H101" i="132" s="1"/>
  <c r="G105" i="132"/>
  <c r="G103" i="132" s="1"/>
  <c r="G101" i="132" s="1"/>
  <c r="F105" i="132"/>
  <c r="F103" i="132" s="1"/>
  <c r="F101" i="132" s="1"/>
  <c r="E105" i="132"/>
  <c r="E103" i="132" s="1"/>
  <c r="E101" i="132" s="1"/>
  <c r="D105" i="132"/>
  <c r="C107" i="132"/>
  <c r="E53" i="132"/>
  <c r="E51" i="132" s="1"/>
  <c r="E95" i="132"/>
  <c r="D53" i="132"/>
  <c r="D95" i="132"/>
  <c r="C97" i="132"/>
  <c r="C95" i="132" s="1"/>
  <c r="I52" i="132"/>
  <c r="I50" i="132" s="1"/>
  <c r="I94" i="132"/>
  <c r="H52" i="132"/>
  <c r="H50" i="132" s="1"/>
  <c r="H94" i="132"/>
  <c r="G52" i="132"/>
  <c r="G50" i="132" s="1"/>
  <c r="G94" i="132"/>
  <c r="F52" i="132"/>
  <c r="F50" i="132" s="1"/>
  <c r="F94" i="132"/>
  <c r="E52" i="132"/>
  <c r="E50" i="132" s="1"/>
  <c r="E94" i="132"/>
  <c r="D94" i="132"/>
  <c r="D52" i="132"/>
  <c r="C96" i="132"/>
  <c r="C94" i="132" s="1"/>
  <c r="G1831" i="132"/>
  <c r="C1833" i="132"/>
  <c r="G1479" i="132"/>
  <c r="C604" i="132"/>
  <c r="D522" i="132"/>
  <c r="H32" i="132"/>
  <c r="F93" i="132"/>
  <c r="F305" i="132"/>
  <c r="H1486" i="132"/>
  <c r="H1759" i="132"/>
  <c r="H1757" i="132" s="1"/>
  <c r="G1487" i="132"/>
  <c r="G1760" i="132"/>
  <c r="G1758" i="132" s="1"/>
  <c r="D612" i="132"/>
  <c r="C830" i="132"/>
  <c r="D611" i="132"/>
  <c r="C829" i="132"/>
  <c r="I2575" i="132"/>
  <c r="C2579" i="132"/>
  <c r="D144" i="132"/>
  <c r="D112" i="132" s="1"/>
  <c r="I55" i="132"/>
  <c r="I95" i="132"/>
  <c r="F2098" i="132" l="1"/>
  <c r="E2441" i="132"/>
  <c r="E2439" i="132" s="1"/>
  <c r="E2437" i="132" s="1"/>
  <c r="D2441" i="132"/>
  <c r="I2065" i="132"/>
  <c r="I2063" i="132" s="1"/>
  <c r="C2099" i="132"/>
  <c r="G34" i="132"/>
  <c r="D615" i="132"/>
  <c r="I2461" i="132"/>
  <c r="G2077" i="132"/>
  <c r="D827" i="132"/>
  <c r="D1494" i="132"/>
  <c r="I518" i="132"/>
  <c r="I49" i="132" s="1"/>
  <c r="C2070" i="132"/>
  <c r="H2277" i="132"/>
  <c r="G2277" i="132"/>
  <c r="F2277" i="132"/>
  <c r="E2277" i="132"/>
  <c r="I2276" i="132"/>
  <c r="H2276" i="132"/>
  <c r="C185" i="132"/>
  <c r="E183" i="132"/>
  <c r="E106" i="132"/>
  <c r="C1137" i="132"/>
  <c r="E2049" i="132"/>
  <c r="E2047" i="132" s="1"/>
  <c r="H518" i="132"/>
  <c r="H49" i="132" s="1"/>
  <c r="H517" i="132"/>
  <c r="H48" i="132" s="1"/>
  <c r="E517" i="132"/>
  <c r="E48" i="132" s="1"/>
  <c r="H2039" i="132"/>
  <c r="H2037" i="132" s="1"/>
  <c r="E2039" i="132"/>
  <c r="E2037" i="132" s="1"/>
  <c r="H2038" i="132"/>
  <c r="E2038" i="132"/>
  <c r="G1824" i="132"/>
  <c r="F1824" i="132"/>
  <c r="E1826" i="132"/>
  <c r="E1824" i="132" s="1"/>
  <c r="H2077" i="132"/>
  <c r="E518" i="132"/>
  <c r="E49" i="132" s="1"/>
  <c r="H1824" i="132"/>
  <c r="E2065" i="132"/>
  <c r="E2063" i="132" s="1"/>
  <c r="I1824" i="132"/>
  <c r="D2098" i="132"/>
  <c r="C2098" i="132" s="1"/>
  <c r="C2100" i="132"/>
  <c r="D111" i="132"/>
  <c r="D2281" i="132"/>
  <c r="C2283" i="132"/>
  <c r="D1491" i="132"/>
  <c r="D2043" i="132"/>
  <c r="F825" i="132"/>
  <c r="I825" i="132"/>
  <c r="H825" i="132"/>
  <c r="G825" i="132"/>
  <c r="D2439" i="132"/>
  <c r="C2441" i="132"/>
  <c r="D2050" i="132"/>
  <c r="I1357" i="132"/>
  <c r="I1355" i="132" s="1"/>
  <c r="I597" i="132"/>
  <c r="I513" i="132" s="1"/>
  <c r="I44" i="132" s="1"/>
  <c r="D1492" i="132"/>
  <c r="E112" i="132"/>
  <c r="F34" i="132"/>
  <c r="C146" i="132"/>
  <c r="C1495" i="132"/>
  <c r="E1493" i="132"/>
  <c r="E825" i="132"/>
  <c r="E826" i="132"/>
  <c r="G826" i="132"/>
  <c r="F826" i="132"/>
  <c r="I826" i="132"/>
  <c r="H826" i="132"/>
  <c r="D1760" i="132"/>
  <c r="D398" i="132"/>
  <c r="E92" i="132"/>
  <c r="I217" i="132"/>
  <c r="E239" i="132"/>
  <c r="C241" i="132"/>
  <c r="I92" i="132"/>
  <c r="E2424" i="132"/>
  <c r="E2422" i="132" s="1"/>
  <c r="D2424" i="132"/>
  <c r="D2422" i="132" s="1"/>
  <c r="C2050" i="132"/>
  <c r="D2049" i="132"/>
  <c r="D2047" i="132" s="1"/>
  <c r="G2048" i="132"/>
  <c r="G2046" i="132" s="1"/>
  <c r="D2048" i="132"/>
  <c r="I398" i="132"/>
  <c r="I396" i="132" s="1"/>
  <c r="I394" i="132" s="1"/>
  <c r="I392" i="132" s="1"/>
  <c r="I477" i="132"/>
  <c r="I475" i="132"/>
  <c r="I473" i="132" s="1"/>
  <c r="I471" i="132" s="1"/>
  <c r="I2506" i="132"/>
  <c r="C808" i="132"/>
  <c r="I1354" i="132"/>
  <c r="I1603" i="132"/>
  <c r="I1601" i="132" s="1"/>
  <c r="E1602" i="132"/>
  <c r="E1354" i="132"/>
  <c r="E1486" i="132"/>
  <c r="D2237" i="132"/>
  <c r="C1128" i="132"/>
  <c r="C1130" i="132"/>
  <c r="D2440" i="132"/>
  <c r="C2442" i="132"/>
  <c r="H399" i="132"/>
  <c r="H2236" i="132"/>
  <c r="H2234" i="132" s="1"/>
  <c r="C479" i="132"/>
  <c r="D2038" i="132"/>
  <c r="G397" i="132"/>
  <c r="G395" i="132" s="1"/>
  <c r="G393" i="132" s="1"/>
  <c r="I606" i="132"/>
  <c r="I524" i="132" s="1"/>
  <c r="I61" i="132" s="1"/>
  <c r="H475" i="132"/>
  <c r="H473" i="132" s="1"/>
  <c r="H471" i="132" s="1"/>
  <c r="H477" i="132"/>
  <c r="H396" i="132"/>
  <c r="H394" i="132" s="1"/>
  <c r="H392" i="132" s="1"/>
  <c r="D475" i="132"/>
  <c r="D473" i="132" s="1"/>
  <c r="D471" i="132" s="1"/>
  <c r="D477" i="132"/>
  <c r="H478" i="132"/>
  <c r="H476" i="132"/>
  <c r="H474" i="132" s="1"/>
  <c r="H472" i="132" s="1"/>
  <c r="F397" i="132"/>
  <c r="F395" i="132" s="1"/>
  <c r="F393" i="132" s="1"/>
  <c r="G517" i="132"/>
  <c r="G48" i="132" s="1"/>
  <c r="E34" i="132"/>
  <c r="G2039" i="132"/>
  <c r="G2037" i="132" s="1"/>
  <c r="I33" i="132"/>
  <c r="G33" i="132"/>
  <c r="F33" i="132"/>
  <c r="E33" i="132"/>
  <c r="D518" i="132"/>
  <c r="I32" i="132"/>
  <c r="I111" i="132"/>
  <c r="C86" i="132"/>
  <c r="G104" i="132"/>
  <c r="G102" i="132" s="1"/>
  <c r="G100" i="132" s="1"/>
  <c r="D104" i="132"/>
  <c r="D102" i="132" s="1"/>
  <c r="D2238" i="132"/>
  <c r="C598" i="132"/>
  <c r="H104" i="132"/>
  <c r="H102" i="132" s="1"/>
  <c r="H100" i="132" s="1"/>
  <c r="D397" i="132"/>
  <c r="D304" i="132"/>
  <c r="D92" i="132"/>
  <c r="H33" i="132"/>
  <c r="D514" i="132"/>
  <c r="D513" i="132"/>
  <c r="D1931" i="132"/>
  <c r="C306" i="132"/>
  <c r="F104" i="132"/>
  <c r="C2239" i="132"/>
  <c r="C2240" i="132"/>
  <c r="I104" i="132"/>
  <c r="I102" i="132" s="1"/>
  <c r="I100" i="132" s="1"/>
  <c r="C458" i="132"/>
  <c r="F40" i="132"/>
  <c r="F90" i="132"/>
  <c r="F88" i="132" s="1"/>
  <c r="F80" i="132" s="1"/>
  <c r="D2083" i="132"/>
  <c r="C505" i="132"/>
  <c r="D2152" i="132"/>
  <c r="D2144" i="132" s="1"/>
  <c r="D2142" i="132" s="1"/>
  <c r="E2536" i="132"/>
  <c r="E2534" i="132" s="1"/>
  <c r="G2536" i="132"/>
  <c r="G2534" i="132" s="1"/>
  <c r="F2536" i="132"/>
  <c r="F2534" i="132" s="1"/>
  <c r="I1742" i="132"/>
  <c r="C2505" i="132"/>
  <c r="D523" i="132"/>
  <c r="C605" i="132"/>
  <c r="C786" i="132"/>
  <c r="E784" i="132"/>
  <c r="C603" i="132"/>
  <c r="D521" i="132"/>
  <c r="C634" i="132"/>
  <c r="D632" i="132"/>
  <c r="D621" i="132"/>
  <c r="C633" i="132"/>
  <c r="D2082" i="132"/>
  <c r="C2213" i="132"/>
  <c r="I424" i="132"/>
  <c r="D204" i="132"/>
  <c r="C206" i="132"/>
  <c r="D203" i="132"/>
  <c r="C205" i="132"/>
  <c r="D34" i="132"/>
  <c r="G390" i="132"/>
  <c r="F390" i="132"/>
  <c r="G279" i="132"/>
  <c r="D403" i="132"/>
  <c r="G66" i="132"/>
  <c r="I1487" i="132"/>
  <c r="E1188" i="132"/>
  <c r="E1166" i="132" s="1"/>
  <c r="G67" i="132"/>
  <c r="D404" i="132"/>
  <c r="E405" i="132"/>
  <c r="E403" i="132" s="1"/>
  <c r="E401" i="132" s="1"/>
  <c r="F66" i="132"/>
  <c r="D1596" i="132"/>
  <c r="C599" i="132"/>
  <c r="F2077" i="132"/>
  <c r="E2077" i="132"/>
  <c r="E2073" i="132" s="1"/>
  <c r="C2157" i="132"/>
  <c r="H2076" i="132"/>
  <c r="D66" i="132"/>
  <c r="I67" i="132"/>
  <c r="F67" i="132"/>
  <c r="E67" i="132"/>
  <c r="D67" i="132"/>
  <c r="I66" i="132"/>
  <c r="I2153" i="132"/>
  <c r="C1762" i="132"/>
  <c r="G2557" i="132"/>
  <c r="G2561" i="132"/>
  <c r="G473" i="132"/>
  <c r="G471" i="132" s="1"/>
  <c r="F2561" i="132"/>
  <c r="F2557" i="132"/>
  <c r="F2551" i="132" s="1"/>
  <c r="F473" i="132"/>
  <c r="F471" i="132" s="1"/>
  <c r="G2562" i="132"/>
  <c r="G2558" i="132"/>
  <c r="G2552" i="132" s="1"/>
  <c r="G474" i="132"/>
  <c r="G472" i="132" s="1"/>
  <c r="C1496" i="132"/>
  <c r="I1494" i="132"/>
  <c r="C83" i="132"/>
  <c r="H1352" i="132"/>
  <c r="G1352" i="132"/>
  <c r="D596" i="132"/>
  <c r="I516" i="132"/>
  <c r="I47" i="132" s="1"/>
  <c r="F516" i="132"/>
  <c r="F47" i="132" s="1"/>
  <c r="I2493" i="132"/>
  <c r="I2491" i="132" s="1"/>
  <c r="H2493" i="132"/>
  <c r="H2491" i="132" s="1"/>
  <c r="G2493" i="132"/>
  <c r="G2491" i="132" s="1"/>
  <c r="F2493" i="132"/>
  <c r="F2491" i="132" s="1"/>
  <c r="E2493" i="132"/>
  <c r="I2492" i="132"/>
  <c r="I2490" i="132" s="1"/>
  <c r="H2492" i="132"/>
  <c r="H2490" i="132" s="1"/>
  <c r="G2492" i="132"/>
  <c r="G2490" i="132" s="1"/>
  <c r="H2454" i="132"/>
  <c r="H2452" i="132" s="1"/>
  <c r="H2453" i="132"/>
  <c r="H2451" i="132" s="1"/>
  <c r="I2081" i="132"/>
  <c r="I2079" i="132" s="1"/>
  <c r="I2077" i="132" s="1"/>
  <c r="I2073" i="132" s="1"/>
  <c r="I2061" i="132" s="1"/>
  <c r="G2076" i="132"/>
  <c r="F2076" i="132"/>
  <c r="E2076" i="132"/>
  <c r="E2072" i="132" s="1"/>
  <c r="D1476" i="132"/>
  <c r="D1486" i="132"/>
  <c r="D1484" i="132" s="1"/>
  <c r="D1482" i="132" s="1"/>
  <c r="D1759" i="132"/>
  <c r="D1757" i="132" s="1"/>
  <c r="C1761" i="132"/>
  <c r="F2453" i="132"/>
  <c r="F2451" i="132" s="1"/>
  <c r="I2080" i="132"/>
  <c r="C2156" i="132"/>
  <c r="I2154" i="132"/>
  <c r="I2152" i="132" s="1"/>
  <c r="C504" i="132"/>
  <c r="I1486" i="132"/>
  <c r="I1484" i="132" s="1"/>
  <c r="I1482" i="132" s="1"/>
  <c r="I1480" i="132" s="1"/>
  <c r="I1759" i="132"/>
  <c r="I1757" i="132" s="1"/>
  <c r="I1755" i="132" s="1"/>
  <c r="I1741" i="132" s="1"/>
  <c r="E395" i="132"/>
  <c r="E2562" i="132"/>
  <c r="E2558" i="132"/>
  <c r="E473" i="132"/>
  <c r="E2561" i="132"/>
  <c r="E396" i="132"/>
  <c r="I476" i="132"/>
  <c r="I399" i="132"/>
  <c r="I478" i="132"/>
  <c r="C480" i="132"/>
  <c r="C459" i="132"/>
  <c r="C2212" i="132"/>
  <c r="I2082" i="132"/>
  <c r="D1565" i="132"/>
  <c r="C1567" i="132"/>
  <c r="D1564" i="132"/>
  <c r="C1566" i="132"/>
  <c r="D2280" i="132"/>
  <c r="C2282" i="132"/>
  <c r="E2064" i="132"/>
  <c r="E2062" i="132" s="1"/>
  <c r="F2454" i="132"/>
  <c r="F2452" i="132" s="1"/>
  <c r="H2537" i="132"/>
  <c r="H2535" i="132" s="1"/>
  <c r="G2537" i="132"/>
  <c r="G2535" i="132" s="1"/>
  <c r="F2537" i="132"/>
  <c r="F2535" i="132" s="1"/>
  <c r="I2536" i="132"/>
  <c r="I2534" i="132" s="1"/>
  <c r="H2536" i="132"/>
  <c r="H2534" i="132" s="1"/>
  <c r="C1604" i="132"/>
  <c r="D2469" i="132"/>
  <c r="C2469" i="132" s="1"/>
  <c r="C2471" i="132"/>
  <c r="G539" i="132"/>
  <c r="C539" i="132" s="1"/>
  <c r="C541" i="132"/>
  <c r="D553" i="132"/>
  <c r="C555" i="132"/>
  <c r="D2425" i="132"/>
  <c r="C2427" i="132"/>
  <c r="G2424" i="132"/>
  <c r="C2426" i="132"/>
  <c r="D2086" i="132"/>
  <c r="C2086" i="132" s="1"/>
  <c r="C2088" i="132"/>
  <c r="I2085" i="132"/>
  <c r="C2085" i="132" s="1"/>
  <c r="C2087" i="132"/>
  <c r="D1586" i="132"/>
  <c r="C1588" i="132"/>
  <c r="F1585" i="132"/>
  <c r="C1587" i="132"/>
  <c r="G30" i="132"/>
  <c r="G2553" i="132"/>
  <c r="G280" i="132"/>
  <c r="G278" i="132" s="1"/>
  <c r="G31" i="132"/>
  <c r="E31" i="132"/>
  <c r="D595" i="132"/>
  <c r="C407" i="132"/>
  <c r="E516" i="132"/>
  <c r="E47" i="132" s="1"/>
  <c r="D1828" i="132"/>
  <c r="C1830" i="132"/>
  <c r="D524" i="132"/>
  <c r="I1188" i="132"/>
  <c r="I1166" i="132" s="1"/>
  <c r="G1188" i="132"/>
  <c r="G1166" i="132" s="1"/>
  <c r="C1194" i="132"/>
  <c r="F594" i="132"/>
  <c r="F592" i="132" s="1"/>
  <c r="F584" i="132" s="1"/>
  <c r="F512" i="132"/>
  <c r="I611" i="132"/>
  <c r="H611" i="132"/>
  <c r="H67" i="132"/>
  <c r="G91" i="132"/>
  <c r="G89" i="132" s="1"/>
  <c r="G81" i="132" s="1"/>
  <c r="G41" i="132"/>
  <c r="G90" i="132"/>
  <c r="G88" i="132" s="1"/>
  <c r="G40" i="132"/>
  <c r="G611" i="132"/>
  <c r="C2408" i="132"/>
  <c r="D2406" i="132"/>
  <c r="C2406" i="132" s="1"/>
  <c r="D1357" i="132"/>
  <c r="C1359" i="132"/>
  <c r="D616" i="132"/>
  <c r="C616" i="132" s="1"/>
  <c r="C1138" i="132"/>
  <c r="C249" i="132"/>
  <c r="I247" i="132"/>
  <c r="D775" i="132"/>
  <c r="C785" i="132"/>
  <c r="C569" i="132"/>
  <c r="D567" i="132"/>
  <c r="C568" i="132"/>
  <c r="D566" i="132"/>
  <c r="D218" i="132"/>
  <c r="D216" i="132" s="1"/>
  <c r="D85" i="132"/>
  <c r="C220" i="132"/>
  <c r="D2529" i="132"/>
  <c r="C2529" i="132" s="1"/>
  <c r="D84" i="132"/>
  <c r="C219" i="132"/>
  <c r="D217" i="132"/>
  <c r="D215" i="132" s="1"/>
  <c r="D2528" i="132"/>
  <c r="C2528" i="132" s="1"/>
  <c r="H1353" i="132"/>
  <c r="H1351" i="132" s="1"/>
  <c r="G1353" i="132"/>
  <c r="G1351" i="132" s="1"/>
  <c r="G2532" i="132"/>
  <c r="G2526" i="132" s="1"/>
  <c r="F1353" i="132"/>
  <c r="F1351" i="132" s="1"/>
  <c r="D1603" i="132"/>
  <c r="D1601" i="132" s="1"/>
  <c r="D1599" i="132" s="1"/>
  <c r="D1597" i="132" s="1"/>
  <c r="C1605" i="132"/>
  <c r="H2532" i="132"/>
  <c r="H2526" i="132" s="1"/>
  <c r="F2532" i="132"/>
  <c r="F2526" i="132" s="1"/>
  <c r="I2533" i="132"/>
  <c r="I2527" i="132" s="1"/>
  <c r="I515" i="132"/>
  <c r="I46" i="132" s="1"/>
  <c r="H515" i="132"/>
  <c r="H46" i="132" s="1"/>
  <c r="G515" i="132"/>
  <c r="G46" i="132" s="1"/>
  <c r="F515" i="132"/>
  <c r="F46" i="132" s="1"/>
  <c r="E515" i="132"/>
  <c r="E46" i="132" s="1"/>
  <c r="I2453" i="132"/>
  <c r="I2451" i="132" s="1"/>
  <c r="C2069" i="132"/>
  <c r="D2067" i="132"/>
  <c r="F2066" i="132"/>
  <c r="F2064" i="132" s="1"/>
  <c r="F2062" i="132" s="1"/>
  <c r="C2068" i="132"/>
  <c r="C743" i="132"/>
  <c r="D741" i="132"/>
  <c r="C1478" i="132"/>
  <c r="I2521" i="132"/>
  <c r="I2519" i="132" s="1"/>
  <c r="I2511" i="132" s="1"/>
  <c r="I1189" i="132"/>
  <c r="I1167" i="132" s="1"/>
  <c r="C503" i="132"/>
  <c r="D2373" i="132"/>
  <c r="C2512" i="132"/>
  <c r="D2064" i="132"/>
  <c r="D1829" i="132"/>
  <c r="D1354" i="132"/>
  <c r="C1360" i="132"/>
  <c r="C35" i="132"/>
  <c r="G612" i="132"/>
  <c r="F612" i="132"/>
  <c r="C1195" i="132"/>
  <c r="I612" i="132"/>
  <c r="H612" i="132"/>
  <c r="C615" i="132"/>
  <c r="D516" i="132"/>
  <c r="D47" i="132" s="1"/>
  <c r="D515" i="132"/>
  <c r="I594" i="132"/>
  <c r="I592" i="132" s="1"/>
  <c r="I584" i="132" s="1"/>
  <c r="I512" i="132"/>
  <c r="H512" i="132"/>
  <c r="H43" i="132" s="1"/>
  <c r="H594" i="132"/>
  <c r="H592" i="132" s="1"/>
  <c r="H584" i="132" s="1"/>
  <c r="G594" i="132"/>
  <c r="G592" i="132" s="1"/>
  <c r="G584" i="132" s="1"/>
  <c r="G512" i="132"/>
  <c r="G43" i="132" s="1"/>
  <c r="E512" i="132"/>
  <c r="E594" i="132"/>
  <c r="E592" i="132" s="1"/>
  <c r="E584" i="132" s="1"/>
  <c r="I511" i="132"/>
  <c r="H593" i="132"/>
  <c r="H591" i="132" s="1"/>
  <c r="H583" i="132" s="1"/>
  <c r="H511" i="132"/>
  <c r="G593" i="132"/>
  <c r="G591" i="132" s="1"/>
  <c r="G583" i="132" s="1"/>
  <c r="G511" i="132"/>
  <c r="F593" i="132"/>
  <c r="F591" i="132" s="1"/>
  <c r="F583" i="132" s="1"/>
  <c r="F511" i="132"/>
  <c r="E511" i="132"/>
  <c r="E593" i="132"/>
  <c r="E591" i="132" s="1"/>
  <c r="E583" i="132" s="1"/>
  <c r="H2521" i="132"/>
  <c r="H2519" i="132" s="1"/>
  <c r="H2511" i="132" s="1"/>
  <c r="D1475" i="132"/>
  <c r="D1487" i="132"/>
  <c r="E1351" i="132"/>
  <c r="H406" i="132"/>
  <c r="H430" i="132"/>
  <c r="C432" i="132"/>
  <c r="C431" i="132"/>
  <c r="E429" i="132"/>
  <c r="H90" i="132"/>
  <c r="H88" i="132" s="1"/>
  <c r="H80" i="132" s="1"/>
  <c r="H40" i="132"/>
  <c r="H91" i="132"/>
  <c r="H89" i="132" s="1"/>
  <c r="H81" i="132" s="1"/>
  <c r="E280" i="132"/>
  <c r="E278" i="132" s="1"/>
  <c r="C282" i="132"/>
  <c r="E2553" i="132"/>
  <c r="C242" i="132"/>
  <c r="E240" i="132"/>
  <c r="I91" i="132"/>
  <c r="I89" i="132" s="1"/>
  <c r="I81" i="132" s="1"/>
  <c r="C147" i="132"/>
  <c r="E145" i="132"/>
  <c r="E91" i="132"/>
  <c r="E89" i="132" s="1"/>
  <c r="E81" i="132" s="1"/>
  <c r="E41" i="132"/>
  <c r="D2121" i="132"/>
  <c r="C2123" i="132"/>
  <c r="D2496" i="132"/>
  <c r="D2492" i="132" s="1"/>
  <c r="C2124" i="132"/>
  <c r="D2122" i="132"/>
  <c r="D1383" i="132"/>
  <c r="C1385" i="132"/>
  <c r="I740" i="132"/>
  <c r="I738" i="132" s="1"/>
  <c r="I2487" i="132"/>
  <c r="I2485" i="132" s="1"/>
  <c r="I2483" i="132" s="1"/>
  <c r="H2487" i="132"/>
  <c r="H2485" i="132" s="1"/>
  <c r="H2483" i="132" s="1"/>
  <c r="H740" i="132"/>
  <c r="H738" i="132" s="1"/>
  <c r="G740" i="132"/>
  <c r="G738" i="132" s="1"/>
  <c r="G2487" i="132"/>
  <c r="G2485" i="132" s="1"/>
  <c r="G2483" i="132" s="1"/>
  <c r="E740" i="132"/>
  <c r="E738" i="132" s="1"/>
  <c r="E2487" i="132"/>
  <c r="E2485" i="132" s="1"/>
  <c r="E2483" i="132" s="1"/>
  <c r="I739" i="132"/>
  <c r="I737" i="132" s="1"/>
  <c r="I2486" i="132"/>
  <c r="I2484" i="132" s="1"/>
  <c r="I2482" i="132" s="1"/>
  <c r="H2486" i="132"/>
  <c r="H2484" i="132" s="1"/>
  <c r="H2482" i="132" s="1"/>
  <c r="H739" i="132"/>
  <c r="H737" i="132" s="1"/>
  <c r="G739" i="132"/>
  <c r="G737" i="132" s="1"/>
  <c r="G2486" i="132"/>
  <c r="G2484" i="132" s="1"/>
  <c r="G2482" i="132" s="1"/>
  <c r="F739" i="132"/>
  <c r="F737" i="132" s="1"/>
  <c r="F2486" i="132"/>
  <c r="F2484" i="132" s="1"/>
  <c r="F2482" i="132" s="1"/>
  <c r="E739" i="132"/>
  <c r="E737" i="132" s="1"/>
  <c r="E2486" i="132"/>
  <c r="E2484" i="132" s="1"/>
  <c r="E2482" i="132" s="1"/>
  <c r="C2513" i="132"/>
  <c r="G51" i="132"/>
  <c r="H1485" i="132"/>
  <c r="H1483" i="132" s="1"/>
  <c r="H1481" i="132" s="1"/>
  <c r="H534" i="132"/>
  <c r="H73" i="132" s="1"/>
  <c r="I302" i="132"/>
  <c r="D41" i="132"/>
  <c r="D91" i="132"/>
  <c r="D89" i="132" s="1"/>
  <c r="E1931" i="132"/>
  <c r="C1933" i="132"/>
  <c r="F1192" i="132"/>
  <c r="F1190" i="132" s="1"/>
  <c r="F1188" i="132" s="1"/>
  <c r="F1166" i="132" s="1"/>
  <c r="F611" i="132"/>
  <c r="C2470" i="132"/>
  <c r="D2468" i="132"/>
  <c r="C2468" i="132" s="1"/>
  <c r="I2373" i="132"/>
  <c r="I2371" i="132" s="1"/>
  <c r="C2375" i="132"/>
  <c r="D2372" i="132"/>
  <c r="C2374" i="132"/>
  <c r="H2504" i="132"/>
  <c r="H2075" i="132"/>
  <c r="H2145" i="132"/>
  <c r="H2143" i="132" s="1"/>
  <c r="G2504" i="132"/>
  <c r="G2145" i="132"/>
  <c r="G2143" i="132" s="1"/>
  <c r="G2075" i="132"/>
  <c r="C2151" i="132"/>
  <c r="F2149" i="132"/>
  <c r="D2153" i="132"/>
  <c r="D2145" i="132" s="1"/>
  <c r="D2143" i="132" s="1"/>
  <c r="C2155" i="132"/>
  <c r="D2079" i="132"/>
  <c r="H2503" i="132"/>
  <c r="H2074" i="132"/>
  <c r="H2144" i="132"/>
  <c r="H2142" i="132" s="1"/>
  <c r="G2503" i="132"/>
  <c r="G2074" i="132"/>
  <c r="G2144" i="132"/>
  <c r="G2142" i="132" s="1"/>
  <c r="C2150" i="132"/>
  <c r="F2148" i="132"/>
  <c r="D1930" i="132"/>
  <c r="C1932" i="132"/>
  <c r="I1384" i="132"/>
  <c r="C1386" i="132"/>
  <c r="H1601" i="132"/>
  <c r="I281" i="132"/>
  <c r="I279" i="132" s="1"/>
  <c r="D71" i="132"/>
  <c r="C71" i="132" s="1"/>
  <c r="C532" i="132"/>
  <c r="D70" i="132"/>
  <c r="C70" i="132" s="1"/>
  <c r="C531" i="132"/>
  <c r="D1968" i="132"/>
  <c r="C1974" i="132"/>
  <c r="D1967" i="132"/>
  <c r="C1973" i="132"/>
  <c r="D2477" i="132"/>
  <c r="C2479" i="132"/>
  <c r="D710" i="132"/>
  <c r="C710" i="132" s="1"/>
  <c r="C712" i="132"/>
  <c r="D2478" i="132"/>
  <c r="C2480" i="132"/>
  <c r="D711" i="132"/>
  <c r="C711" i="132" s="1"/>
  <c r="C713" i="132"/>
  <c r="H1827" i="132"/>
  <c r="H1825" i="132" s="1"/>
  <c r="H2533" i="132"/>
  <c r="H2527" i="132" s="1"/>
  <c r="G518" i="132"/>
  <c r="G2042" i="132"/>
  <c r="C2044" i="132"/>
  <c r="G2462" i="132"/>
  <c r="G2049" i="132"/>
  <c r="C2051" i="132"/>
  <c r="C744" i="132"/>
  <c r="D742" i="132"/>
  <c r="G2461" i="132"/>
  <c r="G2453" i="132" s="1"/>
  <c r="G2451" i="132" s="1"/>
  <c r="G552" i="132"/>
  <c r="C554" i="132"/>
  <c r="H516" i="132"/>
  <c r="H1477" i="132"/>
  <c r="H1475" i="132" s="1"/>
  <c r="H1471" i="132" s="1"/>
  <c r="G1755" i="132"/>
  <c r="G1741" i="132" s="1"/>
  <c r="G2520" i="132"/>
  <c r="G2518" i="132" s="1"/>
  <c r="G2510" i="132" s="1"/>
  <c r="F1755" i="132"/>
  <c r="F1741" i="132" s="1"/>
  <c r="E1757" i="132"/>
  <c r="D51" i="132"/>
  <c r="C53" i="132"/>
  <c r="D50" i="132"/>
  <c r="C50" i="132" s="1"/>
  <c r="C52" i="132"/>
  <c r="G1829" i="132"/>
  <c r="C1831" i="132"/>
  <c r="F534" i="132"/>
  <c r="F73" i="132" s="1"/>
  <c r="F1485" i="132"/>
  <c r="F1483" i="132" s="1"/>
  <c r="F1481" i="132" s="1"/>
  <c r="F1469" i="132" s="1"/>
  <c r="F2521" i="132"/>
  <c r="F2519" i="132" s="1"/>
  <c r="F2511" i="132" s="1"/>
  <c r="F1756" i="132"/>
  <c r="F1742" i="132" s="1"/>
  <c r="E534" i="132"/>
  <c r="E73" i="132" s="1"/>
  <c r="E1485" i="132"/>
  <c r="E1483" i="132" s="1"/>
  <c r="E1481" i="132" s="1"/>
  <c r="E1469" i="132" s="1"/>
  <c r="E2521" i="132"/>
  <c r="E2519" i="132" s="1"/>
  <c r="E2511" i="132" s="1"/>
  <c r="E1756" i="132"/>
  <c r="E1742" i="132" s="1"/>
  <c r="G533" i="132"/>
  <c r="G72" i="132" s="1"/>
  <c r="G1484" i="132"/>
  <c r="G1482" i="132" s="1"/>
  <c r="G1480" i="132" s="1"/>
  <c r="G1468" i="132" s="1"/>
  <c r="F533" i="132"/>
  <c r="F72" i="132" s="1"/>
  <c r="F1484" i="132"/>
  <c r="F1482" i="132" s="1"/>
  <c r="F1480" i="132" s="1"/>
  <c r="F1468" i="132" s="1"/>
  <c r="C1358" i="132"/>
  <c r="F1356" i="132"/>
  <c r="C502" i="132"/>
  <c r="D31" i="132"/>
  <c r="C501" i="132"/>
  <c r="D30" i="132"/>
  <c r="G516" i="132"/>
  <c r="C1479" i="132"/>
  <c r="G1477" i="132"/>
  <c r="D59" i="132"/>
  <c r="E609" i="132"/>
  <c r="E607" i="132" s="1"/>
  <c r="E601" i="132" s="1"/>
  <c r="E529" i="132"/>
  <c r="E530" i="132"/>
  <c r="E610" i="132"/>
  <c r="E608" i="132" s="1"/>
  <c r="E602" i="132" s="1"/>
  <c r="C1193" i="132"/>
  <c r="D1191" i="132"/>
  <c r="D1190" i="132"/>
  <c r="C105" i="132"/>
  <c r="D103" i="132"/>
  <c r="I51" i="132"/>
  <c r="C55" i="132"/>
  <c r="C93" i="132"/>
  <c r="F91" i="132"/>
  <c r="F41" i="132"/>
  <c r="F303" i="132"/>
  <c r="C303" i="132" s="1"/>
  <c r="C305" i="132"/>
  <c r="H533" i="132"/>
  <c r="H1484" i="132"/>
  <c r="H2520" i="132"/>
  <c r="H2518" i="132" s="1"/>
  <c r="H2510" i="132" s="1"/>
  <c r="H1755" i="132"/>
  <c r="H1741" i="132" s="1"/>
  <c r="G534" i="132"/>
  <c r="G1485" i="132"/>
  <c r="G1483" i="132" s="1"/>
  <c r="G1481" i="132" s="1"/>
  <c r="G2521" i="132"/>
  <c r="G2519" i="132" s="1"/>
  <c r="G2511" i="132" s="1"/>
  <c r="G1756" i="132"/>
  <c r="G1742" i="132" s="1"/>
  <c r="D530" i="132"/>
  <c r="D529" i="132"/>
  <c r="C2575" i="132"/>
  <c r="D2558" i="132"/>
  <c r="D2562" i="132"/>
  <c r="D281" i="132"/>
  <c r="C144" i="132"/>
  <c r="E2557" i="132" l="1"/>
  <c r="D2437" i="132"/>
  <c r="C2437" i="132" s="1"/>
  <c r="D2462" i="132"/>
  <c r="E66" i="132"/>
  <c r="D609" i="132"/>
  <c r="D825" i="132"/>
  <c r="C827" i="132"/>
  <c r="C2439" i="132"/>
  <c r="C2043" i="132"/>
  <c r="I2277" i="132"/>
  <c r="C183" i="132"/>
  <c r="E181" i="132"/>
  <c r="H397" i="132"/>
  <c r="H395" i="132" s="1"/>
  <c r="H393" i="132" s="1"/>
  <c r="D396" i="132"/>
  <c r="E104" i="132"/>
  <c r="E102" i="132" s="1"/>
  <c r="E100" i="132" s="1"/>
  <c r="C106" i="132"/>
  <c r="D2041" i="132"/>
  <c r="F2520" i="132"/>
  <c r="F2518" i="132" s="1"/>
  <c r="F2510" i="132" s="1"/>
  <c r="D2533" i="132"/>
  <c r="C2281" i="132"/>
  <c r="D2279" i="132"/>
  <c r="C2279" i="132" s="1"/>
  <c r="D1489" i="132"/>
  <c r="E110" i="132"/>
  <c r="D517" i="132"/>
  <c r="I1353" i="132"/>
  <c r="I1351" i="132" s="1"/>
  <c r="I2532" i="132"/>
  <c r="H797" i="132"/>
  <c r="H795" i="132" s="1"/>
  <c r="I797" i="132"/>
  <c r="I795" i="132" s="1"/>
  <c r="F797" i="132"/>
  <c r="F795" i="132" s="1"/>
  <c r="G797" i="132"/>
  <c r="G795" i="132" s="1"/>
  <c r="F2507" i="132"/>
  <c r="G2507" i="132"/>
  <c r="C597" i="132"/>
  <c r="D394" i="132"/>
  <c r="C477" i="132"/>
  <c r="I593" i="132"/>
  <c r="I591" i="132" s="1"/>
  <c r="I583" i="132" s="1"/>
  <c r="G798" i="132"/>
  <c r="G796" i="132" s="1"/>
  <c r="F2508" i="132"/>
  <c r="F798" i="132"/>
  <c r="F796" i="132" s="1"/>
  <c r="I798" i="132"/>
  <c r="I796" i="132" s="1"/>
  <c r="D1758" i="132"/>
  <c r="C1760" i="132"/>
  <c r="E798" i="132"/>
  <c r="E796" i="132" s="1"/>
  <c r="H798" i="132"/>
  <c r="H796" i="132" s="1"/>
  <c r="G2508" i="132"/>
  <c r="C2083" i="132"/>
  <c r="H1469" i="132"/>
  <c r="D1490" i="132"/>
  <c r="D402" i="132"/>
  <c r="D2490" i="132"/>
  <c r="E797" i="132"/>
  <c r="E795" i="132" s="1"/>
  <c r="C1192" i="132"/>
  <c r="H2508" i="132"/>
  <c r="H2502" i="132" s="1"/>
  <c r="H2500" i="132" s="1"/>
  <c r="F609" i="132"/>
  <c r="F607" i="132" s="1"/>
  <c r="F601" i="132" s="1"/>
  <c r="F529" i="132"/>
  <c r="E2461" i="132"/>
  <c r="E2453" i="132" s="1"/>
  <c r="E2451" i="132" s="1"/>
  <c r="C1493" i="132"/>
  <c r="E1491" i="132"/>
  <c r="C2048" i="132"/>
  <c r="D2046" i="132"/>
  <c r="C2046" i="132" s="1"/>
  <c r="F391" i="132"/>
  <c r="I390" i="132"/>
  <c r="C398" i="132"/>
  <c r="E1352" i="132"/>
  <c r="I1599" i="132"/>
  <c r="E90" i="132"/>
  <c r="E88" i="132" s="1"/>
  <c r="E40" i="132"/>
  <c r="E237" i="132"/>
  <c r="C239" i="132"/>
  <c r="I40" i="132"/>
  <c r="E1600" i="132"/>
  <c r="E533" i="132"/>
  <c r="E72" i="132" s="1"/>
  <c r="E1484" i="132"/>
  <c r="E1482" i="132" s="1"/>
  <c r="E1480" i="132" s="1"/>
  <c r="E1468" i="132" s="1"/>
  <c r="C2237" i="132"/>
  <c r="D2235" i="132"/>
  <c r="I90" i="132"/>
  <c r="C1602" i="132"/>
  <c r="C2506" i="132"/>
  <c r="C2440" i="132"/>
  <c r="D2438" i="132"/>
  <c r="C2438" i="132" s="1"/>
  <c r="C475" i="132"/>
  <c r="C478" i="132"/>
  <c r="C606" i="132"/>
  <c r="D49" i="132"/>
  <c r="D302" i="132"/>
  <c r="D40" i="132"/>
  <c r="D90" i="132"/>
  <c r="H41" i="132"/>
  <c r="C2238" i="132"/>
  <c r="D2236" i="132"/>
  <c r="F102" i="132"/>
  <c r="I2144" i="132"/>
  <c r="C1486" i="132"/>
  <c r="I2507" i="132"/>
  <c r="I2501" i="132" s="1"/>
  <c r="I2499" i="132" s="1"/>
  <c r="D1755" i="132"/>
  <c r="D536" i="132"/>
  <c r="G391" i="132"/>
  <c r="H2557" i="132"/>
  <c r="H2561" i="132"/>
  <c r="H2558" i="132"/>
  <c r="H2562" i="132"/>
  <c r="D395" i="132"/>
  <c r="C304" i="132"/>
  <c r="C92" i="132"/>
  <c r="D1929" i="132"/>
  <c r="C1905" i="132" s="1"/>
  <c r="D45" i="132"/>
  <c r="C45" i="132" s="1"/>
  <c r="C514" i="132"/>
  <c r="D44" i="132"/>
  <c r="C44" i="132" s="1"/>
  <c r="C513" i="132"/>
  <c r="D100" i="132"/>
  <c r="G529" i="132"/>
  <c r="G609" i="132"/>
  <c r="G607" i="132" s="1"/>
  <c r="G601" i="132" s="1"/>
  <c r="C34" i="132"/>
  <c r="F2549" i="132"/>
  <c r="G2524" i="132"/>
  <c r="F2524" i="132"/>
  <c r="E2061" i="132"/>
  <c r="C405" i="132"/>
  <c r="C403" i="132"/>
  <c r="D2077" i="132"/>
  <c r="D2076" i="132"/>
  <c r="C523" i="132"/>
  <c r="C784" i="132"/>
  <c r="E2496" i="132"/>
  <c r="C2153" i="132"/>
  <c r="I1485" i="132"/>
  <c r="I1483" i="132" s="1"/>
  <c r="I1481" i="132" s="1"/>
  <c r="I1469" i="132" s="1"/>
  <c r="D401" i="132"/>
  <c r="D60" i="132"/>
  <c r="C60" i="132" s="1"/>
  <c r="E774" i="132"/>
  <c r="D58" i="132"/>
  <c r="I2508" i="132"/>
  <c r="I2502" i="132" s="1"/>
  <c r="I2500" i="132" s="1"/>
  <c r="C2152" i="132"/>
  <c r="I2145" i="132"/>
  <c r="D2370" i="132"/>
  <c r="C2338" i="132" s="1"/>
  <c r="C2372" i="132"/>
  <c r="H522" i="132"/>
  <c r="H59" i="132" s="1"/>
  <c r="H2073" i="132"/>
  <c r="H2061" i="132" s="1"/>
  <c r="G522" i="132"/>
  <c r="G59" i="132" s="1"/>
  <c r="G2073" i="132"/>
  <c r="G2061" i="132" s="1"/>
  <c r="F2147" i="132"/>
  <c r="C2149" i="132"/>
  <c r="H521" i="132"/>
  <c r="H58" i="132" s="1"/>
  <c r="H2072" i="132"/>
  <c r="H2060" i="132" s="1"/>
  <c r="G521" i="132"/>
  <c r="G58" i="132" s="1"/>
  <c r="F2146" i="132"/>
  <c r="C2148" i="132"/>
  <c r="C632" i="132"/>
  <c r="D620" i="132"/>
  <c r="C621" i="132"/>
  <c r="D619" i="132"/>
  <c r="C619" i="132" s="1"/>
  <c r="D535" i="132"/>
  <c r="C2066" i="132"/>
  <c r="D2536" i="132"/>
  <c r="C2079" i="132"/>
  <c r="D2461" i="132"/>
  <c r="D202" i="132"/>
  <c r="C204" i="132"/>
  <c r="D201" i="132"/>
  <c r="C201" i="132" s="1"/>
  <c r="C203" i="132"/>
  <c r="C596" i="132"/>
  <c r="D512" i="132"/>
  <c r="D594" i="132"/>
  <c r="D511" i="132"/>
  <c r="D593" i="132"/>
  <c r="C595" i="132"/>
  <c r="H609" i="132"/>
  <c r="H607" i="132" s="1"/>
  <c r="H601" i="132" s="1"/>
  <c r="G2551" i="132"/>
  <c r="G2549" i="132" s="1"/>
  <c r="G80" i="132"/>
  <c r="C67" i="132"/>
  <c r="G2072" i="132"/>
  <c r="G2060" i="132" s="1"/>
  <c r="C1757" i="132"/>
  <c r="C524" i="132"/>
  <c r="C31" i="132"/>
  <c r="H529" i="132"/>
  <c r="D551" i="132"/>
  <c r="C551" i="132" s="1"/>
  <c r="D1826" i="132"/>
  <c r="D61" i="132"/>
  <c r="C61" i="132" s="1"/>
  <c r="G79" i="132"/>
  <c r="C553" i="132"/>
  <c r="I609" i="132"/>
  <c r="I607" i="132" s="1"/>
  <c r="I601" i="132" s="1"/>
  <c r="C1828" i="132"/>
  <c r="C1759" i="132"/>
  <c r="G2533" i="132"/>
  <c r="G2527" i="132" s="1"/>
  <c r="G2525" i="132" s="1"/>
  <c r="G1827" i="132"/>
  <c r="G1825" i="132" s="1"/>
  <c r="I529" i="132"/>
  <c r="D1480" i="132"/>
  <c r="G2550" i="132"/>
  <c r="C1494" i="132"/>
  <c r="I2462" i="132"/>
  <c r="I2454" i="132" s="1"/>
  <c r="I2452" i="132" s="1"/>
  <c r="I1492" i="132"/>
  <c r="I1468" i="132"/>
  <c r="E2491" i="132"/>
  <c r="E2060" i="132"/>
  <c r="E393" i="132"/>
  <c r="I2520" i="132"/>
  <c r="I2518" i="132" s="1"/>
  <c r="I2510" i="132" s="1"/>
  <c r="D533" i="132"/>
  <c r="D72" i="132" s="1"/>
  <c r="C2154" i="132"/>
  <c r="I534" i="132"/>
  <c r="I73" i="132" s="1"/>
  <c r="C2081" i="132"/>
  <c r="H2525" i="132"/>
  <c r="D2278" i="132"/>
  <c r="C2278" i="132" s="1"/>
  <c r="C2280" i="132"/>
  <c r="D1474" i="132"/>
  <c r="C1476" i="132"/>
  <c r="C2080" i="132"/>
  <c r="I533" i="132"/>
  <c r="I72" i="132" s="1"/>
  <c r="I2078" i="132"/>
  <c r="F43" i="132"/>
  <c r="F510" i="132"/>
  <c r="F508" i="132" s="1"/>
  <c r="F500" i="132" s="1"/>
  <c r="D610" i="132"/>
  <c r="C612" i="132"/>
  <c r="E2552" i="132"/>
  <c r="C473" i="132"/>
  <c r="E471" i="132"/>
  <c r="C471" i="132" s="1"/>
  <c r="E394" i="132"/>
  <c r="I474" i="132"/>
  <c r="C476" i="132"/>
  <c r="C399" i="132"/>
  <c r="I397" i="132"/>
  <c r="I41" i="132"/>
  <c r="I2562" i="132"/>
  <c r="I2558" i="132"/>
  <c r="I2552" i="132" s="1"/>
  <c r="I2550" i="132" s="1"/>
  <c r="C2082" i="132"/>
  <c r="I535" i="132"/>
  <c r="D1563" i="132"/>
  <c r="C1565" i="132"/>
  <c r="C1564" i="132"/>
  <c r="D1562" i="132"/>
  <c r="C611" i="132"/>
  <c r="D2423" i="132"/>
  <c r="C2423" i="132" s="1"/>
  <c r="C2425" i="132"/>
  <c r="G2422" i="132"/>
  <c r="C2422" i="132" s="1"/>
  <c r="C2424" i="132"/>
  <c r="D1584" i="132"/>
  <c r="C1586" i="132"/>
  <c r="F2496" i="132"/>
  <c r="F2492" i="132" s="1"/>
  <c r="F2490" i="132" s="1"/>
  <c r="F1583" i="132"/>
  <c r="C1585" i="132"/>
  <c r="F42" i="132"/>
  <c r="F38" i="132" s="1"/>
  <c r="F36" i="132" s="1"/>
  <c r="F28" i="132" s="1"/>
  <c r="E509" i="132"/>
  <c r="E507" i="132" s="1"/>
  <c r="E499" i="132" s="1"/>
  <c r="E582" i="132"/>
  <c r="F610" i="132"/>
  <c r="F608" i="132" s="1"/>
  <c r="F602" i="132" s="1"/>
  <c r="F582" i="132" s="1"/>
  <c r="F530" i="132"/>
  <c r="D1485" i="132"/>
  <c r="D826" i="132"/>
  <c r="D2497" i="132"/>
  <c r="D81" i="132"/>
  <c r="D2537" i="132"/>
  <c r="D2371" i="132"/>
  <c r="C2339" i="132" s="1"/>
  <c r="E581" i="132"/>
  <c r="C1487" i="132"/>
  <c r="C1931" i="132"/>
  <c r="C1603" i="132"/>
  <c r="I280" i="132"/>
  <c r="I278" i="132" s="1"/>
  <c r="I2557" i="132"/>
  <c r="I2551" i="132" s="1"/>
  <c r="I2549" i="132" s="1"/>
  <c r="I2561" i="132"/>
  <c r="D46" i="132"/>
  <c r="C46" i="132" s="1"/>
  <c r="C515" i="132"/>
  <c r="I43" i="132"/>
  <c r="I510" i="132"/>
  <c r="I508" i="132" s="1"/>
  <c r="I500" i="132" s="1"/>
  <c r="E43" i="132"/>
  <c r="E510" i="132"/>
  <c r="E508" i="132" s="1"/>
  <c r="E500" i="132" s="1"/>
  <c r="C2373" i="132"/>
  <c r="I42" i="132"/>
  <c r="I509" i="132"/>
  <c r="I507" i="132" s="1"/>
  <c r="I499" i="132" s="1"/>
  <c r="H42" i="132"/>
  <c r="H509" i="132"/>
  <c r="H507" i="132" s="1"/>
  <c r="H499" i="132" s="1"/>
  <c r="G42" i="132"/>
  <c r="G38" i="132" s="1"/>
  <c r="G36" i="132" s="1"/>
  <c r="G28" i="132" s="1"/>
  <c r="G509" i="132"/>
  <c r="G507" i="132" s="1"/>
  <c r="G499" i="132" s="1"/>
  <c r="F509" i="132"/>
  <c r="F507" i="132" s="1"/>
  <c r="F499" i="132" s="1"/>
  <c r="E42" i="132"/>
  <c r="G610" i="132"/>
  <c r="G608" i="132" s="1"/>
  <c r="G602" i="132" s="1"/>
  <c r="G582" i="132" s="1"/>
  <c r="D534" i="132"/>
  <c r="D2062" i="132"/>
  <c r="C2062" i="132" s="1"/>
  <c r="C2064" i="132"/>
  <c r="D1827" i="132"/>
  <c r="C1829" i="132"/>
  <c r="D1352" i="132"/>
  <c r="E2508" i="132"/>
  <c r="E2502" i="132" s="1"/>
  <c r="E2500" i="132" s="1"/>
  <c r="G530" i="132"/>
  <c r="G69" i="132" s="1"/>
  <c r="D1471" i="132"/>
  <c r="C828" i="132"/>
  <c r="C1357" i="132"/>
  <c r="D1355" i="132"/>
  <c r="I215" i="132"/>
  <c r="C247" i="132"/>
  <c r="D773" i="132"/>
  <c r="C773" i="132" s="1"/>
  <c r="C775" i="132"/>
  <c r="C567" i="132"/>
  <c r="D565" i="132"/>
  <c r="C566" i="132"/>
  <c r="D564" i="132"/>
  <c r="C564" i="132" s="1"/>
  <c r="D33" i="132"/>
  <c r="C33" i="132" s="1"/>
  <c r="C85" i="132"/>
  <c r="C84" i="132"/>
  <c r="D32" i="132"/>
  <c r="C32" i="132" s="1"/>
  <c r="C2067" i="132"/>
  <c r="D2065" i="132"/>
  <c r="C741" i="132"/>
  <c r="D739" i="132"/>
  <c r="D2486" i="132"/>
  <c r="H2524" i="132"/>
  <c r="I530" i="132"/>
  <c r="I610" i="132"/>
  <c r="I608" i="132" s="1"/>
  <c r="I602" i="132" s="1"/>
  <c r="I582" i="132" s="1"/>
  <c r="H610" i="132"/>
  <c r="H608" i="132" s="1"/>
  <c r="H602" i="132" s="1"/>
  <c r="H582" i="132" s="1"/>
  <c r="H530" i="132"/>
  <c r="E1929" i="132"/>
  <c r="E2537" i="132"/>
  <c r="E2535" i="132" s="1"/>
  <c r="H66" i="132"/>
  <c r="C406" i="132"/>
  <c r="H404" i="132"/>
  <c r="C430" i="132"/>
  <c r="H428" i="132"/>
  <c r="C429" i="132"/>
  <c r="E427" i="132"/>
  <c r="H78" i="132"/>
  <c r="H79" i="132"/>
  <c r="E30" i="132"/>
  <c r="C82" i="132"/>
  <c r="E2551" i="132"/>
  <c r="E2549" i="132" s="1"/>
  <c r="C2553" i="132"/>
  <c r="E238" i="132"/>
  <c r="C240" i="132"/>
  <c r="I79" i="132"/>
  <c r="E79" i="132"/>
  <c r="E113" i="132"/>
  <c r="E2462" i="132"/>
  <c r="E2454" i="132" s="1"/>
  <c r="E2452" i="132" s="1"/>
  <c r="C145" i="132"/>
  <c r="C2121" i="132"/>
  <c r="D2119" i="132"/>
  <c r="C2119" i="132" s="1"/>
  <c r="C2122" i="132"/>
  <c r="D2120" i="132"/>
  <c r="C2120" i="132" s="1"/>
  <c r="D1381" i="132"/>
  <c r="C1383" i="132"/>
  <c r="D1928" i="132"/>
  <c r="C1904" i="132" s="1"/>
  <c r="C1930" i="132"/>
  <c r="I2537" i="132"/>
  <c r="I2535" i="132" s="1"/>
  <c r="I2525" i="132" s="1"/>
  <c r="I1382" i="132"/>
  <c r="C1384" i="132"/>
  <c r="C1601" i="132"/>
  <c r="H1599" i="132"/>
  <c r="D1966" i="132"/>
  <c r="C1966" i="132" s="1"/>
  <c r="C1968" i="132"/>
  <c r="D1965" i="132"/>
  <c r="C1965" i="132" s="1"/>
  <c r="C1967" i="132"/>
  <c r="D2475" i="132"/>
  <c r="C2475" i="132" s="1"/>
  <c r="C2477" i="132"/>
  <c r="C2478" i="132"/>
  <c r="D2476" i="132"/>
  <c r="C2476" i="132" s="1"/>
  <c r="C518" i="132"/>
  <c r="G49" i="132"/>
  <c r="G2040" i="132"/>
  <c r="C2042" i="132"/>
  <c r="G2454" i="132"/>
  <c r="G2047" i="132"/>
  <c r="C2047" i="132" s="1"/>
  <c r="C2049" i="132"/>
  <c r="D740" i="132"/>
  <c r="D2487" i="132"/>
  <c r="C742" i="132"/>
  <c r="G550" i="132"/>
  <c r="C550" i="132" s="1"/>
  <c r="C552" i="132"/>
  <c r="H510" i="132"/>
  <c r="H508" i="132" s="1"/>
  <c r="H500" i="132" s="1"/>
  <c r="H47" i="132"/>
  <c r="E2520" i="132"/>
  <c r="E2518" i="132" s="1"/>
  <c r="E2510" i="132" s="1"/>
  <c r="E1755" i="132"/>
  <c r="E1741" i="132" s="1"/>
  <c r="C51" i="132"/>
  <c r="D1189" i="132"/>
  <c r="C1191" i="132"/>
  <c r="D2520" i="132"/>
  <c r="D1188" i="132"/>
  <c r="C1190" i="132"/>
  <c r="D101" i="132"/>
  <c r="C103" i="132"/>
  <c r="C1356" i="132"/>
  <c r="F2533" i="132"/>
  <c r="F1354" i="132"/>
  <c r="G510" i="132"/>
  <c r="C516" i="132"/>
  <c r="G47" i="132"/>
  <c r="C1477" i="132"/>
  <c r="G1475" i="132"/>
  <c r="E68" i="132"/>
  <c r="E69" i="132"/>
  <c r="E65" i="132" s="1"/>
  <c r="E63" i="132" s="1"/>
  <c r="E57" i="132" s="1"/>
  <c r="E528" i="132"/>
  <c r="E526" i="132" s="1"/>
  <c r="E520" i="132" s="1"/>
  <c r="G73" i="132"/>
  <c r="C91" i="132"/>
  <c r="F89" i="132"/>
  <c r="F2558" i="132"/>
  <c r="F2562" i="132"/>
  <c r="F281" i="132"/>
  <c r="H72" i="132"/>
  <c r="H1482" i="132"/>
  <c r="D69" i="132"/>
  <c r="D68" i="132"/>
  <c r="D2552" i="132"/>
  <c r="D279" i="132"/>
  <c r="D110" i="132"/>
  <c r="C112" i="132"/>
  <c r="G2502" i="132" l="1"/>
  <c r="G2500" i="132" s="1"/>
  <c r="E2507" i="132"/>
  <c r="E2501" i="132" s="1"/>
  <c r="E2499" i="132" s="1"/>
  <c r="C104" i="132"/>
  <c r="H391" i="132"/>
  <c r="D2454" i="132"/>
  <c r="C66" i="132"/>
  <c r="D797" i="132"/>
  <c r="D607" i="132"/>
  <c r="C825" i="132"/>
  <c r="D2507" i="132"/>
  <c r="G2501" i="132"/>
  <c r="G2499" i="132" s="1"/>
  <c r="C181" i="132"/>
  <c r="E179" i="132"/>
  <c r="C396" i="132"/>
  <c r="D2039" i="132"/>
  <c r="C2041" i="132"/>
  <c r="D2532" i="132"/>
  <c r="D2526" i="132" s="1"/>
  <c r="I2526" i="132"/>
  <c r="D2527" i="132"/>
  <c r="D48" i="132"/>
  <c r="C48" i="132" s="1"/>
  <c r="C517" i="132"/>
  <c r="C110" i="132"/>
  <c r="D1756" i="132"/>
  <c r="C1758" i="132"/>
  <c r="D2521" i="132"/>
  <c r="D392" i="132"/>
  <c r="D400" i="132"/>
  <c r="F581" i="132"/>
  <c r="F68" i="132"/>
  <c r="F64" i="132" s="1"/>
  <c r="F62" i="132" s="1"/>
  <c r="F527" i="132"/>
  <c r="F525" i="132" s="1"/>
  <c r="C1491" i="132"/>
  <c r="E1489" i="132"/>
  <c r="C1489" i="132" s="1"/>
  <c r="I1597" i="132"/>
  <c r="D2561" i="132"/>
  <c r="D2557" i="132"/>
  <c r="D280" i="132"/>
  <c r="D88" i="132"/>
  <c r="E1598" i="132"/>
  <c r="C1600" i="132"/>
  <c r="C1484" i="132"/>
  <c r="I88" i="132"/>
  <c r="I80" i="132" s="1"/>
  <c r="I78" i="132" s="1"/>
  <c r="E80" i="132"/>
  <c r="E78" i="132" s="1"/>
  <c r="E2532" i="132"/>
  <c r="E217" i="132"/>
  <c r="C237" i="132"/>
  <c r="H39" i="132"/>
  <c r="H37" i="132" s="1"/>
  <c r="H29" i="132" s="1"/>
  <c r="C49" i="132"/>
  <c r="C2235" i="132"/>
  <c r="D2233" i="132"/>
  <c r="C2233" i="132" s="1"/>
  <c r="E64" i="132"/>
  <c r="E62" i="132" s="1"/>
  <c r="E56" i="132" s="1"/>
  <c r="E527" i="132"/>
  <c r="E525" i="132" s="1"/>
  <c r="E519" i="132" s="1"/>
  <c r="D75" i="132"/>
  <c r="C75" i="132" s="1"/>
  <c r="C536" i="132"/>
  <c r="H2552" i="132"/>
  <c r="H2550" i="132" s="1"/>
  <c r="H2551" i="132"/>
  <c r="H2549" i="132" s="1"/>
  <c r="C40" i="132"/>
  <c r="C302" i="132"/>
  <c r="C90" i="132"/>
  <c r="I2142" i="132"/>
  <c r="D1741" i="132"/>
  <c r="F100" i="132"/>
  <c r="C102" i="132"/>
  <c r="G68" i="132"/>
  <c r="G64" i="132" s="1"/>
  <c r="G62" i="132" s="1"/>
  <c r="D2234" i="132"/>
  <c r="C2234" i="132" s="1"/>
  <c r="G527" i="132"/>
  <c r="G525" i="132" s="1"/>
  <c r="C2236" i="132"/>
  <c r="G581" i="132"/>
  <c r="D393" i="132"/>
  <c r="C401" i="132"/>
  <c r="D2073" i="132"/>
  <c r="C2077" i="132"/>
  <c r="D2072" i="132"/>
  <c r="E772" i="132"/>
  <c r="C772" i="132" s="1"/>
  <c r="C774" i="132"/>
  <c r="E2492" i="132"/>
  <c r="I2143" i="132"/>
  <c r="D74" i="132"/>
  <c r="C2370" i="132"/>
  <c r="F2504" i="132"/>
  <c r="F2145" i="132"/>
  <c r="F2143" i="132" s="1"/>
  <c r="C2147" i="132"/>
  <c r="F2075" i="132"/>
  <c r="F2503" i="132"/>
  <c r="F2144" i="132"/>
  <c r="F2142" i="132" s="1"/>
  <c r="C2146" i="132"/>
  <c r="F2074" i="132"/>
  <c r="D2453" i="132"/>
  <c r="C2461" i="132"/>
  <c r="C620" i="132"/>
  <c r="D618" i="132"/>
  <c r="C618" i="132" s="1"/>
  <c r="D2534" i="132"/>
  <c r="C2536" i="132"/>
  <c r="D200" i="132"/>
  <c r="C200" i="132" s="1"/>
  <c r="C202" i="132"/>
  <c r="D509" i="132"/>
  <c r="D42" i="132"/>
  <c r="C593" i="132"/>
  <c r="I581" i="132"/>
  <c r="D592" i="132"/>
  <c r="C594" i="132"/>
  <c r="C511" i="132"/>
  <c r="D591" i="132"/>
  <c r="H581" i="132"/>
  <c r="C512" i="132"/>
  <c r="D43" i="132"/>
  <c r="D510" i="132"/>
  <c r="D508" i="132" s="1"/>
  <c r="G78" i="132"/>
  <c r="C609" i="132"/>
  <c r="C1826" i="132"/>
  <c r="I68" i="132"/>
  <c r="I64" i="132" s="1"/>
  <c r="I527" i="132"/>
  <c r="I525" i="132" s="1"/>
  <c r="I519" i="132" s="1"/>
  <c r="H68" i="132"/>
  <c r="H527" i="132"/>
  <c r="H525" i="132" s="1"/>
  <c r="H519" i="132" s="1"/>
  <c r="C529" i="132"/>
  <c r="E391" i="132"/>
  <c r="E2550" i="132"/>
  <c r="C1492" i="132"/>
  <c r="I1490" i="132"/>
  <c r="C1490" i="132" s="1"/>
  <c r="C2078" i="132"/>
  <c r="I2076" i="132"/>
  <c r="H38" i="132"/>
  <c r="H36" i="132" s="1"/>
  <c r="H28" i="132" s="1"/>
  <c r="E38" i="132"/>
  <c r="E36" i="132" s="1"/>
  <c r="I38" i="132"/>
  <c r="I36" i="132" s="1"/>
  <c r="I28" i="132" s="1"/>
  <c r="C1474" i="132"/>
  <c r="D1470" i="132"/>
  <c r="D2276" i="132"/>
  <c r="C2276" i="132" s="1"/>
  <c r="F39" i="132"/>
  <c r="C533" i="132"/>
  <c r="D608" i="132"/>
  <c r="D527" i="132"/>
  <c r="C394" i="132"/>
  <c r="E392" i="132"/>
  <c r="C474" i="132"/>
  <c r="I472" i="132"/>
  <c r="C472" i="132" s="1"/>
  <c r="C397" i="132"/>
  <c r="I395" i="132"/>
  <c r="C41" i="132"/>
  <c r="C2562" i="132"/>
  <c r="C535" i="132"/>
  <c r="I74" i="132"/>
  <c r="C1563" i="132"/>
  <c r="D1561" i="132"/>
  <c r="C1561" i="132" s="1"/>
  <c r="C1562" i="132"/>
  <c r="D1560" i="132"/>
  <c r="C1560" i="132" s="1"/>
  <c r="D1825" i="132"/>
  <c r="G65" i="132"/>
  <c r="G63" i="132" s="1"/>
  <c r="G57" i="132" s="1"/>
  <c r="G528" i="132"/>
  <c r="G526" i="132" s="1"/>
  <c r="G520" i="132" s="1"/>
  <c r="C1827" i="132"/>
  <c r="C534" i="132"/>
  <c r="D73" i="132"/>
  <c r="C73" i="132" s="1"/>
  <c r="D528" i="132"/>
  <c r="C1584" i="132"/>
  <c r="D1582" i="132"/>
  <c r="C1582" i="132" s="1"/>
  <c r="C1583" i="132"/>
  <c r="F1581" i="132"/>
  <c r="C1581" i="132" s="1"/>
  <c r="I39" i="132"/>
  <c r="I37" i="132" s="1"/>
  <c r="I29" i="132" s="1"/>
  <c r="E39" i="132"/>
  <c r="E37" i="132" s="1"/>
  <c r="E29" i="132" s="1"/>
  <c r="D2508" i="132"/>
  <c r="C2496" i="132"/>
  <c r="F528" i="132"/>
  <c r="F526" i="132" s="1"/>
  <c r="D798" i="132"/>
  <c r="D2493" i="132"/>
  <c r="C2497" i="132"/>
  <c r="D2535" i="132"/>
  <c r="D2277" i="132"/>
  <c r="C2277" i="132" s="1"/>
  <c r="C2371" i="132"/>
  <c r="D1483" i="132"/>
  <c r="C1485" i="132"/>
  <c r="C826" i="132"/>
  <c r="F69" i="132"/>
  <c r="F65" i="132" s="1"/>
  <c r="F63" i="132" s="1"/>
  <c r="E498" i="132"/>
  <c r="E1825" i="132"/>
  <c r="C1929" i="132"/>
  <c r="D1353" i="132"/>
  <c r="C1353" i="132" s="1"/>
  <c r="C1355" i="132"/>
  <c r="C565" i="132"/>
  <c r="D563" i="132"/>
  <c r="C563" i="132" s="1"/>
  <c r="C2065" i="132"/>
  <c r="D2063" i="132"/>
  <c r="D737" i="132"/>
  <c r="C737" i="132" s="1"/>
  <c r="C739" i="132"/>
  <c r="C2486" i="132"/>
  <c r="D2484" i="132"/>
  <c r="C2537" i="132"/>
  <c r="H69" i="132"/>
  <c r="H65" i="132" s="1"/>
  <c r="H63" i="132" s="1"/>
  <c r="H57" i="132" s="1"/>
  <c r="I528" i="132"/>
  <c r="I526" i="132" s="1"/>
  <c r="I520" i="132" s="1"/>
  <c r="I498" i="132" s="1"/>
  <c r="I69" i="132"/>
  <c r="I65" i="132" s="1"/>
  <c r="I63" i="132" s="1"/>
  <c r="I57" i="132" s="1"/>
  <c r="H528" i="132"/>
  <c r="H526" i="132" s="1"/>
  <c r="H520" i="132" s="1"/>
  <c r="C1755" i="132"/>
  <c r="C530" i="132"/>
  <c r="C610" i="132"/>
  <c r="C404" i="132"/>
  <c r="H402" i="132"/>
  <c r="H2507" i="132"/>
  <c r="H2501" i="132" s="1"/>
  <c r="H2499" i="132" s="1"/>
  <c r="H426" i="132"/>
  <c r="C428" i="132"/>
  <c r="C427" i="132"/>
  <c r="E425" i="132"/>
  <c r="C425" i="132" s="1"/>
  <c r="C30" i="132"/>
  <c r="E2533" i="132"/>
  <c r="E2527" i="132" s="1"/>
  <c r="E2525" i="132" s="1"/>
  <c r="E218" i="132"/>
  <c r="C238" i="132"/>
  <c r="C113" i="132"/>
  <c r="E111" i="132"/>
  <c r="C111" i="132" s="1"/>
  <c r="C2462" i="132"/>
  <c r="C1381" i="132"/>
  <c r="I1352" i="132"/>
  <c r="C1382" i="132"/>
  <c r="C1599" i="132"/>
  <c r="H1597" i="132"/>
  <c r="C1928" i="132"/>
  <c r="D1824" i="132"/>
  <c r="C1824" i="132" s="1"/>
  <c r="C101" i="132"/>
  <c r="D79" i="132"/>
  <c r="G2038" i="132"/>
  <c r="C2038" i="132" s="1"/>
  <c r="C2040" i="132"/>
  <c r="G2452" i="132"/>
  <c r="C740" i="132"/>
  <c r="D738" i="132"/>
  <c r="C738" i="132" s="1"/>
  <c r="C2487" i="132"/>
  <c r="D2485" i="132"/>
  <c r="D1167" i="132"/>
  <c r="C1167" i="132" s="1"/>
  <c r="C1189" i="132"/>
  <c r="D2518" i="132"/>
  <c r="C2520" i="132"/>
  <c r="D1166" i="132"/>
  <c r="C1166" i="132" s="1"/>
  <c r="C1188" i="132"/>
  <c r="F2527" i="132"/>
  <c r="C1354" i="132"/>
  <c r="F1352" i="132"/>
  <c r="G508" i="132"/>
  <c r="G39" i="132"/>
  <c r="G37" i="132" s="1"/>
  <c r="G29" i="132" s="1"/>
  <c r="C47" i="132"/>
  <c r="C1475" i="132"/>
  <c r="G1471" i="132"/>
  <c r="C89" i="132"/>
  <c r="F81" i="132"/>
  <c r="F2552" i="132"/>
  <c r="C2558" i="132"/>
  <c r="F279" i="132"/>
  <c r="C279" i="132" s="1"/>
  <c r="C281" i="132"/>
  <c r="C72" i="132"/>
  <c r="C1482" i="132"/>
  <c r="H1480" i="132"/>
  <c r="D64" i="132"/>
  <c r="D601" i="132"/>
  <c r="C607" i="132"/>
  <c r="D2501" i="132"/>
  <c r="D795" i="132"/>
  <c r="C795" i="132" s="1"/>
  <c r="C797" i="132"/>
  <c r="D2550" i="132"/>
  <c r="D2452" i="132" l="1"/>
  <c r="C2454" i="132"/>
  <c r="C179" i="132"/>
  <c r="E177" i="132"/>
  <c r="C177" i="132" s="1"/>
  <c r="D2037" i="132"/>
  <c r="C2037" i="132" s="1"/>
  <c r="C2039" i="132"/>
  <c r="I2524" i="132"/>
  <c r="D1742" i="132"/>
  <c r="C1742" i="132" s="1"/>
  <c r="C1756" i="132"/>
  <c r="D2519" i="132"/>
  <c r="C2521" i="132"/>
  <c r="D390" i="132"/>
  <c r="D2551" i="132"/>
  <c r="D278" i="132"/>
  <c r="D80" i="132"/>
  <c r="C2557" i="132"/>
  <c r="C2561" i="132"/>
  <c r="C280" i="132"/>
  <c r="C1597" i="132"/>
  <c r="C1598" i="132"/>
  <c r="E1596" i="132"/>
  <c r="C1596" i="132" s="1"/>
  <c r="C88" i="132"/>
  <c r="C2532" i="132"/>
  <c r="E2526" i="132"/>
  <c r="C217" i="132"/>
  <c r="E215" i="132"/>
  <c r="C215" i="132" s="1"/>
  <c r="E497" i="132"/>
  <c r="D391" i="132"/>
  <c r="C1741" i="132"/>
  <c r="G519" i="132"/>
  <c r="C100" i="132"/>
  <c r="F78" i="132"/>
  <c r="G56" i="132"/>
  <c r="C2452" i="132"/>
  <c r="D584" i="132"/>
  <c r="C584" i="132" s="1"/>
  <c r="C592" i="132"/>
  <c r="D583" i="132"/>
  <c r="C583" i="132" s="1"/>
  <c r="C591" i="132"/>
  <c r="C2144" i="132"/>
  <c r="C2142" i="132"/>
  <c r="C2145" i="132"/>
  <c r="C2143" i="132"/>
  <c r="D2060" i="132"/>
  <c r="C2492" i="132"/>
  <c r="E2490" i="132"/>
  <c r="C2490" i="132" s="1"/>
  <c r="C1470" i="132"/>
  <c r="D1468" i="132"/>
  <c r="C42" i="132"/>
  <c r="D38" i="132"/>
  <c r="D36" i="132" s="1"/>
  <c r="C509" i="132"/>
  <c r="C2534" i="132"/>
  <c r="D2524" i="132"/>
  <c r="F2502" i="132"/>
  <c r="F2500" i="132" s="1"/>
  <c r="C2504" i="132"/>
  <c r="C2075" i="132"/>
  <c r="F522" i="132"/>
  <c r="F2073" i="132"/>
  <c r="F2501" i="132"/>
  <c r="F2499" i="132" s="1"/>
  <c r="C2503" i="132"/>
  <c r="C2074" i="132"/>
  <c r="F521" i="132"/>
  <c r="F2072" i="132"/>
  <c r="C2453" i="132"/>
  <c r="D2451" i="132"/>
  <c r="C2451" i="132" s="1"/>
  <c r="C1825" i="132"/>
  <c r="I497" i="132"/>
  <c r="H497" i="132"/>
  <c r="D507" i="132"/>
  <c r="D39" i="132"/>
  <c r="D37" i="132" s="1"/>
  <c r="C43" i="132"/>
  <c r="D500" i="132"/>
  <c r="K2451" i="132"/>
  <c r="C510" i="132"/>
  <c r="H64" i="132"/>
  <c r="H62" i="132" s="1"/>
  <c r="H56" i="132" s="1"/>
  <c r="D65" i="132"/>
  <c r="D526" i="132"/>
  <c r="C68" i="132"/>
  <c r="C2076" i="132"/>
  <c r="I2072" i="132"/>
  <c r="I2060" i="132" s="1"/>
  <c r="E28" i="132"/>
  <c r="E26" i="132" s="1"/>
  <c r="F37" i="132"/>
  <c r="D602" i="132"/>
  <c r="C608" i="132"/>
  <c r="D525" i="132"/>
  <c r="C527" i="132"/>
  <c r="C392" i="132"/>
  <c r="E390" i="132"/>
  <c r="C395" i="132"/>
  <c r="I393" i="132"/>
  <c r="I62" i="132"/>
  <c r="I56" i="132" s="1"/>
  <c r="I26" i="132" s="1"/>
  <c r="C74" i="132"/>
  <c r="G27" i="132"/>
  <c r="E27" i="132"/>
  <c r="C2493" i="132"/>
  <c r="D2491" i="132"/>
  <c r="C2491" i="132" s="1"/>
  <c r="D2525" i="132"/>
  <c r="C2535" i="132"/>
  <c r="D1481" i="132"/>
  <c r="C1483" i="132"/>
  <c r="C69" i="132"/>
  <c r="C528" i="132"/>
  <c r="C2508" i="132"/>
  <c r="D2502" i="132"/>
  <c r="D796" i="132"/>
  <c r="C796" i="132" s="1"/>
  <c r="C798" i="132"/>
  <c r="D2061" i="132"/>
  <c r="C2063" i="132"/>
  <c r="D2482" i="132"/>
  <c r="C2482" i="132" s="1"/>
  <c r="C2484" i="132"/>
  <c r="I27" i="132"/>
  <c r="D1351" i="132"/>
  <c r="C1351" i="132" s="1"/>
  <c r="H27" i="132"/>
  <c r="H498" i="132"/>
  <c r="C402" i="132"/>
  <c r="H400" i="132"/>
  <c r="H424" i="132"/>
  <c r="C424" i="132" s="1"/>
  <c r="C426" i="132"/>
  <c r="C2507" i="132"/>
  <c r="C218" i="132"/>
  <c r="E216" i="132"/>
  <c r="C216" i="132" s="1"/>
  <c r="C2533" i="132"/>
  <c r="C1352" i="132"/>
  <c r="D2510" i="132"/>
  <c r="C2510" i="132" s="1"/>
  <c r="C2518" i="132"/>
  <c r="D2483" i="132"/>
  <c r="C2483" i="132" s="1"/>
  <c r="C2485" i="132"/>
  <c r="C2527" i="132"/>
  <c r="F2525" i="132"/>
  <c r="C508" i="132"/>
  <c r="G500" i="132"/>
  <c r="C1471" i="132"/>
  <c r="G1469" i="132"/>
  <c r="F2550" i="132"/>
  <c r="C2550" i="132" s="1"/>
  <c r="C2552" i="132"/>
  <c r="C81" i="132"/>
  <c r="F79" i="132"/>
  <c r="C79" i="132" s="1"/>
  <c r="C1480" i="132"/>
  <c r="H1468" i="132"/>
  <c r="D62" i="132"/>
  <c r="C601" i="132"/>
  <c r="D2499" i="132"/>
  <c r="D2549" i="132" l="1"/>
  <c r="C2549" i="132" s="1"/>
  <c r="C2519" i="132"/>
  <c r="D2511" i="132"/>
  <c r="C2511" i="132" s="1"/>
  <c r="C278" i="132"/>
  <c r="C80" i="132"/>
  <c r="D78" i="132"/>
  <c r="C2551" i="132"/>
  <c r="G26" i="132"/>
  <c r="C38" i="132"/>
  <c r="G497" i="132"/>
  <c r="C2526" i="132"/>
  <c r="E2524" i="132"/>
  <c r="D28" i="132"/>
  <c r="C36" i="132"/>
  <c r="D581" i="132"/>
  <c r="C581" i="132" s="1"/>
  <c r="C1468" i="132"/>
  <c r="C39" i="132"/>
  <c r="F520" i="132"/>
  <c r="F498" i="132" s="1"/>
  <c r="C522" i="132"/>
  <c r="F59" i="132"/>
  <c r="C2073" i="132"/>
  <c r="F2061" i="132"/>
  <c r="F519" i="132"/>
  <c r="F497" i="132" s="1"/>
  <c r="C521" i="132"/>
  <c r="F58" i="132"/>
  <c r="C2072" i="132"/>
  <c r="F2060" i="132"/>
  <c r="C2060" i="132" s="1"/>
  <c r="D29" i="132"/>
  <c r="D582" i="132"/>
  <c r="C582" i="132" s="1"/>
  <c r="C602" i="132"/>
  <c r="D519" i="132"/>
  <c r="C525" i="132"/>
  <c r="C2501" i="132"/>
  <c r="C2499" i="132"/>
  <c r="H26" i="132"/>
  <c r="D499" i="132"/>
  <c r="C499" i="132" s="1"/>
  <c r="C507" i="132"/>
  <c r="C526" i="132"/>
  <c r="C65" i="132"/>
  <c r="D520" i="132"/>
  <c r="D63" i="132"/>
  <c r="C64" i="132"/>
  <c r="F29" i="132"/>
  <c r="C37" i="132"/>
  <c r="C2525" i="132"/>
  <c r="D1469" i="132"/>
  <c r="C1481" i="132"/>
  <c r="C393" i="132"/>
  <c r="I391" i="132"/>
  <c r="C391" i="132" s="1"/>
  <c r="D2500" i="132"/>
  <c r="C2500" i="132" s="1"/>
  <c r="C2502" i="132"/>
  <c r="C400" i="132"/>
  <c r="H390" i="132"/>
  <c r="C390" i="132" s="1"/>
  <c r="C500" i="132"/>
  <c r="G498" i="132"/>
  <c r="D56" i="132"/>
  <c r="C62" i="132"/>
  <c r="C2524" i="132" l="1"/>
  <c r="C78" i="132"/>
  <c r="C28" i="132"/>
  <c r="C2061" i="132"/>
  <c r="C29" i="132"/>
  <c r="F57" i="132"/>
  <c r="C59" i="132"/>
  <c r="F56" i="132"/>
  <c r="F26" i="132" s="1"/>
  <c r="C58" i="132"/>
  <c r="D497" i="132"/>
  <c r="C497" i="132" s="1"/>
  <c r="C519" i="132"/>
  <c r="C63" i="132"/>
  <c r="D498" i="132"/>
  <c r="C520" i="132"/>
  <c r="D57" i="132"/>
  <c r="C1469" i="132"/>
  <c r="D26" i="132"/>
  <c r="C498" i="132" l="1"/>
  <c r="F27" i="132"/>
  <c r="C56" i="132"/>
  <c r="C26" i="132"/>
  <c r="D27" i="132"/>
  <c r="C57" i="132"/>
  <c r="C27" i="1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1854" authorId="0" shapeId="0" xr:uid="{4E35BA24-6BC7-4F05-BB54-6C5AF95BCE15}">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<sst xmlns="http://schemas.openxmlformats.org/spreadsheetml/2006/main" count="4088" uniqueCount="960">
  <si>
    <t>HCJ Nr.189/28.05.2026</t>
  </si>
  <si>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</si>
  <si>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</si>
  <si>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</si>
  <si>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</si>
  <si>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</si>
  <si>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</si>
  <si>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</si>
  <si>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</si>
  <si>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</si>
  <si>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</si>
  <si>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</si>
  <si>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</si>
  <si>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</si>
  <si>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</si>
  <si>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</si>
  <si>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</si>
  <si>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</si>
  <si>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2026</t>
  </si>
  <si>
    <t xml:space="preserve"> ESTIMARI 2027</t>
  </si>
  <si>
    <t xml:space="preserve"> ESTIMARI 2028</t>
  </si>
  <si>
    <t>ESTIMARI 2029</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</si>
  <si>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</si>
  <si>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</si>
  <si>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</si>
  <si>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</si>
  <si>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</si>
  <si>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</si>
  <si>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</si>
  <si>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</si>
  <si>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</si>
  <si>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</si>
  <si>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</si>
  <si>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</si>
  <si>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</si>
  <si>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</si>
  <si>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</si>
  <si>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</si>
  <si>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</si>
  <si>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</si>
  <si>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</si>
  <si>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</si>
  <si>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</si>
  <si>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</si>
  <si>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</si>
  <si>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</si>
  <si>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</si>
  <si>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</si>
  <si>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</si>
  <si>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</si>
  <si>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</si>
  <si>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</si>
  <si>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</si>
  <si>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</si>
  <si>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</si>
  <si>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</si>
  <si>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</si>
  <si>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</si>
  <si>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</si>
  <si>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</si>
  <si>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</si>
  <si>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 xml:space="preserve">56 Proiecte cu finantare din fonduri externe nerambursabile postaderare </t>
  </si>
  <si>
    <t>Laborator de Radioterapie Spitalul Judetean de Urgenta Pitesti</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</si>
  <si>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</si>
  <si>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</si>
  <si>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</si>
  <si>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</si>
  <si>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</si>
  <si>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</si>
  <si>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</si>
  <si>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</si>
  <si>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</si>
  <si>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</si>
  <si>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</si>
  <si>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</si>
  <si>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1. Renovarea energetică moderată pentru sediul Regiei Autonome Județene de Drumuri Argeș, Municipiul Pitești, str. George Coșbuc nr.40, județul Argeș</t>
  </si>
  <si>
    <t xml:space="preserve">        Valoare totala 4 395,34 mii  lei</t>
  </si>
  <si>
    <t>2. Laborator de Radioterapie Spitalul Judetean de Urgenta Pitesti</t>
  </si>
  <si>
    <t>Valoare totala 93 545 424,35 lei HCJ nr.36/24.02.2025</t>
  </si>
  <si>
    <t>3. Elaborarea Planului de Amenajare a Teritoriului Judetean (P.A.T.J.) Arges</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</si>
  <si>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</si>
  <si>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 ;                                  Valoare totala 4 170 068,20 lei HCJ nr.453/27.11.2025</t>
  </si>
  <si>
    <t>2. Renovarea energetică moderată pentru sediul Regiei Autonome Județene de Drumuri Argeș, Municipiul Pitești, str. George Coșbuc nr.40, județul Argeș</t>
  </si>
  <si>
    <t xml:space="preserve"> din care Cc platit 152,34 mii lei in 2022</t>
  </si>
  <si>
    <t>3. Laborator de Radioterapie Spitalul Judetean de Urgenta Pitesti</t>
  </si>
  <si>
    <t>val.inv. 14299 mii lei</t>
  </si>
  <si>
    <t>CAPITOLUL 66.10 SANATATE</t>
  </si>
  <si>
    <t>din care</t>
  </si>
  <si>
    <t xml:space="preserve">10 Venituri proprii </t>
  </si>
  <si>
    <t xml:space="preserve"> din care</t>
  </si>
  <si>
    <t>1.Spitalul Judetean de Urgenta Pitesti</t>
  </si>
  <si>
    <t xml:space="preserve">1. Construire corp de cladire nou la Spitalul Judetean de Urgenta Pitesti </t>
  </si>
  <si>
    <t>Valoare totala 85 213 mii lei; din care 3233 + 7042= 10275 mii lei credit 2024</t>
  </si>
  <si>
    <t>2. Spitalul de Recuperare Bradet</t>
  </si>
  <si>
    <t>1. Amenajare parc agrement</t>
  </si>
  <si>
    <t>Valoare totala 1 471 075,42 lei HCJ nr.395/25.09.2025;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</si>
  <si>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</si>
  <si>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</si>
  <si>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CAPITOLUL 67.10 CULTURA,RECREERE SI RELIGIE</t>
  </si>
  <si>
    <t>Teatrul "Al. Davila" Pitesti</t>
  </si>
  <si>
    <t>Consolidarea si modernizarea imobilului situat in str.Domnita Balasa, nr.19, apartinand Teatrului Davila Pitesti, denumita Sala Aschiuta, judetul Arges</t>
  </si>
  <si>
    <t xml:space="preserve">Valoarea totala 19 267 407,18 lei HCJ Nr.417/30.10.2025; 151 mii lei decontat la Cc in 2019; 195,25 mii lei PT si Asist. Tehnica la Cc (2022); 264 mii lei Cc in 2025 </t>
  </si>
  <si>
    <t>CAPITOLUL 68.02 ASIGURARI SI ASISTENTA SOCIALA</t>
  </si>
  <si>
    <t>58 Proiecte cu finantare din fonduri externe nerambursabile postaderare</t>
  </si>
  <si>
    <t>Directia Generala de Asistenta Sociala si Protectia Copilului Arges</t>
  </si>
  <si>
    <t>1.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</si>
  <si>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PV receptie la terminarea lucrarilor nr.20933/4.06.2025 </t>
    </r>
  </si>
  <si>
    <t>2. Complex de servicii sociale, Comuna Rucar, Judetul Arges cod SMIS 130513</t>
  </si>
  <si>
    <t>Contract reziliat</t>
  </si>
  <si>
    <t xml:space="preserve">        decontat 35,82 la Cc buget local in 2019</t>
  </si>
  <si>
    <t>3. Complex de servicii sociale, Municiupiul Campulung, Judetul Arges cod SMIS 130511</t>
  </si>
  <si>
    <t xml:space="preserve">       decontat 35,82 mii lei la Cc buget local in 2019; vt 7412,67 mii lei; PV receptie la terminarea lucrarilor nr.8876/5.03.2025</t>
  </si>
  <si>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</si>
  <si>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</si>
  <si>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</si>
  <si>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</si>
  <si>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PV receptie Nr.18471/8.05.2025 </t>
  </si>
  <si>
    <t>Sistematizare verticală și iluminat exterior în incinta Complexului de Servicii Sociale Costești, județul Argeș</t>
  </si>
  <si>
    <t>Deviz actualizat HCJ nr.15/26.11.2024 Valoare totala 1 008 668,30 lei            Deviz actualizat HCJ nr.340/31.07.2025 Valoare totala 1 612 083,21 lei</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</si>
  <si>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</si>
  <si>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</si>
  <si>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</si>
  <si>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</si>
  <si>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</si>
  <si>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</si>
  <si>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Proiectul regional de dezvoltare a infrastructurii de apa si apa uzata din judetul Arges, in perioada 2021-2027 Cod SMIS 338635</t>
  </si>
  <si>
    <t>Locuinte de serviciu, localitatea Stefanesti, sat Stefanestii Noi, str. Calea Bucuresti, nr.339B, jud. Arges</t>
  </si>
  <si>
    <t>Valoare totala 976 710 lei</t>
  </si>
  <si>
    <t>CAPITOLUL 84.02 TRANSPORTURI</t>
  </si>
  <si>
    <t xml:space="preserve">1. 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</si>
  <si>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</si>
  <si>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</si>
  <si>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2. 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</si>
  <si>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</si>
  <si>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</si>
  <si>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</si>
  <si>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</si>
  <si>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</si>
  <si>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</si>
  <si>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</si>
  <si>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</si>
  <si>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</si>
  <si>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</si>
  <si>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</si>
  <si>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</si>
  <si>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peste râul Argeş pe DJ 703H, Curtea de Argeș - Valea Danului</t>
  </si>
  <si>
    <t xml:space="preserve">  Deviz actualizat HCJ Nr.414/30.10.2025, val.totala 36 170 396,95 lei ;                                       din care: 37 095,89 lei decontat la  C.c; 184,45 lei (din alte cheltuieli in 2022)</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</si>
  <si>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</si>
  <si>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</si>
  <si>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</si>
  <si>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</si>
  <si>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</si>
  <si>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</si>
  <si>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Cc.46,50 mii lei; PV receptie nr.7562/08.12.2023</t>
  </si>
  <si>
    <t>10. Modernizare DJ 738 Poienari (DN 73 km 44+500) - Jugur - Draghici - Mihaesti (DC11), km 10+200-13+600, L= 3,4 km, judetul Arges</t>
  </si>
  <si>
    <t xml:space="preserve"> valoare totala 15 266 874,12 HCJ nr.50/19.12.2024 lei; plati din alte surse pt documentatii 21,46 mii lei; PV receptie la terminarea lucrarii nr.7050/24.10.2024</t>
  </si>
  <si>
    <t>11. Modernizare DJ 703 H Curtea de Arges - Valea Danului - Cepari - Suici, Lim. Jud. Valcea, km 9+475 - 10+364, L=0,889 km, com. Valea Danului si Cepari, jud. Arges</t>
  </si>
  <si>
    <t xml:space="preserve"> valoare totala 8 442 280,60 lei HCJ nr.51/19.12.2024; plati din alte surse pt documentatii 10,82 mii lei.  PV receptie la terminarea lucrarii nr.3885/17.06.2024</t>
  </si>
  <si>
    <t>12. Modernizare DJ 704 E Ursoaia - Bascovele - Ceauresti, km 3+100 - 7+600, L=4,5 km, judetul Arges</t>
  </si>
  <si>
    <t xml:space="preserve">  valoare totala 20 123 890,14 HCJ Nr.103/28.03.2024 mii lei; plati din alte surse pt documentatii 28,13 mii lei; PV receptie nr.4333/20.07.2023</t>
  </si>
  <si>
    <t>13. Modernizare DJ 731 D , km 15+075 - 16+825, L=1,75 km, comuna Cosesti, judetul.Arges</t>
  </si>
  <si>
    <t xml:space="preserve">  valoare totala 9 213,57 mii lei, din care 96 mii lei la C.c;                       59 mii lei decontat la Cc in 2021 -DALI; PV receptie la terminarea lucrarilor februarie 2025</t>
  </si>
  <si>
    <t>14. Modernizare DJ 703G Șuici (DJ703H)-Ianculești-lim.jud. Vâlcea, km 14+000 - km 16+922, L=2,922 km, comuna Șuici</t>
  </si>
  <si>
    <t xml:space="preserve">   Deviz actualizat HCJ nr.217/27.07.2023, Valoare totala                        15 893 109,30 lei; HCJ nr.205/25.07.2024</t>
  </si>
  <si>
    <t>15. Modernizare DJ 731 B, sate Sămara şi Metofu, Km 1+603 – Km 3+732, în Comuna Poiana Lacului, L=2,129 km</t>
  </si>
  <si>
    <t>Valoare totala 10 732 171,17 lei conf. HCJ nr.109/02.04.2024</t>
  </si>
  <si>
    <t xml:space="preserve">16. Modernizare DJ732 C Bughea de Jos - Malu - Godeni, Km 7+165 – Km 8+913, L= 1,748 Km </t>
  </si>
  <si>
    <t>Valoare totala 8 606 441,38 lei conf. HCJ nr.89/03.2026</t>
  </si>
  <si>
    <t xml:space="preserve">17. Modernizare DJ 679 C lzvoru - Mozăceni Km 12+489 - Km 21+688 , L = 9,199 Km </t>
  </si>
  <si>
    <t>Valoare totala 35 841 880,53 lei conf. HCJ nr.207/25.07.2024</t>
  </si>
  <si>
    <t>18. Modernizare DJ 703 B Moraresti - Uda, Km 16+200 - Km 17+899, în Comuna Uda, L=1,699 km</t>
  </si>
  <si>
    <t>Valoare totala 6 889 037,70 lei conf. HCJ nr.136/30.04.2026</t>
  </si>
  <si>
    <t xml:space="preserve">19. Modernizare DJ 703 H Sălătrucu-Vâlcea, Km 25+200 - Km 27+202,65 și km 28+520 - km 29+863, L = 3345,65 m </t>
  </si>
  <si>
    <t>Valoare totala 19 934 016,02 lei conf.HCJ nr.71/26.02.2026</t>
  </si>
  <si>
    <t>20. Modernizare DJ 704D Prislop (DN7) - Lupueni (DJ 703E), Km 0+000- Km 2+358, L= 2,358 Km  in comunele Bascov si Babana</t>
  </si>
  <si>
    <t>Valoare totala nr.33 371 248,54 lei HCJ nr.132/25.03.2025</t>
  </si>
  <si>
    <t>21. Modernizare DJ 679A  Barla (DJ 679) – Caldararu, Km 0+000 -  Km 12+835, L=12,835 km</t>
  </si>
  <si>
    <t>Valoare totala 66 997 560,06 lei HCJ Nr.456/27.11.2025</t>
  </si>
  <si>
    <t>22. Modernizare DJ 739 Bârzeşti (DN 73 D) – Negrești – Zgripcești – Beleți, km 0+582 - Km 2+408,  L=1,826 Km, în Comuna Vulturești</t>
  </si>
  <si>
    <t xml:space="preserve">   Valoare totala 9 483 313,21 lei cf HCJ nr.107/02.04.2024</t>
  </si>
  <si>
    <t>23.Modernizare DJ 703 I  Merisani (DN 7 C - Km 12+450) – Musatesti – Bradulet - Bradet - Lac Vidraru (DN 7 C - Km 64+400), Km 53+580 – Km 61+055, L = 7,475 Km</t>
  </si>
  <si>
    <t>valoare totala 33 672,75 mii lei, din care Cc 2570,67 lei plati DALI</t>
  </si>
  <si>
    <t>24. Modernizare DJ 704 G Cicanesti - Suici (DJ 703H ), Km 9+532 -  Km 13+435, L=3,903 Km</t>
  </si>
  <si>
    <t>Valoare totala 25 374 570,08 lei conf. HCJ nr. 57/26.02.2026</t>
  </si>
  <si>
    <t>25. Modernizare DJ703E Pitești (DN67B) – Băbana – Cocu, km 2+237 – km 19+911, L=17.674 m</t>
  </si>
  <si>
    <t>HCJ Nr.161/23.04.2025</t>
  </si>
  <si>
    <t>26. Modernizare DJ 679D Malu-(DJ 679-km 38+940)-Coltu-Ungheni-Recea-Negrasi -Mozacu, km 7+940-14+940, L= 7km, comuna Ungheni, Judetul Arges</t>
  </si>
  <si>
    <t>Valoarea totala 19 509 058,23 HCJ nr.52/19.12.2024 mii lei;             Cc 42,25 mii lei; PV receptie la terminarea lucrarii nr.6998/23.10.2024</t>
  </si>
  <si>
    <t>27. Modernizare drum județean DJ 678 B Lim. Jud. Vâlcea - Cuca (DJ 703 - km 9+765), km 26+950- km 27+862, L = 0,912 km, comuna Cuca, jud. Argeș"</t>
  </si>
  <si>
    <t xml:space="preserve">  Valoare totala 3511,04 mii lei; din care Cc. 16,66 mii lei; Finalizat 2026 </t>
  </si>
  <si>
    <t>28. Modernizare drum județean DJ 678 E Teodorești (DJ 703 –km 13+339) –Cotu – Lim. Jud. Valcea, km 1+200-km - 3+000, L = 1,8 km, comuna Cuca, jud. Argeș"</t>
  </si>
  <si>
    <t xml:space="preserve">     Valoare totala 7 937 030,59 lei (HCJ nr.131/25.03.2025);                                                                                           din care Cc 30,94 mii lei</t>
  </si>
  <si>
    <t>29. Pod pe DJ 679D, Malu (DJ  679  km 38+940)-Coltu-Ungheni, km 13+911, L=12 m, comuna  Ungheni, jud.Arges</t>
  </si>
  <si>
    <r>
      <t xml:space="preserve">    valoarea totala 3 283,24 mii lei; Cc 48,79 mii lei;   </t>
    </r>
    <r>
      <rPr>
        <i/>
        <sz val="10"/>
        <color rgb="FFFF0000"/>
        <rFont val="Arial"/>
        <family val="2"/>
        <charset val="238"/>
      </rPr>
      <t>Finalizat 2025</t>
    </r>
    <r>
      <rPr>
        <sz val="10"/>
        <rFont val="Arial"/>
        <family val="2"/>
      </rPr>
      <t xml:space="preserve">                             </t>
    </r>
  </si>
  <si>
    <t xml:space="preserve">30.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</si>
  <si>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</si>
  <si>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31. Modernizare DJ 731 D, comuna Darmanesti, judetul Arges, km 8+440 -  km 11+240, L=2,8 km</t>
  </si>
  <si>
    <t>Finalizat 2025</t>
  </si>
  <si>
    <t>32. Modernizare DJ 703B Moraresti (DN 7+km 148+980)-Salistea-Vedea-Lim. Jud. Olt (km 34+714) -Marghia-Padureti-Costesti-Serbanesti-Silistea-Cateasca-Leordeni (DN 7-km 91+230), km 77+826-km 83+126, L= 5,3 km, comuna Cateasca, judetul Arges.</t>
  </si>
  <si>
    <t>Valoarea totala 16 925,53 mii lei; Cc 33,92 mii lei; Finalizat 2026</t>
  </si>
  <si>
    <t>33. Executie prag de fund si lucrari de stabilizare a malurilor aferente podului amplasat pe DJ 703B, km 85+328, in comuna Cateasca, judetul Arges"</t>
  </si>
  <si>
    <t xml:space="preserve">         din care Cc. 43 408,34 lei+307 389,72 lei in 2024;                          HCJ Nr.359/29.08.2025 - Vt = 16 674 490,71 lei cu TVA;                    HCJ NR.33/29.01.2026 - Vt = 13 238 544,31</t>
  </si>
  <si>
    <t>34. Modernizare DJ 731C Vedea (Izvoru de Jos) -Cocu, km 7+314 - 11+914, L=4,6 km, comunele Vedea si Cocu, judetul Arges</t>
  </si>
  <si>
    <t xml:space="preserve">Valoare totala 23 004 mii lei HCJ Nr.63/19.12.2024; Cc. 158 mii lei in 2024 </t>
  </si>
  <si>
    <t>35. Modernizare DJ 702 F, Limita judet Dambovita - Slobozia, km 14+000-17+355, L = 3,355 km, judetul Arges</t>
  </si>
  <si>
    <r>
      <t>Valoare totala 10 133 580,24 lei; 70 mii lei DALI Cc</t>
    </r>
    <r>
      <rPr>
        <sz val="10"/>
        <color rgb="FFFF0000"/>
        <rFont val="Arial"/>
        <family val="2"/>
        <charset val="238"/>
      </rPr>
      <t xml:space="preserve">.                               </t>
    </r>
    <r>
      <rPr>
        <sz val="10"/>
        <rFont val="Arial"/>
        <family val="2"/>
        <charset val="238"/>
      </rPr>
      <t>HCJ Nr.306/26.10.2023</t>
    </r>
  </si>
  <si>
    <t>1. Modernizare DJ 703B Moraresti (DN 7+km 148+980)-Salistea-Vedea-Lim. Jud. Olt (km 34+714) -Marghia-Padureti-Costesti-Serbanesti-Silistea-Cateasca-Leordeni (DN 7-km 91+230), km 77+826-km 83+126, L= 5,3 km, comuna Cateasca, judetul Arges.</t>
  </si>
  <si>
    <t>Finalizat 2026</t>
  </si>
  <si>
    <t>2. Modernizare DJ 739 Barzesti-Negresti- Zgripcesti- Beleti, km 9+800-12+000, L= 2,2 km, Judetul Arges</t>
  </si>
  <si>
    <t>3. Executie prag de fund si lucrari de stabilizare a malurilor aferente podului amplasat pe DJ 703B, km 85+328, in comuna Cateasca, judetul Arges"</t>
  </si>
  <si>
    <t xml:space="preserve">B. Obiective (proiecte) de investiţii noi </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</si>
  <si>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</si>
  <si>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</si>
  <si>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</si>
  <si>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</si>
  <si>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1. Spitalul de Psihiatrie Sfanta Maria Vedea</t>
  </si>
  <si>
    <t>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</si>
  <si>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</si>
  <si>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2. Spitalul Orasenesc "Regele Carol I" Costesti</t>
  </si>
  <si>
    <t>Construire grupuri sanitare Parter anexate corpuri existente și modificări de compartimentare interioară str. Industriei, nr.19, Costești, jud.Argeș</t>
  </si>
  <si>
    <t>Valoare totala 730 718,54 lei HCJ nr.140/30.04.2026</t>
  </si>
  <si>
    <t>Consolidare si reabilitare cladire Teatrul "Alexandru Davila Pitesti"</t>
  </si>
  <si>
    <t xml:space="preserve"> Valoare totala 52 377 145,48 lei HCJ Nr.416/30.10.2025; Cc 321 300 lei DALI   plati 2025 = 0 </t>
  </si>
  <si>
    <t>Realizarea de reţele tehnico-edilitare, alei pietonale, trotuare, parcări, aferente obiectivului de investiţii ,,Locuințe de serviciu, jud. Argeş, oraşul Ştefăneşti, sat Ştefaneştii Noi, str. Calea Bucureşti, nr.339B”</t>
  </si>
  <si>
    <t>1. Drumuri si poduri judetene</t>
  </si>
  <si>
    <t>1. Relocare utilitati (conducte gaze) "Pod pe DJ 738 Jugur-Drăghici-Mihăeşti peste râul Târgului, km 21+900, în comuna Mihăeşti"</t>
  </si>
  <si>
    <t>2. Modernizare DJ 704 E Cotmeana – Poienarii de Argeș, km 10+500 – 13+600, L = 3,1 km, comuna Cotmeana, județul Argeș</t>
  </si>
  <si>
    <t xml:space="preserve">HCJ Nr.134/25.03.2025, valoare totala 21 045 276,04 lei ; din care Cc 116,25 mii lei </t>
  </si>
  <si>
    <t>3. Modernizare DJ 737 Mățău - Cocenești- Boteni, km 13+796-15+181,  L=1,385 km, comuna Boteni, județul Argeș</t>
  </si>
  <si>
    <t>HCJ Nr.135/25.03.2025 Valoare totala 10 983 491,67 lei; din care Cc 97,89 mii lei,</t>
  </si>
  <si>
    <t>4. Modernizare drum județean DJ 703 Morărești – Cuca - Ciomăgești – lim.jud.Olt, km 16+600 - 19 +100, L= 2,5 km, comuna Ciomăgești, jud..Argeș</t>
  </si>
  <si>
    <t>HCJ Nr.133/25.03.2025 Valoare totala 18 919 873,74 lei; din care Cc 95,92 mii lei</t>
  </si>
  <si>
    <t>5. Modernizare DJ 704 G între km 8+432-km 9+532, L=1,1 km, comuna Cicănești, județul Argeș</t>
  </si>
  <si>
    <t>Valoare totala 10 905 115,67 LEI;  HCJ NR.24/29.01.2026; 137/30.04.2026;   din care 15,85 mii lei la Cc.</t>
  </si>
  <si>
    <t>6. Refacere si consolidare DJ741, km 3+200, partea stanga, oras Stefanesti, judetul Arges</t>
  </si>
  <si>
    <t>Valoare totala 6 200 329,54 lei HCJ nr.150/30.04.2026</t>
  </si>
  <si>
    <t xml:space="preserve">C. Alte cheltuieli de investiţii </t>
  </si>
  <si>
    <t xml:space="preserve">a. Achizitii de imobile </t>
  </si>
  <si>
    <t xml:space="preserve"> 02 Buget  local</t>
  </si>
  <si>
    <t xml:space="preserve">      din care</t>
  </si>
  <si>
    <t xml:space="preserve"> Achizitia terenului in suprafata de 68 mp situat in vecinatatea Centrului de Transfuzie Sanguina Arges</t>
  </si>
  <si>
    <t xml:space="preserve">                    trecut in patrimoniu CJ in 2026</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</si>
  <si>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</si>
  <si>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</si>
  <si>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</si>
  <si>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</si>
  <si>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 SMIS 327055</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</si>
  <si>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</si>
  <si>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</si>
  <si>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</si>
  <si>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</si>
  <si>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</si>
  <si>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</si>
  <si>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</si>
  <si>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</si>
  <si>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</si>
  <si>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</si>
  <si>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</si>
  <si>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</si>
  <si>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</si>
  <si>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</si>
  <si>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</si>
  <si>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</si>
  <si>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</si>
  <si>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Imprimanta laser color</t>
  </si>
  <si>
    <t>Aparat foto</t>
  </si>
  <si>
    <t>Kit productie si promovare teren si streaming</t>
  </si>
  <si>
    <t>Kit activitate sala sedinte</t>
  </si>
  <si>
    <t xml:space="preserve">Sistem desktop  PC </t>
  </si>
  <si>
    <t>Sistem desktop  PC + monitor</t>
  </si>
  <si>
    <t>Licenta Microsoft Windows 11 PRO OEM</t>
  </si>
  <si>
    <t>Licenta Microsoft 365 Business Standard</t>
  </si>
  <si>
    <t xml:space="preserve">CAPITOLUL 54.10 ALTE SERVICII PUBLICE GENERALE </t>
  </si>
  <si>
    <t>Directia Generala pentru Evidenta Persoanelor Arges</t>
  </si>
  <si>
    <t xml:space="preserve">Licenta Microsoft Windows  </t>
  </si>
  <si>
    <t xml:space="preserve">Licenta Microsoft Office </t>
  </si>
  <si>
    <t>Pachet Licenta Antivirus Microsoft Windows 11 Pro +Licenta Microsoft Windows  Office  2021 Pro Plus</t>
  </si>
  <si>
    <t>CAPITOLUL 60.02 APARARE</t>
  </si>
  <si>
    <t>Centrul Militar Judetean Arges</t>
  </si>
  <si>
    <t>Sistem alarma si geamuri antiefractie</t>
  </si>
  <si>
    <t>Sistem alarma pentru biroul informatica si comunicatii</t>
  </si>
  <si>
    <t>1. Centrul Militar Judetean Arges</t>
  </si>
  <si>
    <t>Sistem control acces si pontaj</t>
  </si>
  <si>
    <t>2. StructuraTeritoriala pentru Probleme Speciale Arges</t>
  </si>
  <si>
    <t>Licenta Microsoft Windows 11PRO +Office 2021</t>
  </si>
  <si>
    <t>CAPITOLUL 61.02 ORDINE PUBLICA SI SIGURANTA NATIONALA</t>
  </si>
  <si>
    <t>1. Inspectoratul pentru Situatii de Urgenta</t>
  </si>
  <si>
    <t>Repetor VHF</t>
  </si>
  <si>
    <t>Stații radio fixe VHF</t>
  </si>
  <si>
    <t>Stații radio portabile VHF</t>
  </si>
  <si>
    <t xml:space="preserve">Achiziție și montaj centrală termică  </t>
  </si>
  <si>
    <t xml:space="preserve">Cisterna transport apa potabila cu sistem </t>
  </si>
  <si>
    <t>2. Serviciul Public Judetean Salvamont Arges</t>
  </si>
  <si>
    <t>Sistem de avertizare luminoasă și acustică</t>
  </si>
  <si>
    <t xml:space="preserve">Kit offroad Ford Raptor </t>
  </si>
  <si>
    <t>Serviciul Public Judetean Salvamont Arges</t>
  </si>
  <si>
    <t>Dotare cu mobilier Baza de Salvare  Montana cota 2000 Transfăgărășan</t>
  </si>
  <si>
    <t>CAPITOLUL 65.02 INVATAMANT</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</si>
  <si>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</si>
  <si>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</si>
  <si>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</si>
  <si>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Centrul Scolar de Educatie Incluziva "Sfanta Filofteia" Ștefanesti</t>
  </si>
  <si>
    <t xml:space="preserve">Sistem pentru automatizarea deschiderii si inchiderii portilor    </t>
  </si>
  <si>
    <t>PV receptie la terminarea lucrarii nr.2016/5.09.2025</t>
  </si>
  <si>
    <t>Spitalul Judetean de Urgenta Pitesti</t>
  </si>
  <si>
    <t>1. Controlul cancerului de col uterin prin Acces echitabil la servicii de calitate-Consolidarea capacitatii programului national de screening-CLARA  cod MySMIS 2021- 353063</t>
  </si>
  <si>
    <t>2. Dotarea Spitalului Judetean de Urgenta Pitesti cu echipamanete medicale catre trateaza pacienti cardiaci critici cod MySMIS- 351754</t>
  </si>
  <si>
    <t>1. Spitalul Judetean de Urgenta Pitesti</t>
  </si>
  <si>
    <t>Achizitie de Echipamente si materiale destinate reducerii riscului de infectii nosocomiale</t>
  </si>
  <si>
    <t>Achiziție de echipamente software, hardware și IT</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</si>
  <si>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</si>
  <si>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</si>
  <si>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</si>
  <si>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</si>
  <si>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Linie de electroforeza</t>
  </si>
  <si>
    <t>Aparat pentru masurarea troponinei si NT pro BNP</t>
  </si>
  <si>
    <t>Camera de incubare pentru imunohistochimie</t>
  </si>
  <si>
    <t>Cardiotocograf</t>
  </si>
  <si>
    <t>Targa cu sistem hidraulic pentru transportul pacientilor</t>
  </si>
  <si>
    <t>Ambulanta transport pacienti</t>
  </si>
  <si>
    <t>Autoutilitara de transport</t>
  </si>
  <si>
    <t>Masina de spalat 35-38 kg electrica</t>
  </si>
  <si>
    <t>Uscator 35-40 kg</t>
  </si>
  <si>
    <t>Calandru mare 2 m</t>
  </si>
  <si>
    <t>Lift medical pacienti+personal</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</si>
  <si>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</si>
  <si>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</si>
  <si>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</si>
  <si>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</si>
  <si>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</si>
  <si>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</si>
  <si>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</si>
  <si>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</si>
  <si>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</si>
  <si>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</si>
  <si>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</si>
  <si>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</si>
  <si>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Tonometru portabil I CARE</t>
  </si>
  <si>
    <t>Sistem angiograf monoplan cardiovascular</t>
  </si>
  <si>
    <t xml:space="preserve">Sursa Laser cu utilizare urologica </t>
  </si>
  <si>
    <t xml:space="preserve">Usa automata UPU </t>
  </si>
  <si>
    <t>Imprimanta pentru monitor pacient</t>
  </si>
  <si>
    <t>Motopompa pentru apa murdara</t>
  </si>
  <si>
    <t>Aparat de spalare cu presiune</t>
  </si>
  <si>
    <t>Tablou electric Angiograf</t>
  </si>
  <si>
    <t>Rack implanturi pentru dimensiunile:(12x14-13x15 mm) Inaltime cage-uri H4-H8 mm</t>
  </si>
  <si>
    <t>CASPAR DISTRACTOR (RIGHT)</t>
  </si>
  <si>
    <t>Set acumulatori echipament Carestream DRX</t>
  </si>
  <si>
    <t>Schimbator caldura apa calda centrala termica</t>
  </si>
  <si>
    <t>Masina spalat rufe profesionala 18-20 kg</t>
  </si>
  <si>
    <t>Holter ECG cu 12 canale, ecran grafic, software interactiv</t>
  </si>
  <si>
    <t>Ecograf ATI (sonda liniara, convexa, phased array)</t>
  </si>
  <si>
    <t>Ventilator pacient</t>
  </si>
  <si>
    <t>Statie centrala de monitorizare</t>
  </si>
  <si>
    <t>Aparat hemodializa acuti</t>
  </si>
  <si>
    <t>Monitor functii vitale</t>
  </si>
  <si>
    <t>Paturi ATI</t>
  </si>
  <si>
    <t>Aparat anestezie</t>
  </si>
  <si>
    <t>Aspirator chirurgical</t>
  </si>
  <si>
    <t>Statie dedurizare apa</t>
  </si>
  <si>
    <t>Electrocardiograf</t>
  </si>
  <si>
    <t>Infuzomat</t>
  </si>
  <si>
    <t>Injectomat</t>
  </si>
  <si>
    <t>Aparat ecografie mamara</t>
  </si>
  <si>
    <t>Paturi electrice cu saltea antiescara</t>
  </si>
  <si>
    <t>Paturi electrice cu saltea normala</t>
  </si>
  <si>
    <t>Targa transport pacienti</t>
  </si>
  <si>
    <t>Canapea de examinare electrica</t>
  </si>
  <si>
    <t>Fotolii chimioterapie</t>
  </si>
  <si>
    <t>Troliu tratamente</t>
  </si>
  <si>
    <t>Echipament pentru incaltare automata botosei</t>
  </si>
  <si>
    <t>2. Spitalul de Pediatrie Pitesti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</si>
  <si>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</si>
  <si>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</si>
  <si>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</si>
  <si>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</si>
  <si>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</si>
  <si>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</si>
  <si>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</si>
  <si>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</si>
  <si>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</si>
  <si>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</si>
  <si>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</si>
  <si>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</si>
  <si>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</si>
  <si>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</si>
  <si>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</si>
  <si>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</si>
  <si>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</si>
  <si>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</si>
  <si>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</si>
  <si>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</si>
  <si>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</si>
  <si>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Analizor de urini</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</si>
  <si>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</si>
  <si>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</si>
  <si>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</si>
  <si>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</si>
  <si>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</si>
  <si>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</si>
  <si>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Stație centrală de monitorizare cu 12 licențe</t>
  </si>
  <si>
    <t>3. Spitalul de Boli Cronice si Geriatrie "Constantin Balaceanu Stolnici" Stefanesti</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</si>
  <si>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</si>
  <si>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</si>
  <si>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</si>
  <si>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</si>
  <si>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</si>
  <si>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</si>
  <si>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</si>
  <si>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</si>
  <si>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Masina industriala de spalat rufe </t>
  </si>
  <si>
    <t xml:space="preserve"> Mixer profesional pentru bucatarie </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</si>
  <si>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</si>
  <si>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</si>
  <si>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</si>
  <si>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</si>
  <si>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Aparat cu 2 canale laser, US si support pentru aparat</t>
  </si>
  <si>
    <t>Frigider de morga 3  locuri</t>
  </si>
  <si>
    <t xml:space="preserve">Combina electroterapie </t>
  </si>
  <si>
    <t>Carucior tratament</t>
  </si>
  <si>
    <t>Echipament firewall cu minim protectii de tipul firewall,  IPS, application control, filtrare web, antivirus, antispam</t>
  </si>
  <si>
    <t>4. Spitalul de Recuperare Bradet</t>
  </si>
  <si>
    <t xml:space="preserve">Frigider bloc alimentar </t>
  </si>
  <si>
    <t>Masina de curatat cartofi</t>
  </si>
  <si>
    <t>Cada hidroterapie</t>
  </si>
  <si>
    <t>Aparat teste sanitatie pentru maini</t>
  </si>
  <si>
    <t>5. Spitalul de Recuperare si Boli Cronice Valea Iasului</t>
  </si>
  <si>
    <t>1. Spitalul de Pediatrie Pitesti</t>
  </si>
  <si>
    <t>3.Spitalul Judetean de Urgenta Pitesti</t>
  </si>
  <si>
    <t>4.Spitalul PNF Valea Iasului</t>
  </si>
  <si>
    <t>Aparat terapie combinata electroterapie si ultrasunete</t>
  </si>
  <si>
    <t>Pompa submersibila ape curate</t>
  </si>
  <si>
    <t>Sonda laser  IR-400 MW BTL 5000</t>
  </si>
  <si>
    <t>Combina Fizioterapie : Electroterapie 2 canale, Ultrasunete 1 canal, Laser 1 canal cu sonda tip dus</t>
  </si>
  <si>
    <t>Automatizare tablou electric pentru protectie pompa submersibila</t>
  </si>
  <si>
    <t>6. Spitalul Orasenesc "Regele Carol I" Costesti</t>
  </si>
  <si>
    <t>Sistem de radiologie interventionala mobil tip Brat C</t>
  </si>
  <si>
    <t>Rezervor de apa 20Mc (20000L)</t>
  </si>
  <si>
    <t>Stație de pompare apă</t>
  </si>
  <si>
    <t>Agitator trombocite</t>
  </si>
  <si>
    <t>7. Spitalul de Pneumoftiziologie Leordeni</t>
  </si>
  <si>
    <t>Server cu protectie firewall hardware</t>
  </si>
  <si>
    <t>Masina de spalat profesionala</t>
  </si>
  <si>
    <t>Centrala termica 35kw</t>
  </si>
  <si>
    <t>8. Spitalul de Psihiatrie "Sf.Maria" Vedea</t>
  </si>
  <si>
    <t>Masina de spalat profesionala 50 kg</t>
  </si>
  <si>
    <t>Uscator electric pentru rufe si echipamente  professional 50 kg</t>
  </si>
  <si>
    <t>Aparat fizioterapie</t>
  </si>
  <si>
    <t>Achizitie si montare centrale termice din punctul termic la Pavilion I</t>
  </si>
  <si>
    <t>9. Spitalul de Boli Cronice Calinesti</t>
  </si>
  <si>
    <t>Masina profesionala spalat rufe</t>
  </si>
  <si>
    <t>Nebulizator</t>
  </si>
  <si>
    <t>Masina de spalat pardoseli</t>
  </si>
  <si>
    <t>Concentrator de oxigen</t>
  </si>
  <si>
    <t>Paturi spital</t>
  </si>
  <si>
    <t>Dulap cu blat de lucru</t>
  </si>
  <si>
    <t>Garderoba sala de asteptare</t>
  </si>
  <si>
    <t>Mobilier oficiu alimentar</t>
  </si>
  <si>
    <t>1. Spitalul de Boli Cronice si Geriatrie "Constantin Balaceanu Stolnici" Stefanesti</t>
  </si>
  <si>
    <t>Licenta permanenta sistem de operare tip Windows 11 Pro 32/64 biti, retail, electronic</t>
  </si>
  <si>
    <t>Licenta permanenta sistem de operare pentru servere tip Windows Server 2025, electronica</t>
  </si>
  <si>
    <t>Licenta permanenta pentru platforma de gestionare a bazelor de date tip Sql Server 2025</t>
  </si>
  <si>
    <t>Licenta permanenta pentru pachet aplicatii de birou tip Office 2024</t>
  </si>
  <si>
    <t>2. Spitalul Judetean de Urgenta Pitesti</t>
  </si>
  <si>
    <t xml:space="preserve">Licenta pentru echipament de tip firewall FortiGate -101F </t>
  </si>
  <si>
    <t>Licente SQL 2022 device CAL</t>
  </si>
  <si>
    <t xml:space="preserve">Licente SQL Server 2022 standard edition </t>
  </si>
  <si>
    <t>3. Spitalul de Pneumoftiziologie Leordeni</t>
  </si>
  <si>
    <t>Licenta Windows Server Standard 2025 pentru toate nucleele</t>
  </si>
  <si>
    <t>Licenta Windows Device CAL - Client Access Licenses</t>
  </si>
  <si>
    <t>Licenta  Unified Threat Protection (UTP)</t>
  </si>
  <si>
    <t>CAPITOLUL 67 CULTURA, RECREERE SI RELIGIE</t>
  </si>
  <si>
    <t xml:space="preserve"> Biblioteca Judeteana "Dinicu Golescu" Pitesti</t>
  </si>
  <si>
    <t>Centrul Europe Direct</t>
  </si>
  <si>
    <t>Multifunctionala</t>
  </si>
  <si>
    <t>Biblioteca Judeteana "Dinicu Golescu" Pitesti</t>
  </si>
  <si>
    <t>Server</t>
  </si>
  <si>
    <t>Climatizare Sectia beletristica situata pe partea de est</t>
  </si>
  <si>
    <t xml:space="preserve"> 10 Venituri proprii</t>
  </si>
  <si>
    <t>1. Muzeul Judetean Arges</t>
  </si>
  <si>
    <t>Sistem Desktop PC</t>
  </si>
  <si>
    <t>DEZUMIDIFICATOR</t>
  </si>
  <si>
    <t>HARTA TACTILA</t>
  </si>
  <si>
    <t>MICROSABLATOR</t>
  </si>
  <si>
    <t>Drujba</t>
  </si>
  <si>
    <t>CURATATOR CU VAPORI</t>
  </si>
  <si>
    <t>MOTOCOASA</t>
  </si>
  <si>
    <t>OBIECTIV APARAT FOTO</t>
  </si>
  <si>
    <t>Echipamente pentru controlul umiditatii</t>
  </si>
  <si>
    <t>Microscop performant</t>
  </si>
  <si>
    <t>Sistem desktop all-in-one</t>
  </si>
  <si>
    <t xml:space="preserve">Etuva </t>
  </si>
  <si>
    <r>
      <t>Blitz profesional</t>
    </r>
    <r>
      <rPr>
        <sz val="11"/>
        <rFont val="Pg-2ff1"/>
      </rPr>
      <t xml:space="preserve"> </t>
    </r>
  </si>
  <si>
    <t>ROTOPERCUTOR</t>
  </si>
  <si>
    <t xml:space="preserve">Dispenser automat pt botosei expozitii  </t>
  </si>
  <si>
    <t>Unitate de control trimble arheologie</t>
  </si>
  <si>
    <t>Bazin cu ultrasunete</t>
  </si>
  <si>
    <t>Spectrometru performant</t>
  </si>
  <si>
    <t xml:space="preserve">Microscop performant </t>
  </si>
  <si>
    <t>Aer conditionat</t>
  </si>
  <si>
    <t>2. Teatrul "Al. Davila" Pitesti</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</si>
  <si>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</si>
  <si>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</si>
  <si>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</si>
  <si>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</si>
  <si>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</si>
  <si>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</si>
  <si>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</si>
  <si>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Laptop grafică</t>
  </si>
  <si>
    <t>Sistem înregistrare (monitoare de teren)</t>
  </si>
  <si>
    <t>Obiectiv wide</t>
  </si>
  <si>
    <t>Dispozitiv Filmat Wide scenă</t>
  </si>
  <si>
    <t>Laptop business/Sistem PC</t>
  </si>
  <si>
    <t>Dispozitiv stocare imagini arhivă</t>
  </si>
  <si>
    <t>UPS</t>
  </si>
  <si>
    <t>Switch 24-48 porturi rack</t>
  </si>
  <si>
    <t>Mașină de fum tip ceață</t>
  </si>
  <si>
    <t>Sistem lumini pentru deplasare</t>
  </si>
  <si>
    <t>Proiector tip profile LED ColourSource Spot-Zoom 25-50</t>
  </si>
  <si>
    <t>Proiector tip profile LED ColourSource Spot-Zoom 15-30</t>
  </si>
  <si>
    <t>Mașină de surfilat industrială</t>
  </si>
  <si>
    <t>Totem exterior două fețe</t>
  </si>
  <si>
    <t>Sistem ecran Led -100 mp</t>
  </si>
  <si>
    <t>Cărucior pupitre pro</t>
  </si>
  <si>
    <t>3. Muzeul Viticulturii si Pomiculturii Golesti</t>
  </si>
  <si>
    <t>Schela pentru constructii</t>
  </si>
  <si>
    <t>Tocator lemne</t>
  </si>
  <si>
    <t>Generator electricitate</t>
  </si>
  <si>
    <t>Panou de informare</t>
  </si>
  <si>
    <t>4. Centrul "Doina Argeșului"</t>
  </si>
  <si>
    <t>Centrala termica</t>
  </si>
  <si>
    <t>Rampa incarcare</t>
  </si>
  <si>
    <t>Iluminat sala Lumina</t>
  </si>
  <si>
    <t>Ecran LED 5M*3M</t>
  </si>
  <si>
    <t>Sistem monitorizare scena in EAR</t>
  </si>
  <si>
    <t>Microfon voce</t>
  </si>
  <si>
    <t>Stagebox</t>
  </si>
  <si>
    <t>Seif certificat antiefractie</t>
  </si>
  <si>
    <t>FILM PLANETARIU CU LICENTA</t>
  </si>
  <si>
    <t>LICENTA MICROSOFT WINDOWS 11</t>
  </si>
  <si>
    <t xml:space="preserve">LICENTA MICROSOFT OFFICE PROFESSIONAL PLUS </t>
  </si>
  <si>
    <t xml:space="preserve">LICENTA COREL DRAW </t>
  </si>
  <si>
    <t>LICENTA ADOBE</t>
  </si>
  <si>
    <t xml:space="preserve">LICENTA MICROSOFT OFFICE </t>
  </si>
  <si>
    <t>LICENTA Bris CAD arheologie</t>
  </si>
  <si>
    <t>Licenta Photoshop</t>
  </si>
  <si>
    <t xml:space="preserve">LICENTA Win pro </t>
  </si>
  <si>
    <t xml:space="preserve">Pachet Corel DRAW </t>
  </si>
  <si>
    <t>Licenta Adobe Premiere -ALL-</t>
  </si>
  <si>
    <t xml:space="preserve">CAPITOLUL 68  ASIGURARI SI ASISTENTA SOCIALA </t>
  </si>
  <si>
    <t>1.Directia Generala de Asistenta Sociala si Protectia Copilului Arges</t>
  </si>
  <si>
    <t>Centru de zi  pentru persoane adulte cu dizabilitati Dragolesti</t>
  </si>
  <si>
    <t>2.Directia Generala de Asistenta Sociala si Protectia Copilului Arges</t>
  </si>
  <si>
    <t>Achizitie si montaj server</t>
  </si>
  <si>
    <t>1. Directia Generala de Asistenta Sociala si Protectia Copilului Arges</t>
  </si>
  <si>
    <t>PV receptie Nr.18715/9.05.2025</t>
  </si>
  <si>
    <t>1. Unitatea de Asistenta Medico - Sociala Suici</t>
  </si>
  <si>
    <t>Uscator industrial 60 kg pentru rufe spalatorie</t>
  </si>
  <si>
    <t>2. Unitatea de Asistenta Medico - Sociala Dedulesti</t>
  </si>
  <si>
    <t>Sistem Desktop PC cu monitor</t>
  </si>
  <si>
    <t>Uscator de rufe profesional</t>
  </si>
  <si>
    <t>Statie clorinare</t>
  </si>
  <si>
    <t>Sistem PC</t>
  </si>
  <si>
    <t>Pat spital electric</t>
  </si>
  <si>
    <t>3. Unitatea de Asistenta Medico-Sociala Calinesti</t>
  </si>
  <si>
    <t xml:space="preserve">Masina de spalat, frecat, uscat pardoseli </t>
  </si>
  <si>
    <t>Uscator rufe profesional</t>
  </si>
  <si>
    <t>4. Unitatea de Asistenta Medico-Sociala Rucar</t>
  </si>
  <si>
    <t>Frigider mortuar combinat cu masa de spalare</t>
  </si>
  <si>
    <t>Masina de spalat rufe profesionala</t>
  </si>
  <si>
    <t>Unitatea de Asistenta Medico - Sociala Dedulesti</t>
  </si>
  <si>
    <t>Masa transport decedati</t>
  </si>
  <si>
    <t>Masa mare sala sedinte</t>
  </si>
  <si>
    <t>Masa tratament</t>
  </si>
  <si>
    <t>Mobila bucatarie echipata</t>
  </si>
  <si>
    <t>Dulap vestiar ingrijitor curatenie</t>
  </si>
  <si>
    <t>Dulap pentru depozitat materiale de curatenie</t>
  </si>
  <si>
    <t>Dulap depozitat lenjerii</t>
  </si>
  <si>
    <t>Televizor 65" 164CM</t>
  </si>
  <si>
    <t>1. Unitatea de Asistenta Medico-Sociala Suici</t>
  </si>
  <si>
    <t>Licenta Microsoft Office</t>
  </si>
  <si>
    <t>2. Unitatea de Asistenta Medico-Sociala Dedulesti</t>
  </si>
  <si>
    <t xml:space="preserve">Licenta Microsoft Windows </t>
  </si>
  <si>
    <t>CAPITOLUL 84 .02 TRANSPORTURI</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</si>
  <si>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</si>
  <si>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</si>
  <si>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</si>
  <si>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</si>
  <si>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 SF,documentatii avize solicitate prin Certificat de Urbanism pentru obiectivul de investitii Cale de acces mecanizata Cetatea Poienari</t>
  </si>
  <si>
    <t>4.Expertiza tehnica si realizare PT pentru reamplasarea punctului termic si a instalatiilor aferente existente in zona in care se vor incepe lucrarile la fundatia cladirii Centrului de Radioterapie la Spitalul Judetean de Urgenta Pitesti</t>
  </si>
  <si>
    <t>5.Servicii de actualizare a documentatiei de Avizare a Lucrarilor de Interventie si expertiza tehnica pentru obiectivul de investitii "Conservarea si Consolidarea Cetatii Poenari Arges"</t>
  </si>
  <si>
    <t>6.Servicii de verificare a documentatiei de Avizare a Lucrarilor de Interventie pentru obiectivul de investitii "Conservarea si Consolidarea Cetatii Poenari Arges"</t>
  </si>
  <si>
    <t>7. Expertiza tehnica a imobilului Centrul de Transfuzie Sanguina Pitesti, str. Negru Voda, nr.43</t>
  </si>
  <si>
    <t>8.  Expertiza tehnica a imobilului Centrul de Diagnostic si Tratament situat in bd. I.C. Bratianu, nr.62</t>
  </si>
  <si>
    <t>9. Documentatie (raport audit energetic si certificat de performanta energetica) la imobilul Centrul de Diagnostic si Tratament, bd.I.C. Bratianu, Nr.62, municipiul Pitesti, jud.Arges</t>
  </si>
  <si>
    <t>10.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</si>
  <si>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11. Servicii de elaborare Tema de proiectare, Documentatii obtinere avize/acorduri si D.A.L.I. la obiectivul de investitii " Lucrari de executie a legaturilor intre corpul nou construit (S+P+4E) si cladirea existenta a Spitalului Judetean de Urgenta Pitesti"</t>
  </si>
  <si>
    <t>12.Servicii de elaborare a hartilor de risc natural pentru cutremure si alunecari de teren</t>
  </si>
  <si>
    <t>13. Expertiza tehnica, studii si Documentatia de Avizare a Lucrarilor de Interventie pentru obiectivul de investitii " Reabilitarea, conservarea si punerea in valoare a Castrului Roman Jidava (Jidova)"</t>
  </si>
  <si>
    <t>14.Prestarea serviciilor de verificare a DALI (studii de specialitate, documentatii pentru avize si acorduri solicitate prin CU), P.T. si D.E. pentru "Reabilitarea, conservarea si punerea in valoare a Castrului Roman Jidava (Jidova)</t>
  </si>
  <si>
    <t>15. Servicii de expertiza tehnica pentru imobilul situat in municipiul Pitesti, str. Costache Negri, nr.28, Punctul Automobil Clubul Român", judetul Arges</t>
  </si>
  <si>
    <t>16. Servicii DALI+PT pentru obiectivul de investitii "Cresterea eficientei energetice - Centrul Scolar de Educatie Incluziva Sfantul Stelian, corp C1, Costesti, judetul Arges"</t>
  </si>
  <si>
    <t>17. Servicii de verificare tehnica a documentatiei aferenta obiectivul de investitii "Cresterea eficientei energetice - Centrul Scolar de Educatie Inclusiva Sfantul Stelian, corp C1, Costesti, judetul Arges"</t>
  </si>
  <si>
    <t>18.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</si>
  <si>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19. Studiu si asigurare de asistenta tehnica pentru realizarea Planului de mentinere a calitatii aerului in judetul Arges 2025-2029</t>
  </si>
  <si>
    <t>20.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</si>
  <si>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21.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</si>
  <si>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22. Planul Judetean de Gestionare a Deseurilor (PJGD)</t>
  </si>
  <si>
    <t>23. Raport mediu pentru PJGD</t>
  </si>
  <si>
    <t>24. 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"Infiintare parcuri fotovoltaice cu capacitati de stocare integrate pentru consumul propriu al Consiliului Judetean Arges si al partenerilor implicati"</t>
  </si>
  <si>
    <t>25. Elaborarea Planului de Amenajare a Teritoriului Judetean (P.A.T.J.) Arges</t>
  </si>
  <si>
    <t>26.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</si>
  <si>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27.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	DEZVOLTAREA INFRASTRUCTURII PENTRU STAȚII DE REÎNCĂRCARE ELECTRICĂ DE-A LUNGUL DRUMULUI JUDETEAN DJ 679: Păduroiu (DN67B) - Lipia – Popești - Lunca Corbului – Pădureți – Ciești - Fâlfani - Cotmeana – Malu - Bârla - Lim. Jud. Olt, km 0+000-48.222; L=47,670 km"</t>
  </si>
  <si>
    <r>
      <t xml:space="preserve">28.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central,</t>
    </r>
    <r>
      <rPr>
        <sz val="10"/>
        <rFont val="Arial"/>
        <family val="2"/>
        <charset val="238"/>
      </rPr>
      <t xml:space="preserve"> comuna Leordeni, sat Cârciumarești, nr. 106, Județul Argeș</t>
    </r>
  </si>
  <si>
    <r>
      <t xml:space="preserve">29.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I,</t>
    </r>
    <r>
      <rPr>
        <sz val="10"/>
        <rFont val="Arial"/>
        <family val="2"/>
        <charset val="238"/>
      </rPr>
      <t xml:space="preserve"> comuna Leordeni, sat Cârciumarești, nr. 106, Județul Argeș</t>
    </r>
  </si>
  <si>
    <r>
      <t xml:space="preserve">30.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0"/>
        <rFont val="Arial"/>
        <family val="2"/>
        <charset val="238"/>
      </rPr>
      <t>Pavilion II,</t>
    </r>
    <r>
      <rPr>
        <sz val="10"/>
        <rFont val="Arial"/>
        <family val="2"/>
        <charset val="238"/>
      </rPr>
      <t xml:space="preserve"> comuna Leordeni, sat Cârciumarești, nr. 106, Județul Argeș</t>
    </r>
  </si>
  <si>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</si>
  <si>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</si>
  <si>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</si>
  <si>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</si>
  <si>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</si>
  <si>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</si>
  <si>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</si>
  <si>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</si>
  <si>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</si>
  <si>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</si>
  <si>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</si>
  <si>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</si>
  <si>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</si>
  <si>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</si>
  <si>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</si>
  <si>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</si>
  <si>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instalatie electrica SJUP</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</si>
  <si>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</si>
  <si>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</si>
  <si>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</si>
  <si>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</si>
  <si>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</si>
  <si>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</si>
  <si>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</si>
  <si>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Valoare totala 305 806,35 lei HCJ Nr.457/27.11.2025</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</si>
  <si>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</si>
  <si>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</si>
  <si>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</si>
  <si>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ELABORARE DOCUMENTATIE TEHNICA PENTRU OBTINEREA AUTORIZATIEI DE SECURITATE LA INCENDIU PENTRU CORP CLADIRE NOU</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</si>
  <si>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</si>
  <si>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</si>
  <si>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</si>
  <si>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</si>
  <si>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</si>
  <si>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</si>
  <si>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</si>
  <si>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</si>
  <si>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</si>
  <si>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</si>
  <si>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</si>
  <si>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</si>
  <si>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</si>
  <si>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</si>
  <si>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</si>
  <si>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</si>
  <si>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</si>
  <si>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</si>
  <si>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Proiect, Avize, autorizatii si asistenta tehnica “Lucrari de construire in vederea conformarii imobilului la cerinta esentiala de calitate "Securitate la incendiu"</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</si>
  <si>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</si>
  <si>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</si>
  <si>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</si>
  <si>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</si>
  <si>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</si>
  <si>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</si>
  <si>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</si>
  <si>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</si>
  <si>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</si>
  <si>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 xml:space="preserve">Elaborare studiu de fezabilitate pentru sistem canalizare </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</si>
  <si>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</si>
  <si>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</si>
  <si>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</si>
  <si>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</si>
  <si>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</si>
  <si>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si Boli Cronice Valea Iasului</t>
  </si>
  <si>
    <t>Studiu de solutii privind majorarea puterii Postului Trafo</t>
  </si>
  <si>
    <t>Proiect Tehnic medie tensiune privind majorarea puterii Postului Trafo</t>
  </si>
  <si>
    <t>8. Spitalul Orasenesc "Regele Carol I" Costesti</t>
  </si>
  <si>
    <t>Elaborare documentație tehnica (Tema de proiectare + D.A.L.I ) pentru obiectivul de investiții "Construire grupuri sanitare Parter anexate corpurilor existente și modificări de compartimentare interioară, str. Industriei, nr.19, Costești, jud.Argeș</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</si>
  <si>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</si>
  <si>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Proiectare retele apa, canalizare menajera si retele termice in subsolul Spitalului de Boli Cronice Calinesti</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</si>
  <si>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</si>
  <si>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</si>
  <si>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</si>
  <si>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</si>
  <si>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</si>
  <si>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</si>
  <si>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</si>
  <si>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</si>
  <si>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</si>
  <si>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</si>
  <si>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</si>
  <si>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</si>
  <si>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</si>
  <si>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</si>
  <si>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</si>
  <si>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</si>
  <si>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</si>
  <si>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</si>
  <si>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</si>
  <si>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</si>
  <si>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</si>
  <si>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"Doina Argeșului"</t>
  </si>
  <si>
    <t>Proiect Tehnic Sistem climatizare</t>
  </si>
  <si>
    <t>Servicii expertiza tehnica si audit energetic cladire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</si>
  <si>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</si>
  <si>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</si>
  <si>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</si>
  <si>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</si>
  <si>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</si>
  <si>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</si>
  <si>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CAPITOLUL 68  ASIGURARI SI ASISTENTA SOCIALA</t>
  </si>
  <si>
    <t xml:space="preserve">1.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</si>
  <si>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2. Reabilitare/reamenajare cladire pentru infiintarea unui Centru de Ingrijire si Asistenta Comuna Cotmeana- DALI, studii teren, expertiza tehnica, audit</t>
  </si>
  <si>
    <t>3. Servicii de intocmire a documentatiei tehnice pentru ISU - emitere punct de vedere privind securitatea la incendiu pentru obiectivul Centru Respiro pentru Persoane Adulte cu Dizabilități</t>
  </si>
  <si>
    <t xml:space="preserve">4. Servicii de intocmire a documentatiei tehnice pentru ISU - emitere punct de vedere privind securitatea la incendiu pentru obiectivul Locuinte Protejate Siguranta si Ingrijire Arges </t>
  </si>
  <si>
    <t>5. Servicii de proiectare pentru obtinerea autorizatiei de securitate la incendiu pentru obiectivul Centrul de zi pentru Persoane Adulte cu Dizabilitati Dragolesti</t>
  </si>
  <si>
    <t>6. Servicii de proiectare sistem supraveghere video, antiefractie si control acces pentru obiectivul Centrul de zi pentru Persoane Adulte cu Dizabilitati Dragolesti</t>
  </si>
  <si>
    <t>7. Expertiza tehnica pentru cerinta esentiala de calitate in constructii securitate la incendiu, CC si CI, in cadrul proiectului Complex de 4 Locuinte Protejate si Centru de Zi, Comuna Ciofrageni , Judetul Arges</t>
  </si>
  <si>
    <t>8. Servicii de expertiza tehnica pentru montarea unui hidrant exterior pentru cele 5 imobile din Orasul Stefanesti, strada Rachitei, nr.214-222</t>
  </si>
  <si>
    <t xml:space="preserve">9. Proiectare sistem supraveghere video si antiefractie                                                                   </t>
  </si>
  <si>
    <t xml:space="preserve">10. Proiectare sistem complet de siguranta, detectie, semnalizare si alarmare a incendiilor, iluminat de siguranta  </t>
  </si>
  <si>
    <t xml:space="preserve">11. Proiectare sistem supraveghere video si alarmare la efractie </t>
  </si>
  <si>
    <t xml:space="preserve">12. Proiectare sistem supraveghere video si alarmare la efractie </t>
  </si>
  <si>
    <t xml:space="preserve">13. Proiectare sistem supraveghere video si alarmare la efractie </t>
  </si>
  <si>
    <t>2. Centre adulti</t>
  </si>
  <si>
    <t xml:space="preserve">1.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</si>
  <si>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2. Intocmire documentație pentru obținerea  Autorizației de Securitate la Incendiu                      </t>
  </si>
  <si>
    <t>3. Proiectare sistem de alarmare la efractie</t>
  </si>
  <si>
    <t xml:space="preserve">4.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</si>
  <si>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</si>
  <si>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</si>
  <si>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</si>
  <si>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</si>
  <si>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</si>
  <si>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</si>
  <si>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</si>
  <si>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Directia Generala de Asistenta Sociala si Protectia Copilului Arges</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</si>
  <si>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</si>
  <si>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</si>
  <si>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</si>
  <si>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Actiune in instanta</t>
  </si>
  <si>
    <t>Proiect tehnic TIC</t>
  </si>
  <si>
    <t>6.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</si>
  <si>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</si>
  <si>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</si>
  <si>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7. Directia Generala de Asistenta Sociala si Protectia Copilului Arges</t>
  </si>
  <si>
    <t xml:space="preserve">Proiectare  rețea  IT      </t>
  </si>
  <si>
    <t xml:space="preserve">8.  Directia Generala de Asistenta Sociala si Protectia Copilului Arges - CENTRE ADULȚI   </t>
  </si>
  <si>
    <t>Intocmire expertiza tehnica pentru incadrarea in risc seismic C5-LMP Dragolesti</t>
  </si>
  <si>
    <t>Intocmire expertiza tehnica pentru incadrarea in risc seismic aferenta cladirilor C9, C10, C12 - CIA Bascovele</t>
  </si>
  <si>
    <t>Intocmire  documentatie in vederea obtinerii unui punct de vedere /negatie al ISU Arges privind constructiile C11+C12 - CIA Bascovele</t>
  </si>
  <si>
    <t xml:space="preserve">Proiectare stație rezervă apă 10mc         </t>
  </si>
  <si>
    <t>Servicii de proiectare privind întocmirea documentației pentru obținerea punctului de vedere privind necesitatea avizului/ autorizației de securitate la incendiu pentru obiectivul Centrul de Servicii de Recuperare Neuromotorie de Tip Ambulatoriu Mioveni (CSRNA Mioveni)</t>
  </si>
  <si>
    <t>Proiectare sistem de securitate căsuțele nr.62,62A, 62B</t>
  </si>
  <si>
    <t xml:space="preserve">Proiectare sistem de securitate căsuțele nr.65B  -65C          </t>
  </si>
  <si>
    <t xml:space="preserve">Proiectare sistem de securitate                                       </t>
  </si>
  <si>
    <t xml:space="preserve">Proiectare  hidrant exterior     </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</si>
  <si>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</si>
  <si>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</si>
  <si>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</si>
  <si>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</si>
  <si>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Atentie e!!!!</t>
  </si>
  <si>
    <t>Documentatie tehnica de proiectare la obiectivul "Reabilitare, Modernizare si Extindere Pavilion P+1"</t>
  </si>
  <si>
    <t xml:space="preserve">Expertiză tehnică pentru completare scenariu de securitate la incendiu și montare instalație de avertizare la incendiu la Pavilionul P+2E, UAMS Șuici   </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</si>
  <si>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</si>
  <si>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</si>
  <si>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</si>
  <si>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</si>
  <si>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</si>
  <si>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Intocmirea documentatiei tehnice faza PT si a verificarilor de specialitate (faza PT, scenariu de securitate la incendiu, verificari de specialitate, Cc si Ci, expertiza tehnica PSI) pentru obiectivul de investitii "Lucrari de reabilitare cladire UAMS Rucar"</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</si>
  <si>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</si>
  <si>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</si>
  <si>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</si>
  <si>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</si>
  <si>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</si>
  <si>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</si>
  <si>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</si>
  <si>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elaborare Studii de teren, Expertiza tehnica, Documentatii obtinere si actualizare avize si DALI la obiectivul de investitii “ Modernizare DJ731D, km 7+450-19+674, L=12,224 km “ si pentru servicii de verificare tehnica</t>
  </si>
  <si>
    <t>6. Documentatie de avizare  a lucrarilor de interventie pentru obiectivul " Modernizare drum judetean  DJ 678 E Teodoresti (DJ 703 - km 13+339) - Cotu - lim. Jud.Valcea, km 1+200 - 3+000, L = 1,8 km, comuna Cuca"</t>
  </si>
  <si>
    <t>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</si>
  <si>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8. Documentatie in faza D.A.L.I. pentru obiectivul "Renovarea energetica moderata sau aprofundata pentru sediul Regiei Autonome Judetene de Drumuri Arges"</t>
  </si>
  <si>
    <t>9. Servicii de verificarea tehnica de calitate a proiectului pentru "Modernizare DJ 659: Pitesti - Bradu - Suseni - Gliganu de Sus - Barlogu - Negrasi - Mozaceni - Lim. Jud. Dambovita, km 0+000-58+320, L = 58,320 km "</t>
  </si>
  <si>
    <t>10.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</si>
  <si>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11.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- 11. Barlogu - Negrasi - Mozaceni - Lim. Jud. Dambovita, km 0+000-58+320, L = 58,320 km "</t>
  </si>
  <si>
    <t>12. Elaborare documentatii tehnice pentru obiectivul de investitii:"Executie prag de fund si lucrari de stabilizare a malurilor aferente podului amplasat pe DJ 703B, km 84+723, in comuna Cateasca, judetul Arges"</t>
  </si>
  <si>
    <t>13. Servicii de expertiza tehnica pentru "Deviere trasee conducte hidraulice la Spitalul Judetean de Urgenta Pitesti"</t>
  </si>
  <si>
    <t>14. Documentatie D.A.L.I. pentru obiectivul de investitii "Modernizare DJ 702 F, Limita judet Dambovita - Slobozia, km 14+000-17+355, L = 3,355 km, judetul Arges"</t>
  </si>
  <si>
    <t>15. Elaborare Studiu de Fezabilitate pentru obiectivul de investitii "Drum expres A1 - Pitesti - Mioveni "</t>
  </si>
  <si>
    <t>16.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</si>
  <si>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17. Elaborare documentatii tehnice pentru obtinere Autorizatie de gospodarire a apelor "Pod pe DJ 741 Piteşti-Valea Mare-Făgetu-Mioveni, km 2+060, peste pârâul Valea Mare (Ploscaru), la Ştefăneşti"</t>
  </si>
  <si>
    <t>18. Elaborare documentatii tehnice pentru obtinere Autorizatie de gospodarire a apelor "Pod pe DJ 738 Jugur-Drăghici-Mihăeşti peste râul Târgului, km 21+900, în comuna Mihăeşti"</t>
  </si>
  <si>
    <t>19. Servicii de proiectare fazele: studii de teren, expertiza tehnica, DALI, PT+DE+CS pentru obiectivul "Modernizare DJ 731C Vedea (Izvoru de Jos) -Cocu, km 7+314 - 11+914, L=4,6 km, comunele Vedea si Cocu, judetul Arges"</t>
  </si>
  <si>
    <t>20.Elaborare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</si>
  <si>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21. Servicii de proiectare fazele: studii de teren, expertiza tehnica, DALI, pentru  obiectivul "Modernizare DJ 702 J lim.jud. Dambovita - Neajlovelu ( DJ 702A -km 38+630), km 2+610-5+978, L=3,368 km, comuna Ratesti, judetul Arges</t>
  </si>
  <si>
    <t>22. Servicii de proiectare fazele: studii de teren, expertiza tehnica, D.A.L.I. pentru obiectivul "Modernizare drum județean DJ 703 Morărești – Cuca - Ciomăgești – lim.jud.Olt, km 16+600 - 19 +100, L= 2,5 km, comuna Ciomăgești, jud.Argeș"</t>
  </si>
  <si>
    <t>23. Servicii de proiectare fazele: studii de teren, expertiza tehnică, DALI, pentru obiectivul "Modernizare DJ 704 E Cotmeana - Poienarii de Argeș, km 10+500-13+600, L = 3,1 km, comuna Cotmeana, judetul Argeș"</t>
  </si>
  <si>
    <t>24. Servicii de proiectare fazele: studii de teren, expertiza tehnica, D.A.L.I., PT+DE+CS, DTAC pentru obiectivul "Modernizare DJ 737 Mățău - Cocenești- Boteni, km 13+796-15+181,  L=1,385 km, comuna Boteni, judetul Arges"</t>
  </si>
  <si>
    <t>25.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</si>
  <si>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26.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</si>
  <si>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27.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</si>
  <si>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</si>
  <si>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</si>
  <si>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Valoare totala 212 009,1 mii lei;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</si>
  <si>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</si>
  <si>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</si>
  <si>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</si>
  <si>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</si>
  <si>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Sistem de alimentare cu apa "Mancioiu" - captare, inmagazinare si transport apa catre UAT Cuca si UAT Moraresti</t>
  </si>
  <si>
    <t>Valoare totala 500 535,39 lei HCJ Nr.412/30.10.2025</t>
  </si>
  <si>
    <t>2. Sistem supraveghere video exterior situat in Pitesti, Str.Armand Calinescu, nr.44, judetul Arges</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</si>
  <si>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</si>
  <si>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</si>
  <si>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</si>
  <si>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</si>
  <si>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7 012 734,7 lei HCJ Nr.23/31.01.2024; Cc DALI 47 600 lei</t>
  </si>
  <si>
    <t>1. Centrul Scolar de Educatie Incluziva "Sfanta Filofteia" Stefanesti</t>
  </si>
  <si>
    <t>Modificări interioare și exterioare, schimbare funcțiune cameră hidromasaj și uscătorie, în săli de clasă și magazie</t>
  </si>
  <si>
    <t>Valoare totala 262 451 lei HCJ Nr.90/26.03.2026;                                                                                Valoare totala 161 924 lei HCJ Nr.411/30.11.2025</t>
  </si>
  <si>
    <t>Proiectare instalatie de detectare, semnalizare si avertizare incendiu</t>
  </si>
  <si>
    <t>Executie instalatie de detectare, semnalizare si avertizare incendiu</t>
  </si>
  <si>
    <t>2. Centrul Scolar de Educatie Incluziva "Sf. Marina" Curtea de Arges</t>
  </si>
  <si>
    <t>Alimentare cu energie electrica statie incarcare auto</t>
  </si>
  <si>
    <t>PV punere in functiune nr.1282/11.06.2025</t>
  </si>
  <si>
    <t>Spitalul de Recuperare Bradet</t>
  </si>
  <si>
    <t>Lucrări de reabilitare saloane și grupuri sanitare, săli de tratament, dotări cu echipamente medicale și nemedicale</t>
  </si>
  <si>
    <t>Valoare totala 21 101 086,94 lei - HCJ Nr.72/26.02.2026</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</si>
  <si>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</si>
  <si>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</si>
  <si>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</si>
  <si>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Statie de apa dializa</t>
  </si>
  <si>
    <t> REABILITARE SECTIE A.T.I. DE LA SJUP</t>
  </si>
  <si>
    <t>Valoare totala 28 693 543,61 lei HCJ nr.357/29.08.2025; din care 121 mii lei DALI c.</t>
  </si>
  <si>
    <t>Lucrari modernizare sectia Chirurgie etaj 2</t>
  </si>
  <si>
    <t>Valoare totala 4 910 504,88 lei, HCJ Nr.141/30.04.2026</t>
  </si>
  <si>
    <t xml:space="preserve">Lucrari modernizare terasa </t>
  </si>
  <si>
    <t>Lucrari modernizare instalatie recuperare condens si traseu abur centrala termica</t>
  </si>
  <si>
    <t>Lucrari de construire in vederea conformarii imobilului la cerinta esentiala de calitate "Securitate la incendiu"</t>
  </si>
  <si>
    <t>Valoarea totala 3 735 375,64 lei HCJ Nr.394/25.09.2025</t>
  </si>
  <si>
    <t>4. Spitalul de Pneumoftiziologie Leordeni</t>
  </si>
  <si>
    <t xml:space="preserve">Furnizare sistem alertare-butoane de panica - destinat sigurantei pacientului </t>
  </si>
  <si>
    <t>5.Spitalul de Boli Cronice Calinesti</t>
  </si>
  <si>
    <t>Statie de clorinare</t>
  </si>
  <si>
    <t>6. Spitalul de Psihiatrie "Sf.Maria" Vedea</t>
  </si>
  <si>
    <t>Amenajare parcare la Spitalul de Psihiatrie „Sf. Maria'' Vedea</t>
  </si>
  <si>
    <t>Valoare totala 435 817,83 lei HCJ Nr.497/17.12.2025</t>
  </si>
  <si>
    <t>Achizitie structuri containere modulare in vederea montarii cu destinatia vestiare Pavilion I si II</t>
  </si>
  <si>
    <t>Extindere spital pentru Terapie ocupațională si recuperare in sistem Ambulatoriu, Spital de Psihiatrie „Sf. Maria""</t>
  </si>
  <si>
    <t>Valoare totala 12 048 134,41 lei HCJ Nr.454/27.11.2025; HCJ Nr.139/30.04.2026;   Cc 279,65 mii lei in 2025</t>
  </si>
  <si>
    <t>7. Spitalul de Boli Cronice si Geriatrie "Constantin Balaceanu Stolnici" Stefanesti</t>
  </si>
  <si>
    <t xml:space="preserve">Executie releveu pentru pavilion central spital si casa lift </t>
  </si>
  <si>
    <t>Container metalic cu doua compartimente pentru depozitare (3x6m)</t>
  </si>
  <si>
    <t>PV receptie Nr.10770/24.11.2025</t>
  </si>
  <si>
    <t xml:space="preserve">Bazin de apa potabila 25mc suprateran cu statie de clorinare </t>
  </si>
  <si>
    <t>PV receptie partiala a lucrarilor Nr.11725/18.12.2025</t>
  </si>
  <si>
    <t>Container metalic cu doua compartimente pentru depozitare (3x4m)</t>
  </si>
  <si>
    <t>8. Spitalul de Recuperare si Boli Cronice Valea Iasului</t>
  </si>
  <si>
    <t>Realizarea alimentarii de rezerva din linia LEA 20KV - Electroarges -Oras</t>
  </si>
  <si>
    <t>PV receptie la terminarea lucrarilor Nr.17872/23.12.2025</t>
  </si>
  <si>
    <t>Punere in functiune si racordare PTAB 20 KV</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</si>
  <si>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</si>
  <si>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</si>
  <si>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</si>
  <si>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</si>
  <si>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Lucrări de reparații capitale secția ATI</t>
  </si>
  <si>
    <t>Valoare totala 8 832 023,51 lei HCJ Nr.371/29.08.2025</t>
  </si>
  <si>
    <t>Servicii proiectare si executie lucrari reparatii capitale Chirurgie etaj I</t>
  </si>
  <si>
    <t>Valoarea totala 4 165 mii lei; PV receptie la terminarea lucrarilor Nr.3096/24.04.2025</t>
  </si>
  <si>
    <t>Lucrari reparatii capitale lift</t>
  </si>
  <si>
    <t>3. Spitalul de Recuperare si Boli Cronice Valea Iasului</t>
  </si>
  <si>
    <t>Reparatii capitale ascensor alimente</t>
  </si>
  <si>
    <t>PV receptie la terminarea lucrarilor nr.16240/29.11.2024</t>
  </si>
  <si>
    <t>CAPITOLUL 67.10 CULTURA, RECREERE SI RELIGIE</t>
  </si>
  <si>
    <t>Proiect sistem adresabil de semnalizare a inceputului de incendiu</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</si>
  <si>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</si>
  <si>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</si>
  <si>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</si>
  <si>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SISTEM PROIECTARE, AVIZARE  SI MONTAJ CAMERE VIDEO CASA MEMORIALA DINU LIPATTI</t>
  </si>
  <si>
    <t>Reamenajare spatii destinate expozitiilor permanente din cadrul Muzeului Judetean Arges</t>
  </si>
  <si>
    <t xml:space="preserve">Bransament electric spor putere la Muzeul Judetean Arges corp A </t>
  </si>
  <si>
    <t>Achizitie si montaj centrala termica pe peleti/material lemnos la Casa memoriala Dinu Lipatti</t>
  </si>
  <si>
    <t>Achizitie si montaj gard electric la "Cetatea Poenari"</t>
  </si>
  <si>
    <t>Bazin chimic laborator</t>
  </si>
  <si>
    <t>2. Teatru "AL.DAVILA " Pitesti</t>
  </si>
  <si>
    <t>Acoperis cu arcade si invelitoare demontabila</t>
  </si>
  <si>
    <t>Muzeul Viticulturii si Pomiculturii Golesti</t>
  </si>
  <si>
    <t>Reparatii capitale hidranti Parc Golesti si intocmire documentatie tehnica</t>
  </si>
  <si>
    <t>PV receptie la terminarea lucrarilor Nr.4355/19.12.2025</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</si>
  <si>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</si>
  <si>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</si>
  <si>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</si>
  <si>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</si>
  <si>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</si>
  <si>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</si>
  <si>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</si>
  <si>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</si>
  <si>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</si>
  <si>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</si>
  <si>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</si>
  <si>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</si>
  <si>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</si>
  <si>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</si>
  <si>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</si>
  <si>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</si>
  <si>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</si>
  <si>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</si>
  <si>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</si>
  <si>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</si>
  <si>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Achiziție si montaj rețea  IT   </t>
  </si>
  <si>
    <t xml:space="preserve">5. Directia Generala de Asistenta Sociala si Protectia Copilului Arges - CENTRE ADULȚI   </t>
  </si>
  <si>
    <t xml:space="preserve">Achiziție și montaj stație rezervă apă    </t>
  </si>
  <si>
    <t xml:space="preserve">Izolație fonică a pompei de căldură existentă        </t>
  </si>
  <si>
    <t>Achiziție ușă metalică antifoc</t>
  </si>
  <si>
    <t xml:space="preserve">Achiziție și montaj sistem supraveghere video căsuțele nr.  62,62A, 62B                                                          </t>
  </si>
  <si>
    <t xml:space="preserve">Achiziție și montaj sistem de alarmare la efracție căsuțele nr.62,62A, 62B                                                            </t>
  </si>
  <si>
    <t xml:space="preserve">Achiziție și montaj sistem supraveghere video căsuțele nr. 65B  - 65C                                                                </t>
  </si>
  <si>
    <t xml:space="preserve">Achiziție și montaj sistem de alarmare la efracție căsuțele nr. 65B  - 65C                                                                </t>
  </si>
  <si>
    <t xml:space="preserve">Achiziție și montaj sistem supraveghere video              </t>
  </si>
  <si>
    <t xml:space="preserve">Achiziție și montaj sistem de alarmare la efracție          </t>
  </si>
  <si>
    <t xml:space="preserve">Achiziție și montaj hidrant exterior                        </t>
  </si>
  <si>
    <t xml:space="preserve">Inlocuire distribuție apă caldă și rece din subsolul clădirii, inclusiv coloanele                                            </t>
  </si>
  <si>
    <t xml:space="preserve">Achiziție și montaj balustradă inox                        </t>
  </si>
  <si>
    <t xml:space="preserve">Centru de zi pentru persoane adulte cu dizabilitati Dragolesti </t>
  </si>
  <si>
    <t>vt 921,09 mii lei</t>
  </si>
  <si>
    <t>1.Unitatea de Asistenta Medico-Sociala Suici</t>
  </si>
  <si>
    <t>Amenajare Parc si Alei UAMS Suici</t>
  </si>
  <si>
    <t>Valoare totala 1 696 000lei conform deviz estimativ; 38 000 lei decontati in 2019 la Cc.       PV receptie la terminarea lucrarilor nr.2407/25.11.2025</t>
  </si>
  <si>
    <t>Reabilitare, Modernizare si Extindere Pavilion D+P+1E</t>
  </si>
  <si>
    <t>Valoare totala 6 701 920,93 lei HCJ nr.136/25.03.2025; HCJ nr.135/30.04.2026; Atentie! plati la c</t>
  </si>
  <si>
    <t>2. Unitatea de Asistenta Medico-Sociala Calinesti</t>
  </si>
  <si>
    <t>1. Alimentare cu energie electrica District 301 - Spor de putere</t>
  </si>
  <si>
    <t>Achizitie si montare sistem de incalzire si apa calda</t>
  </si>
  <si>
    <t>PV receptie Nr.2570/12.12.2025</t>
  </si>
  <si>
    <t>Achizitie si montare butoane de panica pentru pacienti</t>
  </si>
  <si>
    <t>Lucrari de reabilitare in vederea obtinerii autorizatiei la incendiu</t>
  </si>
  <si>
    <t>3. Unitatea de Asistenta Medico-Sociala Domnesti</t>
  </si>
  <si>
    <t xml:space="preserve">Sistem buton de panica pentru pacienti </t>
  </si>
  <si>
    <t>Sistem de avertizare /alertare (buton de panica) "Nurse call"</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</si>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</sst>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4">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theme="9" tint="-0.249977111117893"/>
      <name val="Arial"/>
      <family val="2"/>
      <charset val="238"/>
    </font>
    <font>
      <sz val="11"/>
      <name val="Arial"/>
      <family val="2"/>
      <charset val="238"/>
    </font>
    <font>
      <sz val="11"/>
      <name val="Arial"/>
      <family val="2"/>
    </font>
    <font>
      <sz val="10"/>
      <name val="Arial"/>
      <family val="2"/>
      <charset val="238"/>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1"/>
      <color rgb="FFFF0000"/>
      <name val="Calibri"/>
      <family val="2"/>
      <charset val="238"/>
      <scheme val="minor"/>
    </font>
    <font>
      <sz val="10"/>
      <color theme="1"/>
      <name val="Arial"/>
      <family val="2"/>
      <charset val="238"/>
    </font>
    <font>
      <i/>
      <sz val="11"/>
      <name val="Arial"/>
      <family val="2"/>
    </font>
    <font>
      <sz val="11"/>
      <color theme="1"/>
      <name val="Times New Roman"/>
      <family val="1"/>
      <charset val="238"/>
    </font>
    <font>
      <b/>
      <sz val="11"/>
      <name val="Arial"/>
      <family val="2"/>
      <charset val="238"/>
    </font>
    <font>
      <i/>
      <sz val="10"/>
      <color rgb="FFFF0000"/>
      <name val="Arial"/>
      <family val="2"/>
      <charset val="238"/>
    </font>
    <font>
      <sz val="10"/>
      <name val="Times New Roman"/>
      <family val="1"/>
      <charset val="238"/>
    </font>
    <font>
      <sz val="11"/>
      <name val="Pg-2ff1"/>
    </font>
    <font>
      <i/>
      <sz val="11"/>
      <name val="Times New Roman"/>
      <family val="1"/>
      <charset val="238"/>
    </font>
    <font>
      <u/>
      <sz val="10"/>
      <name val="Arial"/>
      <family val="2"/>
      <charset val="238"/>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6" tint="0.59999389629810485"/>
        <bgColor indexed="64"/>
      </patternFill>
    </fill>
    <fill>
      <patternFill patternType="solid">
        <fgColor theme="4"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33">
    <xf numFmtId="0" fontId="0" fillId="0" borderId="0"/>
    <xf numFmtId="0" fontId="14" fillId="0" borderId="0"/>
    <xf numFmtId="0" fontId="14" fillId="0" borderId="0"/>
    <xf numFmtId="0" fontId="12" fillId="0" borderId="0"/>
    <xf numFmtId="0" fontId="14" fillId="0" borderId="0"/>
    <xf numFmtId="0" fontId="34" fillId="0" borderId="0"/>
    <xf numFmtId="0" fontId="14" fillId="0" borderId="0"/>
    <xf numFmtId="0" fontId="11" fillId="0" borderId="0"/>
    <xf numFmtId="0" fontId="14" fillId="0" borderId="0"/>
    <xf numFmtId="0" fontId="14" fillId="0" borderId="0"/>
    <xf numFmtId="0" fontId="10" fillId="0" borderId="0"/>
    <xf numFmtId="0" fontId="9" fillId="0" borderId="0"/>
    <xf numFmtId="0" fontId="8" fillId="0" borderId="0"/>
    <xf numFmtId="0" fontId="8" fillId="0" borderId="0"/>
    <xf numFmtId="0" fontId="7" fillId="0" borderId="0"/>
    <xf numFmtId="0" fontId="7" fillId="0" borderId="0"/>
    <xf numFmtId="0" fontId="7"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44" fontId="14" fillId="0" borderId="0" applyFont="0" applyFill="0" applyBorder="0" applyAlignment="0" applyProtection="0"/>
    <xf numFmtId="0" fontId="4" fillId="0" borderId="0"/>
    <xf numFmtId="0" fontId="3" fillId="0" borderId="0"/>
    <xf numFmtId="0" fontId="3" fillId="0" borderId="0"/>
    <xf numFmtId="0" fontId="18" fillId="0" borderId="0"/>
    <xf numFmtId="0" fontId="18" fillId="0" borderId="0"/>
    <xf numFmtId="0" fontId="2" fillId="0" borderId="0"/>
    <xf numFmtId="0" fontId="1" fillId="0" borderId="0"/>
    <xf numFmtId="0" fontId="1" fillId="0" borderId="0"/>
  </cellStyleXfs>
  <cellXfs count="768">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4" fillId="0" borderId="2" xfId="0" applyFont="1" applyBorder="1"/>
    <xf numFmtId="0" fontId="14" fillId="0" borderId="3" xfId="0" applyFont="1" applyBorder="1"/>
    <xf numFmtId="0" fontId="14" fillId="0" borderId="5" xfId="0" applyFont="1" applyBorder="1"/>
    <xf numFmtId="0" fontId="15" fillId="0" borderId="2" xfId="0" applyFont="1" applyBorder="1"/>
    <xf numFmtId="0" fontId="17" fillId="0" borderId="5" xfId="0" applyFont="1" applyBorder="1" applyAlignment="1">
      <alignment horizontal="left"/>
    </xf>
    <xf numFmtId="0" fontId="17" fillId="0" borderId="3" xfId="0" applyFont="1" applyBorder="1"/>
    <xf numFmtId="0" fontId="17" fillId="0" borderId="2" xfId="0" applyFont="1" applyBorder="1"/>
    <xf numFmtId="0" fontId="17" fillId="0" borderId="2" xfId="0" applyFont="1" applyBorder="1" applyAlignment="1">
      <alignment horizontal="left"/>
    </xf>
    <xf numFmtId="0" fontId="17" fillId="0" borderId="5" xfId="0" applyFont="1" applyBorder="1"/>
    <xf numFmtId="0" fontId="14" fillId="0" borderId="0" xfId="0" applyFont="1"/>
    <xf numFmtId="0" fontId="18" fillId="0" borderId="3" xfId="0" applyFont="1" applyBorder="1"/>
    <xf numFmtId="0" fontId="13" fillId="0" borderId="6" xfId="0" applyFont="1" applyBorder="1"/>
    <xf numFmtId="0" fontId="13" fillId="0" borderId="5" xfId="0" applyFont="1" applyBorder="1"/>
    <xf numFmtId="0" fontId="18" fillId="0" borderId="5" xfId="0" applyFont="1" applyBorder="1" applyAlignment="1">
      <alignment horizontal="center"/>
    </xf>
    <xf numFmtId="4" fontId="0" fillId="0" borderId="5" xfId="0" applyNumberFormat="1" applyBorder="1" applyAlignment="1">
      <alignment horizontal="center"/>
    </xf>
    <xf numFmtId="0" fontId="18" fillId="0" borderId="3" xfId="0" applyFont="1" applyBorder="1" applyAlignment="1">
      <alignment horizontal="center"/>
    </xf>
    <xf numFmtId="0" fontId="18" fillId="0" borderId="0" xfId="0" applyFont="1"/>
    <xf numFmtId="0" fontId="18" fillId="0" borderId="5" xfId="0" applyFont="1" applyBorder="1"/>
    <xf numFmtId="0" fontId="18" fillId="0" borderId="2" xfId="0" applyFont="1" applyBorder="1" applyAlignment="1">
      <alignment horizontal="center"/>
    </xf>
    <xf numFmtId="0" fontId="17" fillId="0" borderId="3" xfId="0" applyFont="1" applyBorder="1" applyAlignment="1">
      <alignment horizontal="left"/>
    </xf>
    <xf numFmtId="0" fontId="18" fillId="0" borderId="2" xfId="0" applyFont="1" applyBorder="1"/>
    <xf numFmtId="0" fontId="19" fillId="0" borderId="2" xfId="0" applyFont="1" applyBorder="1"/>
    <xf numFmtId="4" fontId="18" fillId="0" borderId="3" xfId="0" applyNumberFormat="1" applyFont="1" applyBorder="1" applyAlignment="1">
      <alignment horizontal="center"/>
    </xf>
    <xf numFmtId="0" fontId="19" fillId="0" borderId="5" xfId="0" applyFont="1" applyBorder="1"/>
    <xf numFmtId="0" fontId="18" fillId="0" borderId="7" xfId="0" applyFont="1" applyBorder="1" applyAlignment="1">
      <alignment horizontal="center"/>
    </xf>
    <xf numFmtId="0" fontId="18" fillId="0" borderId="8" xfId="0" applyFont="1" applyBorder="1"/>
    <xf numFmtId="0" fontId="18" fillId="0" borderId="9" xfId="0" applyFont="1" applyBorder="1"/>
    <xf numFmtId="0" fontId="14" fillId="0" borderId="9" xfId="0" applyFont="1" applyBorder="1"/>
    <xf numFmtId="0" fontId="14" fillId="0" borderId="7" xfId="0" applyFont="1" applyBorder="1"/>
    <xf numFmtId="0" fontId="0" fillId="0" borderId="9" xfId="0" applyBorder="1" applyAlignment="1">
      <alignment horizontal="center"/>
    </xf>
    <xf numFmtId="0" fontId="18" fillId="0" borderId="9" xfId="0" applyFont="1" applyBorder="1" applyAlignment="1">
      <alignment horizontal="center"/>
    </xf>
    <xf numFmtId="0" fontId="18" fillId="0" borderId="8" xfId="0" applyFont="1" applyBorder="1" applyAlignment="1">
      <alignment horizontal="center"/>
    </xf>
    <xf numFmtId="0" fontId="17" fillId="0" borderId="3" xfId="0" applyFont="1" applyBorder="1" applyAlignment="1">
      <alignment wrapText="1"/>
    </xf>
    <xf numFmtId="0" fontId="13" fillId="0" borderId="3" xfId="0" applyFont="1" applyBorder="1"/>
    <xf numFmtId="4" fontId="0" fillId="0" borderId="3" xfId="0" applyNumberFormat="1" applyBorder="1" applyAlignment="1">
      <alignment horizontal="right"/>
    </xf>
    <xf numFmtId="0" fontId="23" fillId="0" borderId="0" xfId="0" applyFont="1"/>
    <xf numFmtId="0" fontId="15" fillId="0" borderId="5" xfId="0" applyFont="1" applyBorder="1"/>
    <xf numFmtId="4" fontId="18" fillId="0" borderId="1" xfId="0" applyNumberFormat="1" applyFont="1" applyBorder="1"/>
    <xf numFmtId="4" fontId="18" fillId="0" borderId="1" xfId="0" applyNumberFormat="1" applyFont="1" applyBorder="1" applyAlignment="1">
      <alignment horizontal="center"/>
    </xf>
    <xf numFmtId="4" fontId="18" fillId="0" borderId="10" xfId="0" applyNumberFormat="1" applyFont="1" applyBorder="1"/>
    <xf numFmtId="0" fontId="17" fillId="0" borderId="7" xfId="0" applyFont="1" applyBorder="1" applyAlignment="1">
      <alignment horizontal="left"/>
    </xf>
    <xf numFmtId="4" fontId="0" fillId="0" borderId="6" xfId="0" applyNumberFormat="1" applyBorder="1" applyAlignment="1">
      <alignment horizontal="right"/>
    </xf>
    <xf numFmtId="4" fontId="18" fillId="0" borderId="3" xfId="0" applyNumberFormat="1" applyFont="1" applyBorder="1" applyAlignment="1">
      <alignment horizontal="right"/>
    </xf>
    <xf numFmtId="0" fontId="14" fillId="0" borderId="7" xfId="0" applyFont="1" applyBorder="1" applyAlignment="1">
      <alignment horizontal="center"/>
    </xf>
    <xf numFmtId="0" fontId="14" fillId="0" borderId="9" xfId="0" applyFont="1" applyBorder="1" applyAlignment="1">
      <alignment horizontal="center"/>
    </xf>
    <xf numFmtId="0" fontId="14" fillId="0" borderId="8" xfId="0" applyFont="1" applyBorder="1" applyAlignment="1">
      <alignment horizontal="center"/>
    </xf>
    <xf numFmtId="0" fontId="15" fillId="0" borderId="7" xfId="0" applyFont="1" applyBorder="1"/>
    <xf numFmtId="0" fontId="21" fillId="0" borderId="2" xfId="0" applyFont="1" applyBorder="1"/>
    <xf numFmtId="0" fontId="14" fillId="0" borderId="2" xfId="0" applyFont="1" applyBorder="1" applyAlignment="1">
      <alignment horizontal="center"/>
    </xf>
    <xf numFmtId="0" fontId="14" fillId="0" borderId="4" xfId="0" applyFont="1" applyBorder="1"/>
    <xf numFmtId="0" fontId="14" fillId="0" borderId="4" xfId="0" applyFont="1" applyBorder="1" applyAlignment="1">
      <alignment horizontal="center"/>
    </xf>
    <xf numFmtId="0" fontId="14" fillId="0" borderId="3" xfId="0" applyFont="1" applyBorder="1" applyAlignment="1">
      <alignment horizontal="center"/>
    </xf>
    <xf numFmtId="0" fontId="14" fillId="0" borderId="5" xfId="0" applyFont="1" applyBorder="1" applyAlignment="1">
      <alignment horizontal="center"/>
    </xf>
    <xf numFmtId="4" fontId="14" fillId="0" borderId="6" xfId="0" applyNumberFormat="1" applyFont="1" applyBorder="1" applyAlignment="1">
      <alignment horizontal="right"/>
    </xf>
    <xf numFmtId="0" fontId="14" fillId="0" borderId="11" xfId="0" applyFont="1" applyBorder="1" applyAlignment="1">
      <alignment horizontal="center"/>
    </xf>
    <xf numFmtId="0" fontId="14" fillId="0" borderId="5" xfId="0" applyFont="1" applyBorder="1" applyAlignment="1">
      <alignment wrapText="1"/>
    </xf>
    <xf numFmtId="0" fontId="19" fillId="0" borderId="3" xfId="0" applyFont="1" applyBorder="1"/>
    <xf numFmtId="2" fontId="0" fillId="0" borderId="0" xfId="0" applyNumberFormat="1"/>
    <xf numFmtId="0" fontId="18" fillId="0" borderId="4" xfId="0" applyFont="1" applyBorder="1"/>
    <xf numFmtId="0" fontId="18" fillId="0" borderId="4" xfId="0" applyFont="1" applyBorder="1" applyAlignment="1">
      <alignment horizontal="center"/>
    </xf>
    <xf numFmtId="0" fontId="18" fillId="0" borderId="6" xfId="0" applyFont="1" applyBorder="1" applyAlignment="1">
      <alignment horizontal="center"/>
    </xf>
    <xf numFmtId="4" fontId="18" fillId="0" borderId="6" xfId="0" applyNumberFormat="1" applyFont="1" applyBorder="1" applyAlignment="1">
      <alignment horizontal="right"/>
    </xf>
    <xf numFmtId="0" fontId="0" fillId="0" borderId="7" xfId="0" applyBorder="1" applyAlignment="1">
      <alignment horizontal="center"/>
    </xf>
    <xf numFmtId="0" fontId="20" fillId="0" borderId="2" xfId="0" applyFont="1" applyBorder="1"/>
    <xf numFmtId="0" fontId="13" fillId="0" borderId="5" xfId="0" applyFont="1" applyBorder="1" applyAlignment="1">
      <alignment wrapText="1"/>
    </xf>
    <xf numFmtId="0" fontId="20" fillId="0" borderId="7" xfId="0" applyFont="1" applyBorder="1"/>
    <xf numFmtId="4" fontId="14" fillId="2" borderId="6" xfId="0" applyNumberFormat="1" applyFont="1" applyFill="1" applyBorder="1" applyAlignment="1">
      <alignment horizontal="right"/>
    </xf>
    <xf numFmtId="4" fontId="14" fillId="3" borderId="6" xfId="0" applyNumberFormat="1" applyFont="1" applyFill="1" applyBorder="1" applyAlignment="1">
      <alignment horizontal="right"/>
    </xf>
    <xf numFmtId="0" fontId="18" fillId="0" borderId="2" xfId="0" applyFont="1" applyBorder="1" applyAlignment="1">
      <alignment wrapText="1"/>
    </xf>
    <xf numFmtId="0" fontId="18" fillId="0" borderId="3" xfId="0" applyFont="1" applyBorder="1" applyAlignment="1">
      <alignment wrapText="1"/>
    </xf>
    <xf numFmtId="0" fontId="18" fillId="0" borderId="5" xfId="0" applyFont="1" applyBorder="1" applyAlignment="1">
      <alignment wrapText="1"/>
    </xf>
    <xf numFmtId="0" fontId="18" fillId="3" borderId="5" xfId="0" applyFont="1" applyFill="1" applyBorder="1" applyAlignment="1">
      <alignment horizontal="center"/>
    </xf>
    <xf numFmtId="4" fontId="0" fillId="3" borderId="6" xfId="0" applyNumberFormat="1" applyFill="1" applyBorder="1" applyAlignment="1">
      <alignment horizontal="right"/>
    </xf>
    <xf numFmtId="4" fontId="18" fillId="3" borderId="6" xfId="0" applyNumberFormat="1" applyFont="1" applyFill="1" applyBorder="1" applyAlignment="1">
      <alignment horizontal="right"/>
    </xf>
    <xf numFmtId="0" fontId="18" fillId="3" borderId="3" xfId="0" applyFont="1" applyFill="1" applyBorder="1" applyAlignment="1">
      <alignment wrapText="1"/>
    </xf>
    <xf numFmtId="0" fontId="18" fillId="3" borderId="3" xfId="0" applyFont="1" applyFill="1" applyBorder="1" applyAlignment="1">
      <alignment horizontal="center"/>
    </xf>
    <xf numFmtId="0" fontId="18" fillId="3" borderId="2" xfId="0" applyFont="1" applyFill="1" applyBorder="1" applyAlignment="1">
      <alignment horizontal="center"/>
    </xf>
    <xf numFmtId="0" fontId="14" fillId="3" borderId="3" xfId="0" applyFont="1" applyFill="1" applyBorder="1"/>
    <xf numFmtId="0" fontId="17" fillId="3" borderId="5" xfId="0" applyFont="1" applyFill="1" applyBorder="1"/>
    <xf numFmtId="0" fontId="0" fillId="3" borderId="2" xfId="0" applyFill="1" applyBorder="1" applyAlignment="1">
      <alignment horizontal="center"/>
    </xf>
    <xf numFmtId="0" fontId="17" fillId="3" borderId="3" xfId="0" applyFont="1" applyFill="1" applyBorder="1"/>
    <xf numFmtId="0" fontId="18" fillId="3" borderId="5" xfId="0" applyFont="1" applyFill="1" applyBorder="1"/>
    <xf numFmtId="0" fontId="0" fillId="3" borderId="2" xfId="0" applyFill="1" applyBorder="1"/>
    <xf numFmtId="0" fontId="18" fillId="0" borderId="0" xfId="0" applyFont="1" applyAlignment="1">
      <alignment horizontal="center" vertical="center"/>
    </xf>
    <xf numFmtId="0" fontId="21" fillId="0" borderId="0" xfId="0" applyFont="1"/>
    <xf numFmtId="0" fontId="21" fillId="0" borderId="5" xfId="0" applyFont="1" applyBorder="1"/>
    <xf numFmtId="0" fontId="21" fillId="0" borderId="2" xfId="0" applyFont="1" applyBorder="1" applyAlignment="1">
      <alignment horizontal="center"/>
    </xf>
    <xf numFmtId="14" fontId="21" fillId="0" borderId="3" xfId="0" applyNumberFormat="1" applyFont="1" applyBorder="1" applyAlignment="1">
      <alignment horizontal="center"/>
    </xf>
    <xf numFmtId="0" fontId="21" fillId="0" borderId="10" xfId="0" applyFont="1" applyBorder="1" applyAlignment="1">
      <alignment horizontal="center"/>
    </xf>
    <xf numFmtId="0" fontId="21" fillId="0" borderId="0" xfId="0" applyFont="1" applyAlignment="1">
      <alignment horizontal="center"/>
    </xf>
    <xf numFmtId="0" fontId="0" fillId="3" borderId="0" xfId="0" applyFill="1"/>
    <xf numFmtId="0" fontId="14" fillId="3" borderId="0" xfId="0" applyFont="1" applyFill="1"/>
    <xf numFmtId="0" fontId="0" fillId="3" borderId="3" xfId="0" applyFill="1" applyBorder="1"/>
    <xf numFmtId="0" fontId="15" fillId="3" borderId="5" xfId="0" applyFont="1" applyFill="1" applyBorder="1"/>
    <xf numFmtId="4" fontId="14" fillId="3" borderId="6" xfId="0" applyNumberFormat="1" applyFont="1" applyFill="1" applyBorder="1"/>
    <xf numFmtId="4" fontId="0" fillId="3" borderId="6" xfId="0" applyNumberFormat="1" applyFill="1" applyBorder="1"/>
    <xf numFmtId="0" fontId="18" fillId="3" borderId="9" xfId="0" applyFont="1" applyFill="1" applyBorder="1" applyAlignment="1">
      <alignment horizontal="center"/>
    </xf>
    <xf numFmtId="0" fontId="18" fillId="3" borderId="3" xfId="0" applyFont="1" applyFill="1" applyBorder="1"/>
    <xf numFmtId="0" fontId="14" fillId="3" borderId="5" xfId="0" applyFont="1" applyFill="1" applyBorder="1"/>
    <xf numFmtId="0" fontId="18" fillId="3" borderId="2" xfId="0" applyFont="1" applyFill="1" applyBorder="1"/>
    <xf numFmtId="0" fontId="15" fillId="3" borderId="7" xfId="0" applyFont="1" applyFill="1" applyBorder="1"/>
    <xf numFmtId="0" fontId="14" fillId="3" borderId="13" xfId="0" applyFont="1" applyFill="1" applyBorder="1" applyAlignment="1">
      <alignment horizontal="center"/>
    </xf>
    <xf numFmtId="0" fontId="17" fillId="3" borderId="3" xfId="0" applyFont="1" applyFill="1" applyBorder="1" applyAlignment="1">
      <alignment wrapText="1"/>
    </xf>
    <xf numFmtId="0" fontId="14" fillId="3" borderId="1" xfId="0" applyFont="1" applyFill="1" applyBorder="1" applyAlignment="1">
      <alignment horizontal="center"/>
    </xf>
    <xf numFmtId="0" fontId="14" fillId="3" borderId="8" xfId="0" applyFont="1" applyFill="1" applyBorder="1" applyAlignment="1">
      <alignment horizontal="center"/>
    </xf>
    <xf numFmtId="0" fontId="14" fillId="3" borderId="3" xfId="0" applyFont="1" applyFill="1" applyBorder="1" applyAlignment="1">
      <alignment wrapText="1"/>
    </xf>
    <xf numFmtId="0" fontId="17" fillId="3" borderId="5" xfId="0" applyFont="1" applyFill="1" applyBorder="1" applyAlignment="1">
      <alignment wrapText="1"/>
    </xf>
    <xf numFmtId="0" fontId="14" fillId="3" borderId="9" xfId="0" applyFont="1" applyFill="1" applyBorder="1" applyAlignment="1">
      <alignment horizontal="center"/>
    </xf>
    <xf numFmtId="0" fontId="22" fillId="3" borderId="0" xfId="0" applyFont="1" applyFill="1"/>
    <xf numFmtId="0" fontId="14" fillId="3" borderId="2" xfId="0" applyFont="1" applyFill="1" applyBorder="1"/>
    <xf numFmtId="0" fontId="15" fillId="3" borderId="2" xfId="0" applyFont="1" applyFill="1" applyBorder="1"/>
    <xf numFmtId="0" fontId="14" fillId="3" borderId="5" xfId="0" applyFont="1" applyFill="1" applyBorder="1" applyAlignment="1">
      <alignment horizontal="center"/>
    </xf>
    <xf numFmtId="0" fontId="14" fillId="3" borderId="3" xfId="0" applyFont="1" applyFill="1" applyBorder="1" applyAlignment="1">
      <alignment horizontal="center"/>
    </xf>
    <xf numFmtId="0" fontId="21" fillId="3" borderId="5" xfId="0" applyFont="1" applyFill="1" applyBorder="1" applyAlignment="1">
      <alignment horizontal="center"/>
    </xf>
    <xf numFmtId="4" fontId="21" fillId="3" borderId="6" xfId="0" applyNumberFormat="1" applyFont="1" applyFill="1" applyBorder="1" applyAlignment="1">
      <alignment horizontal="right"/>
    </xf>
    <xf numFmtId="0" fontId="21" fillId="3" borderId="0" xfId="0" applyFont="1" applyFill="1"/>
    <xf numFmtId="0" fontId="21" fillId="3" borderId="3" xfId="0" applyFont="1" applyFill="1" applyBorder="1" applyAlignment="1">
      <alignment horizontal="center"/>
    </xf>
    <xf numFmtId="0" fontId="21" fillId="0" borderId="5" xfId="0" applyFont="1" applyBorder="1" applyAlignment="1">
      <alignment wrapText="1"/>
    </xf>
    <xf numFmtId="0" fontId="21" fillId="0" borderId="5" xfId="0" applyFont="1" applyBorder="1" applyAlignment="1">
      <alignment horizontal="center"/>
    </xf>
    <xf numFmtId="4" fontId="21" fillId="0" borderId="6" xfId="0" applyNumberFormat="1" applyFont="1" applyBorder="1" applyAlignment="1">
      <alignment horizontal="right"/>
    </xf>
    <xf numFmtId="0" fontId="21" fillId="0" borderId="3" xfId="0" applyFont="1" applyBorder="1"/>
    <xf numFmtId="0" fontId="21" fillId="0" borderId="3" xfId="0" applyFont="1" applyBorder="1" applyAlignment="1">
      <alignment horizontal="center"/>
    </xf>
    <xf numFmtId="0" fontId="21" fillId="3" borderId="2" xfId="0" applyFont="1" applyFill="1" applyBorder="1"/>
    <xf numFmtId="0" fontId="21" fillId="3" borderId="3" xfId="0" applyFont="1" applyFill="1" applyBorder="1"/>
    <xf numFmtId="0" fontId="15" fillId="0" borderId="3" xfId="0" applyFont="1" applyBorder="1"/>
    <xf numFmtId="0" fontId="21" fillId="3" borderId="8" xfId="0" applyFont="1" applyFill="1" applyBorder="1" applyAlignment="1">
      <alignment horizontal="center"/>
    </xf>
    <xf numFmtId="0" fontId="21" fillId="3" borderId="9" xfId="0" applyFont="1" applyFill="1" applyBorder="1" applyAlignment="1">
      <alignment horizontal="center"/>
    </xf>
    <xf numFmtId="0" fontId="21" fillId="0" borderId="7" xfId="0" applyFont="1" applyBorder="1" applyAlignment="1">
      <alignment horizontal="center"/>
    </xf>
    <xf numFmtId="0" fontId="21" fillId="0" borderId="9" xfId="0" applyFont="1" applyBorder="1" applyAlignment="1">
      <alignment horizontal="center"/>
    </xf>
    <xf numFmtId="0" fontId="17" fillId="3" borderId="2" xfId="0" applyFont="1" applyFill="1" applyBorder="1" applyAlignment="1">
      <alignment horizontal="left"/>
    </xf>
    <xf numFmtId="0" fontId="21" fillId="3" borderId="5" xfId="0" applyFont="1" applyFill="1" applyBorder="1"/>
    <xf numFmtId="0" fontId="21" fillId="3" borderId="2" xfId="0" applyFont="1" applyFill="1" applyBorder="1" applyAlignment="1">
      <alignment horizontal="center"/>
    </xf>
    <xf numFmtId="0" fontId="15" fillId="3" borderId="2" xfId="0" applyFont="1" applyFill="1" applyBorder="1" applyAlignment="1">
      <alignment wrapText="1"/>
    </xf>
    <xf numFmtId="0" fontId="21" fillId="3" borderId="2" xfId="0" applyFont="1" applyFill="1" applyBorder="1" applyAlignment="1">
      <alignment wrapText="1"/>
    </xf>
    <xf numFmtId="0" fontId="18" fillId="3" borderId="0" xfId="0" applyFont="1" applyFill="1"/>
    <xf numFmtId="0" fontId="21" fillId="3" borderId="3" xfId="0" applyFont="1" applyFill="1" applyBorder="1" applyAlignment="1">
      <alignment wrapText="1"/>
    </xf>
    <xf numFmtId="0" fontId="21" fillId="3" borderId="5" xfId="0" applyFont="1" applyFill="1" applyBorder="1" applyAlignment="1">
      <alignment wrapText="1"/>
    </xf>
    <xf numFmtId="0" fontId="24" fillId="3" borderId="0" xfId="0" applyFont="1" applyFill="1"/>
    <xf numFmtId="0" fontId="21" fillId="3" borderId="9" xfId="0" applyFont="1" applyFill="1" applyBorder="1"/>
    <xf numFmtId="0" fontId="15" fillId="3" borderId="3" xfId="0" applyFont="1" applyFill="1" applyBorder="1"/>
    <xf numFmtId="0" fontId="21" fillId="0" borderId="8" xfId="0" applyFont="1" applyBorder="1" applyAlignment="1">
      <alignment horizontal="center"/>
    </xf>
    <xf numFmtId="0" fontId="21" fillId="0" borderId="5" xfId="0" applyFont="1" applyBorder="1" applyAlignment="1">
      <alignment horizontal="left"/>
    </xf>
    <xf numFmtId="0" fontId="20" fillId="0" borderId="2" xfId="0" applyFont="1" applyBorder="1" applyAlignment="1">
      <alignment horizontal="left"/>
    </xf>
    <xf numFmtId="4" fontId="0" fillId="0" borderId="14" xfId="0" applyNumberFormat="1" applyBorder="1" applyAlignment="1">
      <alignment horizontal="right"/>
    </xf>
    <xf numFmtId="0" fontId="22" fillId="0" borderId="0" xfId="0" applyFont="1"/>
    <xf numFmtId="0" fontId="21" fillId="0" borderId="5" xfId="0" applyFont="1" applyBorder="1" applyAlignment="1">
      <alignment horizontal="center" vertical="top"/>
    </xf>
    <xf numFmtId="0" fontId="21" fillId="0" borderId="7" xfId="0" applyFont="1" applyBorder="1" applyAlignment="1">
      <alignment horizontal="center" vertical="top"/>
    </xf>
    <xf numFmtId="0" fontId="21" fillId="0" borderId="2" xfId="0" applyFont="1" applyBorder="1" applyAlignment="1">
      <alignment horizontal="center" vertical="top"/>
    </xf>
    <xf numFmtId="0" fontId="21" fillId="0" borderId="6" xfId="0" applyFont="1" applyBorder="1" applyAlignment="1">
      <alignment horizontal="center"/>
    </xf>
    <xf numFmtId="0" fontId="0" fillId="0" borderId="5" xfId="0" applyBorder="1" applyAlignment="1">
      <alignment horizontal="center"/>
    </xf>
    <xf numFmtId="0" fontId="21" fillId="0" borderId="3" xfId="0" applyFont="1" applyBorder="1" applyAlignment="1">
      <alignment wrapText="1"/>
    </xf>
    <xf numFmtId="0" fontId="21"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6" fillId="2" borderId="2" xfId="0" applyFont="1" applyFill="1" applyBorder="1"/>
    <xf numFmtId="0" fontId="0" fillId="2" borderId="15" xfId="0" applyFill="1" applyBorder="1" applyAlignment="1">
      <alignment horizontal="center"/>
    </xf>
    <xf numFmtId="4" fontId="18"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3" fillId="3" borderId="5" xfId="0" applyFont="1" applyFill="1" applyBorder="1" applyAlignment="1">
      <alignment horizontal="center"/>
    </xf>
    <xf numFmtId="4" fontId="13" fillId="3" borderId="6" xfId="0" applyNumberFormat="1" applyFont="1" applyFill="1" applyBorder="1" applyAlignment="1">
      <alignment horizontal="right"/>
    </xf>
    <xf numFmtId="0" fontId="13" fillId="3" borderId="0" xfId="0" applyFont="1" applyFill="1"/>
    <xf numFmtId="0" fontId="13" fillId="3" borderId="3" xfId="0" applyFont="1" applyFill="1" applyBorder="1" applyAlignment="1">
      <alignment horizontal="center"/>
    </xf>
    <xf numFmtId="0" fontId="25" fillId="0" borderId="5" xfId="0" applyFont="1" applyBorder="1" applyAlignment="1">
      <alignment wrapText="1"/>
    </xf>
    <xf numFmtId="0" fontId="22" fillId="3" borderId="5" xfId="0" applyFont="1" applyFill="1" applyBorder="1" applyAlignment="1">
      <alignment wrapText="1"/>
    </xf>
    <xf numFmtId="0" fontId="22" fillId="0" borderId="5" xfId="0" applyFont="1" applyBorder="1"/>
    <xf numFmtId="0" fontId="13" fillId="0" borderId="2" xfId="0" applyFont="1" applyBorder="1" applyAlignment="1">
      <alignment wrapText="1"/>
    </xf>
    <xf numFmtId="0" fontId="14" fillId="3" borderId="2" xfId="0" applyFont="1" applyFill="1" applyBorder="1" applyAlignment="1">
      <alignment horizontal="center"/>
    </xf>
    <xf numFmtId="0" fontId="26" fillId="0" borderId="5" xfId="0" applyFont="1" applyBorder="1"/>
    <xf numFmtId="0" fontId="18" fillId="3" borderId="5" xfId="0" applyFont="1" applyFill="1" applyBorder="1" applyAlignment="1">
      <alignment vertical="top"/>
    </xf>
    <xf numFmtId="0" fontId="19" fillId="0" borderId="2" xfId="0" applyFont="1" applyBorder="1" applyAlignment="1">
      <alignment wrapText="1"/>
    </xf>
    <xf numFmtId="0" fontId="27" fillId="3" borderId="0" xfId="0" applyFont="1" applyFill="1"/>
    <xf numFmtId="0" fontId="27" fillId="3" borderId="3" xfId="0" applyFont="1" applyFill="1" applyBorder="1" applyAlignment="1">
      <alignment wrapText="1"/>
    </xf>
    <xf numFmtId="0" fontId="13" fillId="0" borderId="2" xfId="0" applyFont="1" applyBorder="1"/>
    <xf numFmtId="0" fontId="20" fillId="3" borderId="5" xfId="0" applyFont="1" applyFill="1" applyBorder="1"/>
    <xf numFmtId="0" fontId="13" fillId="3" borderId="2" xfId="0" applyFont="1" applyFill="1" applyBorder="1" applyAlignment="1">
      <alignment horizontal="center"/>
    </xf>
    <xf numFmtId="0" fontId="20" fillId="3" borderId="3" xfId="0" applyFont="1" applyFill="1" applyBorder="1"/>
    <xf numFmtId="0" fontId="13" fillId="3" borderId="2" xfId="0" applyFont="1" applyFill="1" applyBorder="1" applyAlignment="1">
      <alignment wrapText="1"/>
    </xf>
    <xf numFmtId="0" fontId="13" fillId="0" borderId="8" xfId="0" applyFont="1" applyBorder="1" applyAlignment="1">
      <alignment horizontal="center"/>
    </xf>
    <xf numFmtId="4" fontId="13" fillId="0" borderId="6" xfId="0" applyNumberFormat="1" applyFont="1" applyBorder="1" applyAlignment="1">
      <alignment horizontal="right"/>
    </xf>
    <xf numFmtId="0" fontId="13" fillId="0" borderId="9" xfId="0" applyFont="1" applyBorder="1" applyAlignment="1">
      <alignment horizontal="center"/>
    </xf>
    <xf numFmtId="0" fontId="20" fillId="0" borderId="5" xfId="0" applyFont="1" applyBorder="1"/>
    <xf numFmtId="4" fontId="21" fillId="3" borderId="14" xfId="0" applyNumberFormat="1" applyFont="1" applyFill="1" applyBorder="1" applyAlignment="1">
      <alignment horizontal="right"/>
    </xf>
    <xf numFmtId="0" fontId="13" fillId="0" borderId="5" xfId="0" applyFont="1" applyBorder="1" applyAlignment="1">
      <alignment horizontal="center"/>
    </xf>
    <xf numFmtId="0" fontId="13" fillId="0" borderId="3" xfId="0" applyFont="1" applyBorder="1" applyAlignment="1">
      <alignment horizontal="center"/>
    </xf>
    <xf numFmtId="4" fontId="18" fillId="0" borderId="14" xfId="0" applyNumberFormat="1" applyFont="1" applyBorder="1" applyAlignment="1">
      <alignment horizontal="right"/>
    </xf>
    <xf numFmtId="0" fontId="18" fillId="0" borderId="7" xfId="0" applyFont="1" applyBorder="1"/>
    <xf numFmtId="0" fontId="21" fillId="0" borderId="8" xfId="0" applyFont="1" applyBorder="1" applyAlignment="1">
      <alignment wrapText="1"/>
    </xf>
    <xf numFmtId="0" fontId="20" fillId="0" borderId="8" xfId="0" applyFont="1" applyBorder="1"/>
    <xf numFmtId="0" fontId="17" fillId="0" borderId="8" xfId="0" applyFont="1" applyBorder="1" applyAlignment="1">
      <alignment horizontal="left"/>
    </xf>
    <xf numFmtId="0" fontId="17" fillId="0" borderId="8" xfId="0" applyFont="1" applyBorder="1"/>
    <xf numFmtId="0" fontId="18" fillId="7" borderId="3" xfId="0" applyFont="1" applyFill="1" applyBorder="1"/>
    <xf numFmtId="4" fontId="18" fillId="7" borderId="6" xfId="0" applyNumberFormat="1" applyFont="1" applyFill="1" applyBorder="1" applyAlignment="1">
      <alignment horizontal="right"/>
    </xf>
    <xf numFmtId="0" fontId="28" fillId="3" borderId="0" xfId="0" applyFont="1" applyFill="1"/>
    <xf numFmtId="4" fontId="29" fillId="3" borderId="6" xfId="0" applyNumberFormat="1" applyFont="1" applyFill="1" applyBorder="1" applyAlignment="1">
      <alignment horizontal="right"/>
    </xf>
    <xf numFmtId="0" fontId="29" fillId="3" borderId="0" xfId="0" applyFont="1" applyFill="1"/>
    <xf numFmtId="0" fontId="30" fillId="3" borderId="0" xfId="0" applyFont="1" applyFill="1"/>
    <xf numFmtId="0" fontId="30" fillId="0" borderId="0" xfId="0" applyFont="1"/>
    <xf numFmtId="0" fontId="29" fillId="0" borderId="0" xfId="0" applyFont="1"/>
    <xf numFmtId="0" fontId="18" fillId="7" borderId="5" xfId="0" applyFont="1" applyFill="1" applyBorder="1" applyAlignment="1">
      <alignment wrapText="1"/>
    </xf>
    <xf numFmtId="0" fontId="0" fillId="7" borderId="0" xfId="0" applyFill="1"/>
    <xf numFmtId="0" fontId="29" fillId="7" borderId="0" xfId="0" applyFont="1" applyFill="1"/>
    <xf numFmtId="0" fontId="14" fillId="7" borderId="0" xfId="0" applyFont="1" applyFill="1"/>
    <xf numFmtId="0" fontId="19" fillId="0" borderId="5" xfId="0" applyFont="1" applyBorder="1" applyAlignment="1">
      <alignment wrapText="1"/>
    </xf>
    <xf numFmtId="0" fontId="14" fillId="7" borderId="3" xfId="0" applyFont="1" applyFill="1" applyBorder="1"/>
    <xf numFmtId="0" fontId="18" fillId="7" borderId="5" xfId="0" applyFont="1" applyFill="1" applyBorder="1" applyAlignment="1">
      <alignment horizontal="center"/>
    </xf>
    <xf numFmtId="0" fontId="18" fillId="7" borderId="3" xfId="0" applyFont="1" applyFill="1" applyBorder="1" applyAlignment="1">
      <alignment horizontal="center"/>
    </xf>
    <xf numFmtId="0" fontId="18" fillId="7" borderId="9" xfId="0" applyFont="1" applyFill="1" applyBorder="1" applyAlignment="1">
      <alignment horizontal="center"/>
    </xf>
    <xf numFmtId="0" fontId="14" fillId="7" borderId="9" xfId="0" applyFont="1" applyFill="1" applyBorder="1" applyAlignment="1">
      <alignment horizontal="center"/>
    </xf>
    <xf numFmtId="0" fontId="21" fillId="7" borderId="2" xfId="0" applyFont="1" applyFill="1" applyBorder="1"/>
    <xf numFmtId="0" fontId="14" fillId="7" borderId="5" xfId="0" applyFont="1" applyFill="1" applyBorder="1"/>
    <xf numFmtId="0" fontId="14" fillId="0" borderId="13" xfId="0" applyFont="1" applyBorder="1" applyAlignment="1">
      <alignment horizontal="center"/>
    </xf>
    <xf numFmtId="0" fontId="14" fillId="0" borderId="1" xfId="0" applyFont="1" applyBorder="1" applyAlignment="1">
      <alignment horizontal="center"/>
    </xf>
    <xf numFmtId="0" fontId="14" fillId="7" borderId="5" xfId="0" applyFont="1" applyFill="1" applyBorder="1" applyAlignment="1">
      <alignment horizontal="center" vertical="top"/>
    </xf>
    <xf numFmtId="0" fontId="17" fillId="7" borderId="3" xfId="0" applyFont="1" applyFill="1" applyBorder="1"/>
    <xf numFmtId="0" fontId="14" fillId="7" borderId="3" xfId="0" applyFont="1" applyFill="1" applyBorder="1" applyAlignment="1">
      <alignment horizontal="center"/>
    </xf>
    <xf numFmtId="0" fontId="21" fillId="7" borderId="5" xfId="0" applyFont="1" applyFill="1" applyBorder="1"/>
    <xf numFmtId="0" fontId="14" fillId="7" borderId="8" xfId="0" applyFont="1" applyFill="1" applyBorder="1" applyAlignment="1">
      <alignment horizontal="center"/>
    </xf>
    <xf numFmtId="0" fontId="17" fillId="7" borderId="2" xfId="0" applyFont="1" applyFill="1" applyBorder="1"/>
    <xf numFmtId="0" fontId="21" fillId="0" borderId="2" xfId="0" applyFont="1" applyBorder="1" applyAlignment="1">
      <alignment wrapText="1"/>
    </xf>
    <xf numFmtId="0" fontId="0" fillId="0" borderId="9" xfId="0" applyBorder="1"/>
    <xf numFmtId="0" fontId="17" fillId="0" borderId="9" xfId="0" applyFont="1" applyBorder="1"/>
    <xf numFmtId="0" fontId="21" fillId="7" borderId="8" xfId="0" applyFont="1" applyFill="1" applyBorder="1" applyAlignment="1">
      <alignment horizontal="center"/>
    </xf>
    <xf numFmtId="0" fontId="21" fillId="7" borderId="9" xfId="0" applyFont="1" applyFill="1" applyBorder="1" applyAlignment="1">
      <alignment horizontal="center"/>
    </xf>
    <xf numFmtId="0" fontId="21" fillId="7" borderId="3" xfId="0" applyFont="1" applyFill="1" applyBorder="1" applyAlignment="1">
      <alignment wrapText="1"/>
    </xf>
    <xf numFmtId="0" fontId="14" fillId="0" borderId="2" xfId="0" applyFont="1" applyBorder="1" applyAlignment="1">
      <alignment wrapText="1"/>
    </xf>
    <xf numFmtId="0" fontId="14" fillId="7" borderId="5" xfId="0" applyFont="1" applyFill="1" applyBorder="1" applyAlignment="1">
      <alignment horizontal="center"/>
    </xf>
    <xf numFmtId="0" fontId="0" fillId="0" borderId="0" xfId="0" applyAlignment="1">
      <alignment horizontal="left"/>
    </xf>
    <xf numFmtId="0" fontId="31" fillId="3" borderId="0" xfId="0" applyFont="1" applyFill="1"/>
    <xf numFmtId="4" fontId="14" fillId="7" borderId="6" xfId="0" applyNumberFormat="1" applyFont="1" applyFill="1" applyBorder="1" applyAlignment="1">
      <alignment horizontal="right"/>
    </xf>
    <xf numFmtId="0" fontId="13" fillId="7" borderId="5" xfId="0" applyFont="1" applyFill="1" applyBorder="1" applyAlignment="1">
      <alignment horizontal="left"/>
    </xf>
    <xf numFmtId="0" fontId="32" fillId="0" borderId="0" xfId="0" applyFont="1"/>
    <xf numFmtId="0" fontId="18" fillId="3" borderId="13" xfId="0" applyFont="1" applyFill="1" applyBorder="1" applyAlignment="1">
      <alignment horizontal="center"/>
    </xf>
    <xf numFmtId="0" fontId="18" fillId="3" borderId="1" xfId="0" applyFont="1" applyFill="1" applyBorder="1" applyAlignment="1">
      <alignment horizontal="center"/>
    </xf>
    <xf numFmtId="0" fontId="18" fillId="7" borderId="8" xfId="0" applyFont="1" applyFill="1" applyBorder="1" applyAlignment="1">
      <alignment wrapText="1"/>
    </xf>
    <xf numFmtId="4" fontId="0" fillId="7" borderId="6" xfId="0" applyNumberFormat="1" applyFill="1" applyBorder="1" applyAlignment="1">
      <alignment horizontal="right"/>
    </xf>
    <xf numFmtId="0" fontId="21" fillId="7" borderId="0" xfId="0" applyFont="1" applyFill="1"/>
    <xf numFmtId="0" fontId="23" fillId="7" borderId="0" xfId="0" applyFont="1" applyFill="1"/>
    <xf numFmtId="0" fontId="18" fillId="7" borderId="0" xfId="0" applyFont="1" applyFill="1"/>
    <xf numFmtId="0" fontId="18" fillId="7" borderId="3" xfId="0" applyFont="1" applyFill="1" applyBorder="1" applyAlignment="1">
      <alignment wrapText="1"/>
    </xf>
    <xf numFmtId="0" fontId="0" fillId="0" borderId="5" xfId="0" applyBorder="1"/>
    <xf numFmtId="4" fontId="0" fillId="0" borderId="0" xfId="0" applyNumberFormat="1"/>
    <xf numFmtId="0" fontId="30" fillId="7" borderId="0" xfId="0" applyFont="1" applyFill="1"/>
    <xf numFmtId="4" fontId="18" fillId="0" borderId="16" xfId="0" applyNumberFormat="1" applyFont="1" applyBorder="1" applyAlignment="1">
      <alignment horizontal="right"/>
    </xf>
    <xf numFmtId="4" fontId="18" fillId="0" borderId="5" xfId="0" applyNumberFormat="1" applyFont="1" applyBorder="1" applyAlignment="1">
      <alignment horizontal="right"/>
    </xf>
    <xf numFmtId="4" fontId="18" fillId="7" borderId="5" xfId="0" applyNumberFormat="1" applyFont="1" applyFill="1" applyBorder="1" applyAlignment="1">
      <alignment horizontal="right"/>
    </xf>
    <xf numFmtId="0" fontId="14" fillId="3" borderId="5" xfId="0" applyFont="1" applyFill="1" applyBorder="1" applyAlignment="1">
      <alignment horizontal="left" vertical="center" wrapText="1"/>
    </xf>
    <xf numFmtId="0" fontId="17" fillId="0" borderId="2" xfId="0" applyFont="1" applyBorder="1" applyAlignment="1">
      <alignment wrapText="1"/>
    </xf>
    <xf numFmtId="0" fontId="19" fillId="3" borderId="3" xfId="0" applyFont="1" applyFill="1" applyBorder="1"/>
    <xf numFmtId="4" fontId="14" fillId="0" borderId="6" xfId="0" applyNumberFormat="1" applyFont="1" applyBorder="1"/>
    <xf numFmtId="4" fontId="18" fillId="7" borderId="6" xfId="0" applyNumberFormat="1" applyFont="1" applyFill="1" applyBorder="1"/>
    <xf numFmtId="0" fontId="33" fillId="7" borderId="3" xfId="0" applyFont="1" applyFill="1" applyBorder="1" applyAlignment="1">
      <alignment horizontal="justify"/>
    </xf>
    <xf numFmtId="0" fontId="14" fillId="7" borderId="2" xfId="0" applyFont="1" applyFill="1" applyBorder="1" applyAlignment="1">
      <alignment wrapText="1"/>
    </xf>
    <xf numFmtId="4" fontId="14" fillId="7" borderId="6" xfId="0" applyNumberFormat="1" applyFont="1" applyFill="1" applyBorder="1"/>
    <xf numFmtId="0" fontId="32" fillId="7" borderId="3" xfId="0" applyFont="1" applyFill="1" applyBorder="1" applyAlignment="1">
      <alignment horizontal="justify"/>
    </xf>
    <xf numFmtId="4" fontId="18" fillId="0" borderId="6" xfId="0" applyNumberFormat="1" applyFont="1" applyBorder="1"/>
    <xf numFmtId="0" fontId="14" fillId="7" borderId="2" xfId="0" applyFont="1" applyFill="1" applyBorder="1"/>
    <xf numFmtId="0" fontId="14" fillId="0" borderId="2" xfId="0" applyFont="1" applyBorder="1" applyAlignment="1">
      <alignment horizontal="left" vertical="top" wrapText="1"/>
    </xf>
    <xf numFmtId="0" fontId="19" fillId="7" borderId="3" xfId="0" applyFont="1" applyFill="1" applyBorder="1"/>
    <xf numFmtId="4" fontId="14" fillId="0" borderId="5" xfId="0" applyNumberFormat="1" applyFont="1" applyBorder="1" applyAlignment="1">
      <alignment horizontal="right"/>
    </xf>
    <xf numFmtId="4" fontId="14" fillId="7" borderId="14" xfId="0" applyNumberFormat="1" applyFont="1" applyFill="1" applyBorder="1" applyAlignment="1">
      <alignment horizontal="right"/>
    </xf>
    <xf numFmtId="4" fontId="14" fillId="3" borderId="14" xfId="0" applyNumberFormat="1" applyFont="1" applyFill="1" applyBorder="1" applyAlignment="1">
      <alignment horizontal="right"/>
    </xf>
    <xf numFmtId="4" fontId="14" fillId="0" borderId="3" xfId="0" applyNumberFormat="1" applyFont="1" applyBorder="1" applyAlignment="1">
      <alignment horizontal="right"/>
    </xf>
    <xf numFmtId="0" fontId="21" fillId="3" borderId="5" xfId="6" applyFont="1" applyFill="1" applyBorder="1" applyAlignment="1">
      <alignment wrapText="1"/>
    </xf>
    <xf numFmtId="0" fontId="15" fillId="7" borderId="5" xfId="0" applyFont="1" applyFill="1" applyBorder="1"/>
    <xf numFmtId="0" fontId="21" fillId="7" borderId="5" xfId="6" applyFont="1" applyFill="1" applyBorder="1"/>
    <xf numFmtId="4" fontId="13" fillId="3" borderId="3" xfId="0" applyNumberFormat="1" applyFont="1" applyFill="1" applyBorder="1" applyAlignment="1">
      <alignment horizontal="right"/>
    </xf>
    <xf numFmtId="0" fontId="21" fillId="0" borderId="5" xfId="6" applyFont="1" applyBorder="1"/>
    <xf numFmtId="0" fontId="29" fillId="0" borderId="0" xfId="0" applyFont="1" applyAlignment="1">
      <alignment horizontal="center" vertical="center"/>
    </xf>
    <xf numFmtId="0" fontId="14" fillId="3" borderId="5" xfId="0" applyFont="1" applyFill="1" applyBorder="1" applyAlignment="1">
      <alignment wrapText="1"/>
    </xf>
    <xf numFmtId="0" fontId="14" fillId="7" borderId="2" xfId="0" applyFont="1" applyFill="1" applyBorder="1" applyAlignment="1">
      <alignment horizontal="center"/>
    </xf>
    <xf numFmtId="0" fontId="25" fillId="7" borderId="2" xfId="8" applyFont="1" applyFill="1" applyBorder="1" applyAlignment="1">
      <alignment wrapText="1"/>
    </xf>
    <xf numFmtId="0" fontId="25" fillId="7" borderId="3" xfId="8" applyFont="1" applyFill="1" applyBorder="1" applyAlignment="1">
      <alignment wrapText="1"/>
    </xf>
    <xf numFmtId="0" fontId="14" fillId="7" borderId="0" xfId="0" applyFont="1" applyFill="1" applyAlignment="1">
      <alignment vertical="center"/>
    </xf>
    <xf numFmtId="4" fontId="29" fillId="7" borderId="6" xfId="0" applyNumberFormat="1" applyFont="1" applyFill="1" applyBorder="1" applyAlignment="1">
      <alignment horizontal="right"/>
    </xf>
    <xf numFmtId="0" fontId="14" fillId="7" borderId="3" xfId="0" applyFont="1" applyFill="1" applyBorder="1" applyAlignment="1">
      <alignment horizontal="left" vertical="center" wrapText="1"/>
    </xf>
    <xf numFmtId="4" fontId="14" fillId="7" borderId="5" xfId="0" applyNumberFormat="1" applyFont="1" applyFill="1" applyBorder="1" applyAlignment="1">
      <alignment horizontal="right"/>
    </xf>
    <xf numFmtId="0" fontId="14" fillId="7" borderId="3" xfId="0" applyFont="1" applyFill="1" applyBorder="1" applyAlignment="1">
      <alignment horizontal="left" vertical="top" wrapText="1"/>
    </xf>
    <xf numFmtId="0" fontId="21" fillId="7" borderId="3" xfId="0" applyFont="1" applyFill="1" applyBorder="1" applyAlignment="1">
      <alignment horizontal="center"/>
    </xf>
    <xf numFmtId="0" fontId="19" fillId="7" borderId="5" xfId="0" applyFont="1" applyFill="1" applyBorder="1" applyAlignment="1">
      <alignment wrapText="1"/>
    </xf>
    <xf numFmtId="4" fontId="21" fillId="7" borderId="6" xfId="0" applyNumberFormat="1" applyFont="1" applyFill="1" applyBorder="1" applyAlignment="1">
      <alignment horizontal="right"/>
    </xf>
    <xf numFmtId="0" fontId="15" fillId="0" borderId="5" xfId="6" applyFont="1" applyBorder="1"/>
    <xf numFmtId="0" fontId="29" fillId="7" borderId="0" xfId="0" applyFont="1" applyFill="1" applyAlignment="1">
      <alignment vertical="center"/>
    </xf>
    <xf numFmtId="0" fontId="37" fillId="7" borderId="8" xfId="9" applyFont="1" applyFill="1" applyBorder="1"/>
    <xf numFmtId="0" fontId="37" fillId="7" borderId="2" xfId="0" applyFont="1" applyFill="1" applyBorder="1" applyAlignment="1">
      <alignment wrapText="1"/>
    </xf>
    <xf numFmtId="0" fontId="17" fillId="0" borderId="5" xfId="0" applyFont="1" applyBorder="1" applyAlignment="1">
      <alignment wrapText="1"/>
    </xf>
    <xf numFmtId="0" fontId="17" fillId="7" borderId="3" xfId="0" applyFont="1" applyFill="1" applyBorder="1" applyAlignment="1">
      <alignment wrapText="1"/>
    </xf>
    <xf numFmtId="4" fontId="14" fillId="0" borderId="5" xfId="0" applyNumberFormat="1" applyFont="1" applyBorder="1" applyAlignment="1">
      <alignment horizontal="center"/>
    </xf>
    <xf numFmtId="0" fontId="25" fillId="7" borderId="5" xfId="9" applyFont="1" applyFill="1" applyBorder="1" applyAlignment="1">
      <alignment wrapText="1"/>
    </xf>
    <xf numFmtId="0" fontId="14" fillId="7" borderId="3" xfId="0" applyFont="1" applyFill="1" applyBorder="1" applyAlignment="1">
      <alignment vertical="top" wrapText="1"/>
    </xf>
    <xf numFmtId="0" fontId="14" fillId="7" borderId="5" xfId="8" applyFill="1" applyBorder="1" applyAlignment="1">
      <alignment horizontal="left" wrapText="1"/>
    </xf>
    <xf numFmtId="0" fontId="18" fillId="7" borderId="13" xfId="0" applyFont="1" applyFill="1" applyBorder="1" applyAlignment="1">
      <alignment horizontal="center"/>
    </xf>
    <xf numFmtId="0" fontId="25" fillId="0" borderId="3" xfId="0" applyFont="1" applyBorder="1" applyAlignment="1">
      <alignment wrapText="1"/>
    </xf>
    <xf numFmtId="0" fontId="18" fillId="7" borderId="1" xfId="0" applyFont="1" applyFill="1" applyBorder="1" applyAlignment="1">
      <alignment horizontal="center"/>
    </xf>
    <xf numFmtId="0" fontId="18" fillId="7" borderId="2" xfId="0" applyFont="1" applyFill="1" applyBorder="1" applyAlignment="1">
      <alignment horizontal="center"/>
    </xf>
    <xf numFmtId="2" fontId="36" fillId="7" borderId="3" xfId="0" applyNumberFormat="1" applyFont="1" applyFill="1" applyBorder="1"/>
    <xf numFmtId="0" fontId="13" fillId="7" borderId="2" xfId="0" applyFont="1" applyFill="1" applyBorder="1"/>
    <xf numFmtId="0" fontId="17" fillId="7" borderId="5" xfId="0" applyFont="1" applyFill="1" applyBorder="1" applyAlignment="1">
      <alignment horizontal="left"/>
    </xf>
    <xf numFmtId="0" fontId="17" fillId="7" borderId="3" xfId="0" applyFont="1" applyFill="1" applyBorder="1" applyAlignment="1">
      <alignment horizontal="left"/>
    </xf>
    <xf numFmtId="0" fontId="21" fillId="7" borderId="5" xfId="0" applyFont="1" applyFill="1" applyBorder="1" applyAlignment="1">
      <alignment wrapText="1"/>
    </xf>
    <xf numFmtId="0" fontId="21" fillId="7" borderId="2" xfId="0" applyFont="1" applyFill="1" applyBorder="1" applyAlignment="1">
      <alignment horizontal="center"/>
    </xf>
    <xf numFmtId="0" fontId="14" fillId="7" borderId="13" xfId="0" applyFont="1" applyFill="1" applyBorder="1" applyAlignment="1">
      <alignment horizontal="center"/>
    </xf>
    <xf numFmtId="0" fontId="21" fillId="7" borderId="3" xfId="0" applyFont="1" applyFill="1" applyBorder="1"/>
    <xf numFmtId="0" fontId="27" fillId="7" borderId="0" xfId="0" applyFont="1" applyFill="1"/>
    <xf numFmtId="0" fontId="13" fillId="3" borderId="2" xfId="0" applyFont="1" applyFill="1" applyBorder="1"/>
    <xf numFmtId="0" fontId="40" fillId="7" borderId="3" xfId="4" applyFont="1" applyFill="1" applyBorder="1" applyAlignment="1">
      <alignment wrapText="1"/>
    </xf>
    <xf numFmtId="0" fontId="32" fillId="0" borderId="3" xfId="0" applyFont="1" applyBorder="1"/>
    <xf numFmtId="4" fontId="37" fillId="7" borderId="5" xfId="9" applyNumberFormat="1" applyFont="1" applyFill="1" applyBorder="1"/>
    <xf numFmtId="0" fontId="17" fillId="7" borderId="3" xfId="0" applyFont="1" applyFill="1" applyBorder="1" applyAlignment="1">
      <alignment horizontal="center" vertical="center" wrapText="1"/>
    </xf>
    <xf numFmtId="4" fontId="32" fillId="7" borderId="6" xfId="0" applyNumberFormat="1" applyFont="1" applyFill="1" applyBorder="1"/>
    <xf numFmtId="0" fontId="14" fillId="7" borderId="5" xfId="0" applyFont="1" applyFill="1" applyBorder="1" applyAlignment="1">
      <alignment horizontal="left" vertical="center" wrapText="1"/>
    </xf>
    <xf numFmtId="0" fontId="35" fillId="7" borderId="5" xfId="0" applyFont="1" applyFill="1" applyBorder="1" applyAlignment="1">
      <alignment wrapText="1"/>
    </xf>
    <xf numFmtId="0" fontId="14" fillId="7" borderId="5" xfId="0" applyFont="1" applyFill="1" applyBorder="1" applyAlignment="1">
      <alignment horizontal="left" vertical="top" wrapText="1"/>
    </xf>
    <xf numFmtId="0" fontId="18" fillId="7" borderId="8" xfId="0" applyFont="1" applyFill="1" applyBorder="1" applyAlignment="1">
      <alignment horizontal="center"/>
    </xf>
    <xf numFmtId="0" fontId="14" fillId="7" borderId="5" xfId="9" applyFill="1" applyBorder="1" applyAlignment="1">
      <alignment vertical="center" wrapText="1"/>
    </xf>
    <xf numFmtId="4" fontId="14" fillId="0" borderId="14" xfId="0" applyNumberFormat="1" applyFont="1" applyBorder="1" applyAlignment="1">
      <alignment horizontal="right"/>
    </xf>
    <xf numFmtId="0" fontId="18" fillId="7" borderId="5" xfId="9" applyFont="1" applyFill="1" applyBorder="1" applyAlignment="1">
      <alignment horizontal="left" wrapText="1"/>
    </xf>
    <xf numFmtId="0" fontId="14" fillId="7" borderId="5" xfId="9" applyFill="1" applyBorder="1" applyAlignment="1">
      <alignment horizontal="left" wrapText="1"/>
    </xf>
    <xf numFmtId="0" fontId="19" fillId="0" borderId="3" xfId="0" applyFont="1" applyBorder="1" applyAlignment="1">
      <alignment wrapText="1"/>
    </xf>
    <xf numFmtId="0" fontId="18" fillId="7" borderId="2" xfId="0" applyFont="1" applyFill="1" applyBorder="1" applyAlignment="1">
      <alignment horizontal="left" vertical="top" wrapText="1"/>
    </xf>
    <xf numFmtId="0" fontId="14" fillId="7" borderId="5" xfId="8" applyFill="1" applyBorder="1" applyAlignment="1">
      <alignment wrapText="1"/>
    </xf>
    <xf numFmtId="0" fontId="14" fillId="7" borderId="5" xfId="0" applyFont="1" applyFill="1" applyBorder="1" applyAlignment="1">
      <alignment vertical="center" wrapText="1"/>
    </xf>
    <xf numFmtId="0" fontId="14" fillId="0" borderId="5" xfId="0" applyFont="1" applyBorder="1" applyAlignment="1">
      <alignment vertical="center" wrapText="1"/>
    </xf>
    <xf numFmtId="0" fontId="17" fillId="7" borderId="5" xfId="0" applyFont="1" applyFill="1" applyBorder="1" applyAlignment="1">
      <alignment wrapText="1"/>
    </xf>
    <xf numFmtId="0" fontId="20" fillId="7" borderId="3" xfId="0" applyFont="1" applyFill="1" applyBorder="1"/>
    <xf numFmtId="2" fontId="14" fillId="7" borderId="3" xfId="0" applyNumberFormat="1" applyFont="1" applyFill="1" applyBorder="1" applyAlignment="1">
      <alignment vertical="center" wrapText="1"/>
    </xf>
    <xf numFmtId="0" fontId="14" fillId="0" borderId="0" xfId="0" applyFont="1" applyAlignment="1">
      <alignment horizontal="left" vertical="center"/>
    </xf>
    <xf numFmtId="0" fontId="13" fillId="0" borderId="0" xfId="0" applyFont="1" applyAlignment="1">
      <alignment horizontal="center"/>
    </xf>
    <xf numFmtId="0" fontId="14" fillId="7" borderId="5" xfId="0" applyFont="1" applyFill="1" applyBorder="1" applyAlignment="1">
      <alignment wrapText="1"/>
    </xf>
    <xf numFmtId="0" fontId="14" fillId="7" borderId="3" xfId="0" applyFont="1" applyFill="1" applyBorder="1" applyAlignment="1">
      <alignment wrapText="1"/>
    </xf>
    <xf numFmtId="0" fontId="21" fillId="6" borderId="18" xfId="0" applyFont="1" applyFill="1" applyBorder="1" applyAlignment="1">
      <alignment horizontal="left"/>
    </xf>
    <xf numFmtId="0" fontId="21" fillId="6" borderId="12" xfId="0" applyFont="1" applyFill="1" applyBorder="1" applyAlignment="1">
      <alignment horizontal="left"/>
    </xf>
    <xf numFmtId="0" fontId="21" fillId="6" borderId="14" xfId="0" applyFont="1" applyFill="1" applyBorder="1" applyAlignment="1">
      <alignment horizontal="left"/>
    </xf>
    <xf numFmtId="0" fontId="18" fillId="3" borderId="5" xfId="0" applyFont="1" applyFill="1" applyBorder="1" applyAlignment="1">
      <alignment wrapText="1"/>
    </xf>
    <xf numFmtId="0" fontId="14" fillId="0" borderId="3" xfId="0" applyFont="1" applyBorder="1" applyAlignment="1">
      <alignment horizontal="left" vertical="top" wrapText="1"/>
    </xf>
    <xf numFmtId="0" fontId="18" fillId="0" borderId="3" xfId="0" applyFont="1" applyBorder="1" applyAlignment="1">
      <alignment horizontal="left" vertical="top" wrapText="1"/>
    </xf>
    <xf numFmtId="0" fontId="14" fillId="0" borderId="0" xfId="0" applyFont="1" applyAlignment="1">
      <alignment horizontal="center"/>
    </xf>
    <xf numFmtId="0" fontId="18" fillId="0" borderId="0" xfId="0" applyFont="1" applyAlignment="1">
      <alignment horizontal="center"/>
    </xf>
    <xf numFmtId="0" fontId="18" fillId="7" borderId="5"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8" fillId="7" borderId="2" xfId="1" applyFont="1" applyFill="1" applyBorder="1" applyAlignment="1">
      <alignment horizontal="left" vertical="top" wrapText="1"/>
    </xf>
    <xf numFmtId="0" fontId="18" fillId="7" borderId="2" xfId="0" applyFont="1" applyFill="1" applyBorder="1" applyAlignment="1">
      <alignment wrapText="1"/>
    </xf>
    <xf numFmtId="0" fontId="18" fillId="7" borderId="5" xfId="0" applyFont="1" applyFill="1" applyBorder="1" applyAlignment="1">
      <alignment vertical="center" wrapText="1"/>
    </xf>
    <xf numFmtId="0" fontId="19" fillId="7" borderId="3" xfId="0" applyFont="1" applyFill="1" applyBorder="1" applyAlignment="1">
      <alignment wrapText="1"/>
    </xf>
    <xf numFmtId="0" fontId="18" fillId="7" borderId="5" xfId="1" applyFont="1" applyFill="1" applyBorder="1" applyAlignment="1">
      <alignment horizontal="left" vertical="center" wrapText="1"/>
    </xf>
    <xf numFmtId="0" fontId="36" fillId="7" borderId="3" xfId="8" applyFont="1" applyFill="1" applyBorder="1" applyAlignment="1">
      <alignment wrapText="1"/>
    </xf>
    <xf numFmtId="0" fontId="18" fillId="0" borderId="5" xfId="0" applyFont="1" applyBorder="1" applyAlignment="1">
      <alignment horizontal="left" vertical="top" wrapText="1"/>
    </xf>
    <xf numFmtId="0" fontId="32" fillId="7" borderId="3" xfId="0" applyFont="1" applyFill="1" applyBorder="1"/>
    <xf numFmtId="0" fontId="37" fillId="7" borderId="2" xfId="0" applyFont="1" applyFill="1" applyBorder="1" applyAlignment="1">
      <alignment vertical="center" wrapText="1"/>
    </xf>
    <xf numFmtId="0" fontId="14" fillId="7" borderId="2" xfId="0" applyFont="1" applyFill="1" applyBorder="1" applyAlignment="1">
      <alignment vertical="top" wrapText="1"/>
    </xf>
    <xf numFmtId="0" fontId="14" fillId="7" borderId="5" xfId="9" applyFill="1" applyBorder="1" applyAlignment="1">
      <alignment horizontal="left" vertical="center" wrapText="1"/>
    </xf>
    <xf numFmtId="0" fontId="35" fillId="7" borderId="5" xfId="9" applyFont="1" applyFill="1" applyBorder="1" applyAlignment="1">
      <alignment vertical="center" wrapText="1"/>
    </xf>
    <xf numFmtId="0" fontId="35" fillId="7" borderId="5" xfId="9" applyFont="1" applyFill="1" applyBorder="1" applyAlignment="1">
      <alignment wrapText="1"/>
    </xf>
    <xf numFmtId="0" fontId="18" fillId="7" borderId="5" xfId="0" applyFont="1" applyFill="1" applyBorder="1"/>
    <xf numFmtId="0" fontId="21" fillId="7" borderId="5" xfId="0" applyFont="1" applyFill="1" applyBorder="1" applyAlignment="1">
      <alignment horizontal="center"/>
    </xf>
    <xf numFmtId="0" fontId="18" fillId="7" borderId="2" xfId="0" applyFont="1" applyFill="1" applyBorder="1"/>
    <xf numFmtId="4" fontId="35" fillId="7" borderId="2" xfId="9" applyNumberFormat="1" applyFont="1" applyFill="1" applyBorder="1"/>
    <xf numFmtId="0" fontId="13" fillId="7" borderId="3" xfId="0" applyFont="1" applyFill="1" applyBorder="1"/>
    <xf numFmtId="4" fontId="35" fillId="7" borderId="5" xfId="9" applyNumberFormat="1" applyFont="1" applyFill="1" applyBorder="1" applyAlignment="1">
      <alignment vertical="top"/>
    </xf>
    <xf numFmtId="0" fontId="14" fillId="7" borderId="2" xfId="1" applyFill="1" applyBorder="1" applyAlignment="1">
      <alignment horizontal="left" vertical="center" wrapText="1"/>
    </xf>
    <xf numFmtId="0" fontId="18" fillId="7" borderId="3" xfId="0" applyFont="1" applyFill="1" applyBorder="1" applyAlignment="1">
      <alignment horizontal="left" vertical="top" wrapText="1"/>
    </xf>
    <xf numFmtId="0" fontId="14" fillId="7" borderId="5" xfId="4" applyFill="1" applyBorder="1" applyAlignment="1">
      <alignment vertical="center" wrapText="1"/>
    </xf>
    <xf numFmtId="0" fontId="14" fillId="7" borderId="1" xfId="0" applyFont="1" applyFill="1" applyBorder="1" applyAlignment="1">
      <alignment horizontal="center"/>
    </xf>
    <xf numFmtId="4" fontId="35" fillId="7" borderId="5" xfId="9" applyNumberFormat="1" applyFont="1" applyFill="1" applyBorder="1" applyAlignment="1">
      <alignment vertical="center" wrapText="1"/>
    </xf>
    <xf numFmtId="0" fontId="15" fillId="7" borderId="3" xfId="0" applyFont="1" applyFill="1" applyBorder="1"/>
    <xf numFmtId="0" fontId="14" fillId="7" borderId="0" xfId="0" applyFont="1" applyFill="1" applyAlignment="1">
      <alignment horizontal="center" vertical="center"/>
    </xf>
    <xf numFmtId="0" fontId="25" fillId="7" borderId="5" xfId="8" applyFont="1" applyFill="1" applyBorder="1" applyAlignment="1">
      <alignment vertical="center" wrapText="1"/>
    </xf>
    <xf numFmtId="0" fontId="15" fillId="7" borderId="2" xfId="0" applyFont="1" applyFill="1" applyBorder="1"/>
    <xf numFmtId="0" fontId="43" fillId="0" borderId="5" xfId="19" applyFont="1" applyBorder="1" applyAlignment="1">
      <alignment vertical="center" wrapText="1"/>
    </xf>
    <xf numFmtId="0" fontId="39" fillId="7" borderId="5" xfId="20" applyFont="1" applyFill="1" applyBorder="1" applyAlignment="1">
      <alignment vertical="center"/>
    </xf>
    <xf numFmtId="0" fontId="35" fillId="7" borderId="5" xfId="20" applyFont="1" applyFill="1" applyBorder="1" applyAlignment="1">
      <alignment vertical="center"/>
    </xf>
    <xf numFmtId="44" fontId="30" fillId="3" borderId="0" xfId="24" applyFont="1" applyFill="1"/>
    <xf numFmtId="0" fontId="37" fillId="7" borderId="5" xfId="25" applyFont="1" applyFill="1" applyBorder="1" applyAlignment="1">
      <alignment wrapText="1"/>
    </xf>
    <xf numFmtId="0" fontId="37" fillId="7" borderId="2" xfId="20" applyFont="1" applyFill="1" applyBorder="1"/>
    <xf numFmtId="0" fontId="38" fillId="7" borderId="2" xfId="20" applyFont="1" applyFill="1" applyBorder="1" applyAlignment="1">
      <alignment vertical="center"/>
    </xf>
    <xf numFmtId="0" fontId="14" fillId="7" borderId="5" xfId="20" applyFont="1" applyFill="1" applyBorder="1" applyAlignment="1">
      <alignment vertical="center" wrapText="1"/>
    </xf>
    <xf numFmtId="0" fontId="14" fillId="7" borderId="2" xfId="8" applyFill="1" applyBorder="1" applyAlignment="1">
      <alignment wrapText="1"/>
    </xf>
    <xf numFmtId="2" fontId="38" fillId="7" borderId="5" xfId="20" applyNumberFormat="1" applyFont="1" applyFill="1" applyBorder="1"/>
    <xf numFmtId="0" fontId="37" fillId="7" borderId="5" xfId="22" applyFont="1" applyFill="1" applyBorder="1" applyAlignment="1">
      <alignment vertical="top" wrapText="1"/>
    </xf>
    <xf numFmtId="0" fontId="38" fillId="7" borderId="5" xfId="0" applyFont="1" applyFill="1" applyBorder="1" applyAlignment="1">
      <alignment vertical="center" wrapText="1"/>
    </xf>
    <xf numFmtId="0" fontId="37" fillId="7" borderId="2" xfId="0" applyFont="1" applyFill="1" applyBorder="1" applyAlignment="1">
      <alignment vertical="center"/>
    </xf>
    <xf numFmtId="0" fontId="21" fillId="7" borderId="2" xfId="22" applyFont="1" applyFill="1" applyBorder="1" applyAlignment="1">
      <alignment vertical="center" wrapText="1"/>
    </xf>
    <xf numFmtId="0" fontId="35" fillId="7" borderId="3" xfId="8" applyFont="1" applyFill="1" applyBorder="1" applyAlignment="1">
      <alignment wrapText="1"/>
    </xf>
    <xf numFmtId="0" fontId="46" fillId="3" borderId="5" xfId="0" applyFont="1" applyFill="1" applyBorder="1" applyAlignment="1">
      <alignment wrapText="1"/>
    </xf>
    <xf numFmtId="0" fontId="38" fillId="7" borderId="2" xfId="7" applyFont="1" applyFill="1" applyBorder="1" applyAlignment="1">
      <alignment wrapText="1"/>
    </xf>
    <xf numFmtId="0" fontId="29" fillId="3" borderId="0" xfId="0" applyFont="1" applyFill="1" applyAlignment="1">
      <alignment vertical="center"/>
    </xf>
    <xf numFmtId="4" fontId="14" fillId="0" borderId="5" xfId="9" applyNumberFormat="1" applyBorder="1"/>
    <xf numFmtId="0" fontId="17" fillId="0" borderId="2" xfId="0" applyFont="1" applyBorder="1" applyAlignment="1">
      <alignment vertical="center" wrapText="1"/>
    </xf>
    <xf numFmtId="0" fontId="37" fillId="7" borderId="5" xfId="26" applyFont="1" applyFill="1" applyBorder="1" applyAlignment="1">
      <alignment vertical="top" wrapText="1"/>
    </xf>
    <xf numFmtId="0" fontId="48" fillId="0" borderId="5" xfId="0" applyFont="1" applyBorder="1"/>
    <xf numFmtId="4" fontId="36" fillId="7" borderId="3" xfId="9" applyNumberFormat="1" applyFont="1" applyFill="1" applyBorder="1" applyAlignment="1">
      <alignment wrapText="1"/>
    </xf>
    <xf numFmtId="0" fontId="30" fillId="7" borderId="5" xfId="0" applyFont="1" applyFill="1" applyBorder="1" applyAlignment="1">
      <alignment horizontal="center"/>
    </xf>
    <xf numFmtId="0" fontId="29" fillId="7" borderId="5" xfId="0" applyFont="1" applyFill="1" applyBorder="1" applyAlignment="1">
      <alignment horizontal="center"/>
    </xf>
    <xf numFmtId="0" fontId="28" fillId="7" borderId="0" xfId="0" applyFont="1" applyFill="1"/>
    <xf numFmtId="0" fontId="29" fillId="10" borderId="0" xfId="0" applyFont="1" applyFill="1"/>
    <xf numFmtId="4" fontId="35" fillId="7" borderId="2" xfId="9" applyNumberFormat="1" applyFont="1" applyFill="1" applyBorder="1" applyAlignment="1">
      <alignment vertical="center" wrapText="1"/>
    </xf>
    <xf numFmtId="0" fontId="29" fillId="11" borderId="0" xfId="0" applyFont="1" applyFill="1"/>
    <xf numFmtId="0" fontId="14" fillId="7" borderId="2" xfId="0" applyFont="1" applyFill="1" applyBorder="1" applyAlignment="1">
      <alignment vertical="center"/>
    </xf>
    <xf numFmtId="0" fontId="14" fillId="11" borderId="0" xfId="0" applyFont="1" applyFill="1"/>
    <xf numFmtId="0" fontId="45" fillId="7" borderId="5" xfId="19" applyFont="1" applyFill="1" applyBorder="1" applyAlignment="1">
      <alignment vertical="center" wrapText="1"/>
    </xf>
    <xf numFmtId="4" fontId="35" fillId="7" borderId="5" xfId="9" applyNumberFormat="1" applyFont="1" applyFill="1" applyBorder="1" applyAlignment="1">
      <alignment wrapText="1"/>
    </xf>
    <xf numFmtId="4" fontId="37" fillId="7" borderId="2" xfId="9" applyNumberFormat="1" applyFont="1" applyFill="1" applyBorder="1" applyAlignment="1">
      <alignment vertical="center" wrapText="1"/>
    </xf>
    <xf numFmtId="0" fontId="38" fillId="7" borderId="5" xfId="7" applyFont="1" applyFill="1" applyBorder="1" applyAlignment="1">
      <alignment vertical="center" wrapText="1"/>
    </xf>
    <xf numFmtId="0" fontId="38" fillId="7" borderId="2" xfId="7" applyFont="1" applyFill="1" applyBorder="1" applyAlignment="1">
      <alignment vertical="center" wrapText="1"/>
    </xf>
    <xf numFmtId="0" fontId="14" fillId="7" borderId="5" xfId="19" applyFont="1" applyFill="1" applyBorder="1" applyAlignment="1">
      <alignment vertical="center" wrapText="1"/>
    </xf>
    <xf numFmtId="0" fontId="14" fillId="7" borderId="5" xfId="20" applyFont="1" applyFill="1" applyBorder="1" applyAlignment="1">
      <alignment horizontal="left" vertical="center" wrapText="1"/>
    </xf>
    <xf numFmtId="4" fontId="14" fillId="7" borderId="6" xfId="0" applyNumberFormat="1" applyFont="1" applyFill="1" applyBorder="1" applyAlignment="1">
      <alignment horizontal="right" vertical="center"/>
    </xf>
    <xf numFmtId="0" fontId="35" fillId="7" borderId="5" xfId="0" applyFont="1" applyFill="1" applyBorder="1" applyAlignment="1">
      <alignment vertical="center" wrapText="1"/>
    </xf>
    <xf numFmtId="0" fontId="14" fillId="7" borderId="5" xfId="1" applyFill="1" applyBorder="1" applyAlignment="1">
      <alignment horizontal="left" vertical="center" wrapText="1"/>
    </xf>
    <xf numFmtId="0" fontId="18" fillId="7" borderId="7" xfId="0" applyFont="1" applyFill="1" applyBorder="1" applyAlignment="1">
      <alignment horizontal="center"/>
    </xf>
    <xf numFmtId="2" fontId="14" fillId="7" borderId="5" xfId="0" applyNumberFormat="1" applyFont="1" applyFill="1" applyBorder="1" applyAlignment="1">
      <alignment vertical="center" wrapText="1"/>
    </xf>
    <xf numFmtId="0" fontId="30" fillId="7" borderId="0" xfId="0" applyFont="1" applyFill="1" applyAlignment="1">
      <alignment vertical="center"/>
    </xf>
    <xf numFmtId="0" fontId="18" fillId="7" borderId="5" xfId="20" applyFont="1" applyFill="1" applyBorder="1" applyAlignment="1">
      <alignment wrapText="1"/>
    </xf>
    <xf numFmtId="0" fontId="18" fillId="7" borderId="5" xfId="0" applyFont="1" applyFill="1" applyBorder="1" applyAlignment="1">
      <alignment vertical="top" wrapText="1"/>
    </xf>
    <xf numFmtId="4" fontId="18" fillId="7" borderId="5" xfId="9" applyNumberFormat="1" applyFont="1" applyFill="1" applyBorder="1" applyAlignment="1">
      <alignment vertical="top" wrapText="1"/>
    </xf>
    <xf numFmtId="0" fontId="18" fillId="7" borderId="2" xfId="0" applyFont="1" applyFill="1" applyBorder="1" applyAlignment="1">
      <alignment vertical="center" wrapText="1"/>
    </xf>
    <xf numFmtId="4" fontId="33" fillId="7" borderId="6" xfId="0" applyNumberFormat="1" applyFont="1" applyFill="1" applyBorder="1"/>
    <xf numFmtId="0" fontId="18" fillId="7" borderId="2" xfId="1" applyFont="1" applyFill="1" applyBorder="1" applyAlignment="1">
      <alignment horizontal="left" vertical="center" wrapText="1"/>
    </xf>
    <xf numFmtId="0" fontId="18" fillId="7" borderId="2" xfId="0" applyFont="1" applyFill="1" applyBorder="1" applyAlignment="1">
      <alignment vertical="top" wrapText="1"/>
    </xf>
    <xf numFmtId="0" fontId="18" fillId="7" borderId="2" xfId="0" applyFont="1" applyFill="1" applyBorder="1" applyAlignment="1">
      <alignment horizontal="justify" vertical="center" wrapText="1"/>
    </xf>
    <xf numFmtId="0" fontId="18" fillId="0" borderId="5" xfId="0" applyFont="1" applyBorder="1" applyAlignment="1">
      <alignment vertical="top" wrapText="1"/>
    </xf>
    <xf numFmtId="0" fontId="18" fillId="7" borderId="2" xfId="0" applyFont="1" applyFill="1" applyBorder="1" applyAlignment="1">
      <alignment horizontal="left" vertical="center" wrapText="1"/>
    </xf>
    <xf numFmtId="2" fontId="18" fillId="7" borderId="2" xfId="0" applyNumberFormat="1" applyFont="1" applyFill="1" applyBorder="1" applyAlignment="1">
      <alignment vertical="center" wrapText="1"/>
    </xf>
    <xf numFmtId="0" fontId="14" fillId="7" borderId="5" xfId="14" applyFont="1" applyFill="1" applyBorder="1" applyAlignment="1">
      <alignment vertical="center" wrapText="1"/>
    </xf>
    <xf numFmtId="0" fontId="14" fillId="7" borderId="5" xfId="19" applyFont="1" applyFill="1" applyBorder="1" applyAlignment="1">
      <alignment vertical="top" wrapText="1"/>
    </xf>
    <xf numFmtId="0" fontId="18" fillId="7" borderId="2" xfId="9" applyFont="1" applyFill="1" applyBorder="1" applyAlignment="1">
      <alignment wrapText="1"/>
    </xf>
    <xf numFmtId="0" fontId="18" fillId="7" borderId="2" xfId="9" applyFont="1" applyFill="1" applyBorder="1" applyAlignment="1">
      <alignment vertical="center" wrapText="1"/>
    </xf>
    <xf numFmtId="0" fontId="18" fillId="7" borderId="2" xfId="9" applyFont="1" applyFill="1" applyBorder="1" applyAlignment="1">
      <alignment horizontal="left" vertical="center" wrapText="1"/>
    </xf>
    <xf numFmtId="0" fontId="14" fillId="7" borderId="2" xfId="9" applyFill="1" applyBorder="1" applyAlignment="1">
      <alignment vertical="center" wrapText="1"/>
    </xf>
    <xf numFmtId="0" fontId="18" fillId="7" borderId="2" xfId="1" applyFont="1" applyFill="1" applyBorder="1" applyAlignment="1">
      <alignment horizontal="left" wrapText="1"/>
    </xf>
    <xf numFmtId="0" fontId="35" fillId="7" borderId="2" xfId="9" applyFont="1" applyFill="1" applyBorder="1" applyAlignment="1">
      <alignment vertical="center" wrapText="1"/>
    </xf>
    <xf numFmtId="0" fontId="35" fillId="7" borderId="2" xfId="9" applyFont="1" applyFill="1" applyBorder="1" applyAlignment="1">
      <alignment wrapText="1"/>
    </xf>
    <xf numFmtId="0" fontId="14" fillId="7" borderId="2" xfId="14" applyFont="1" applyFill="1" applyBorder="1" applyAlignment="1">
      <alignment wrapText="1"/>
    </xf>
    <xf numFmtId="0" fontId="36" fillId="7" borderId="2" xfId="14" applyFont="1" applyFill="1" applyBorder="1" applyAlignment="1">
      <alignment wrapText="1"/>
    </xf>
    <xf numFmtId="0" fontId="35" fillId="7" borderId="2" xfId="6" applyFont="1" applyFill="1" applyBorder="1" applyAlignment="1">
      <alignment vertical="center" wrapText="1"/>
    </xf>
    <xf numFmtId="2" fontId="36" fillId="7" borderId="2" xfId="0" applyNumberFormat="1" applyFont="1" applyFill="1" applyBorder="1" applyAlignment="1">
      <alignment wrapText="1"/>
    </xf>
    <xf numFmtId="0" fontId="35" fillId="7" borderId="2" xfId="28" applyFont="1" applyFill="1" applyBorder="1" applyAlignment="1">
      <alignment vertical="center" wrapText="1"/>
    </xf>
    <xf numFmtId="0" fontId="35" fillId="7" borderId="2" xfId="0" applyFont="1" applyFill="1" applyBorder="1" applyAlignment="1">
      <alignment vertical="center" wrapText="1"/>
    </xf>
    <xf numFmtId="0" fontId="35" fillId="7" borderId="2" xfId="9" applyFont="1" applyFill="1" applyBorder="1" applyAlignment="1">
      <alignment horizontal="left" wrapText="1"/>
    </xf>
    <xf numFmtId="0" fontId="35" fillId="7" borderId="5" xfId="21" applyFont="1" applyFill="1" applyBorder="1" applyAlignment="1">
      <alignment vertical="center"/>
    </xf>
    <xf numFmtId="0" fontId="35" fillId="7" borderId="5" xfId="29" applyFont="1" applyFill="1" applyBorder="1" applyAlignment="1">
      <alignment wrapText="1"/>
    </xf>
    <xf numFmtId="0" fontId="35" fillId="7" borderId="5" xfId="23" applyFont="1" applyFill="1" applyBorder="1" applyAlignment="1">
      <alignment vertical="center" wrapText="1"/>
    </xf>
    <xf numFmtId="0" fontId="35" fillId="7" borderId="5" xfId="0" applyFont="1" applyFill="1" applyBorder="1" applyAlignment="1">
      <alignment vertical="center"/>
    </xf>
    <xf numFmtId="0" fontId="35" fillId="0" borderId="5" xfId="0" applyFont="1" applyBorder="1" applyAlignment="1">
      <alignment vertical="center" wrapText="1"/>
    </xf>
    <xf numFmtId="0" fontId="35" fillId="7" borderId="2" xfId="23" applyFont="1" applyFill="1" applyBorder="1" applyAlignment="1">
      <alignment vertical="center" wrapText="1"/>
    </xf>
    <xf numFmtId="0" fontId="35" fillId="7" borderId="5" xfId="4" applyFont="1" applyFill="1" applyBorder="1" applyAlignment="1">
      <alignment wrapText="1"/>
    </xf>
    <xf numFmtId="0" fontId="35" fillId="7" borderId="5" xfId="0" applyFont="1" applyFill="1" applyBorder="1" applyAlignment="1">
      <alignment horizontal="left" vertical="center" wrapText="1"/>
    </xf>
    <xf numFmtId="0" fontId="35" fillId="7" borderId="5" xfId="1" applyFont="1" applyFill="1" applyBorder="1" applyAlignment="1">
      <alignment horizontal="left" vertical="center" wrapText="1"/>
    </xf>
    <xf numFmtId="0" fontId="35" fillId="7" borderId="5" xfId="18" applyFont="1" applyFill="1" applyBorder="1" applyAlignment="1">
      <alignment vertical="center"/>
    </xf>
    <xf numFmtId="4" fontId="35" fillId="7" borderId="5" xfId="0" applyNumberFormat="1" applyFont="1" applyFill="1" applyBorder="1" applyAlignment="1">
      <alignment horizontal="left" vertical="center"/>
    </xf>
    <xf numFmtId="0" fontId="14" fillId="7" borderId="5" xfId="27" applyFont="1" applyFill="1" applyBorder="1" applyAlignment="1">
      <alignment vertical="top" wrapText="1"/>
    </xf>
    <xf numFmtId="0" fontId="35" fillId="7" borderId="5" xfId="19" applyFont="1" applyFill="1" applyBorder="1" applyAlignment="1">
      <alignment horizontal="left" vertical="center" wrapText="1"/>
    </xf>
    <xf numFmtId="0" fontId="14" fillId="7" borderId="5" xfId="0" applyFont="1" applyFill="1" applyBorder="1" applyAlignment="1">
      <alignment vertical="center"/>
    </xf>
    <xf numFmtId="0" fontId="50" fillId="7" borderId="5" xfId="0" applyFont="1" applyFill="1" applyBorder="1" applyAlignment="1">
      <alignment wrapText="1"/>
    </xf>
    <xf numFmtId="0" fontId="50" fillId="7" borderId="5" xfId="0" applyFont="1" applyFill="1" applyBorder="1" applyAlignment="1">
      <alignment vertical="center" wrapText="1"/>
    </xf>
    <xf numFmtId="0" fontId="35" fillId="7" borderId="5" xfId="19" applyFont="1" applyFill="1" applyBorder="1" applyAlignment="1">
      <alignment horizontal="left" wrapText="1"/>
    </xf>
    <xf numFmtId="0" fontId="35" fillId="7" borderId="5" xfId="7" applyFont="1" applyFill="1" applyBorder="1"/>
    <xf numFmtId="0" fontId="35" fillId="7" borderId="5" xfId="30" applyFont="1" applyFill="1" applyBorder="1" applyAlignment="1">
      <alignment vertical="center"/>
    </xf>
    <xf numFmtId="0" fontId="33" fillId="7" borderId="5" xfId="0" applyFont="1" applyFill="1" applyBorder="1"/>
    <xf numFmtId="0" fontId="35" fillId="7" borderId="2" xfId="0" applyFont="1" applyFill="1" applyBorder="1" applyAlignment="1">
      <alignment horizontal="left" vertical="center" wrapText="1"/>
    </xf>
    <xf numFmtId="4" fontId="14" fillId="7" borderId="2" xfId="9" applyNumberFormat="1" applyFill="1" applyBorder="1" applyAlignment="1">
      <alignment wrapText="1"/>
    </xf>
    <xf numFmtId="4" fontId="35" fillId="7" borderId="2" xfId="9" applyNumberFormat="1" applyFont="1" applyFill="1" applyBorder="1" applyAlignment="1">
      <alignment wrapText="1"/>
    </xf>
    <xf numFmtId="0" fontId="14" fillId="7" borderId="5" xfId="9" applyFill="1" applyBorder="1" applyAlignment="1">
      <alignment wrapText="1"/>
    </xf>
    <xf numFmtId="0" fontId="18" fillId="7" borderId="5" xfId="9" applyFont="1" applyFill="1" applyBorder="1" applyAlignment="1">
      <alignment vertical="center" wrapText="1"/>
    </xf>
    <xf numFmtId="0" fontId="50" fillId="7" borderId="5" xfId="0" applyFont="1" applyFill="1" applyBorder="1" applyAlignment="1">
      <alignment horizontal="left" vertical="center" wrapText="1"/>
    </xf>
    <xf numFmtId="0" fontId="14" fillId="3" borderId="13" xfId="0" applyFont="1" applyFill="1" applyBorder="1" applyAlignment="1">
      <alignment horizontal="center" vertical="center"/>
    </xf>
    <xf numFmtId="4" fontId="14" fillId="3" borderId="6" xfId="0" applyNumberFormat="1" applyFont="1" applyFill="1" applyBorder="1" applyAlignment="1">
      <alignment horizontal="right" vertical="center"/>
    </xf>
    <xf numFmtId="0" fontId="14" fillId="7" borderId="2" xfId="0" applyFont="1" applyFill="1" applyBorder="1" applyAlignment="1">
      <alignment vertical="center" wrapText="1"/>
    </xf>
    <xf numFmtId="0" fontId="14" fillId="7" borderId="3" xfId="9" applyFill="1" applyBorder="1" applyAlignment="1">
      <alignment vertical="center" wrapText="1"/>
    </xf>
    <xf numFmtId="0" fontId="32" fillId="7" borderId="5" xfId="9" applyFont="1" applyFill="1" applyBorder="1" applyAlignment="1">
      <alignment vertical="center" wrapText="1"/>
    </xf>
    <xf numFmtId="2" fontId="18" fillId="7" borderId="5" xfId="0" applyNumberFormat="1" applyFont="1" applyFill="1" applyBorder="1" applyAlignment="1">
      <alignment wrapText="1"/>
    </xf>
    <xf numFmtId="2" fontId="18" fillId="7" borderId="6" xfId="0" applyNumberFormat="1" applyFont="1" applyFill="1" applyBorder="1" applyAlignment="1">
      <alignment wrapText="1"/>
    </xf>
    <xf numFmtId="0" fontId="14" fillId="7" borderId="5" xfId="0" applyFont="1" applyFill="1" applyBorder="1" applyAlignment="1">
      <alignment vertical="top" wrapText="1"/>
    </xf>
    <xf numFmtId="0" fontId="14" fillId="7" borderId="8" xfId="0" applyFont="1" applyFill="1" applyBorder="1" applyAlignment="1">
      <alignment vertical="top" wrapText="1"/>
    </xf>
    <xf numFmtId="0" fontId="14" fillId="7" borderId="8" xfId="9" applyFill="1" applyBorder="1" applyAlignment="1">
      <alignment horizontal="left" wrapText="1"/>
    </xf>
    <xf numFmtId="4" fontId="14" fillId="0" borderId="5" xfId="0" applyNumberFormat="1" applyFont="1" applyBorder="1" applyAlignment="1">
      <alignment horizontal="left" vertical="center"/>
    </xf>
    <xf numFmtId="0" fontId="0" fillId="7" borderId="5" xfId="0" applyFill="1" applyBorder="1" applyAlignment="1">
      <alignment wrapText="1"/>
    </xf>
    <xf numFmtId="0" fontId="35" fillId="7" borderId="5" xfId="8" applyFont="1" applyFill="1" applyBorder="1" applyAlignment="1">
      <alignment vertical="center" wrapText="1"/>
    </xf>
    <xf numFmtId="0" fontId="37" fillId="7" borderId="2" xfId="7" applyFont="1" applyFill="1" applyBorder="1" applyAlignment="1">
      <alignment vertical="center" wrapText="1"/>
    </xf>
    <xf numFmtId="0" fontId="35" fillId="7" borderId="2" xfId="20" applyFont="1" applyFill="1" applyBorder="1" applyAlignment="1">
      <alignment vertical="center" wrapText="1"/>
    </xf>
    <xf numFmtId="0" fontId="50" fillId="7" borderId="5" xfId="9" applyFont="1" applyFill="1" applyBorder="1" applyAlignment="1">
      <alignment vertical="center" wrapText="1"/>
    </xf>
    <xf numFmtId="0" fontId="14" fillId="0" borderId="5" xfId="9" applyBorder="1" applyAlignment="1">
      <alignment vertical="center" wrapText="1"/>
    </xf>
    <xf numFmtId="4" fontId="35" fillId="7" borderId="5" xfId="9" applyNumberFormat="1" applyFont="1" applyFill="1" applyBorder="1"/>
    <xf numFmtId="0" fontId="37" fillId="0" borderId="5" xfId="0" applyFont="1" applyBorder="1"/>
    <xf numFmtId="4" fontId="14" fillId="0" borderId="3" xfId="0" applyNumberFormat="1" applyFont="1" applyBorder="1" applyAlignment="1">
      <alignment horizontal="center"/>
    </xf>
    <xf numFmtId="0" fontId="37" fillId="7" borderId="5" xfId="9" applyFont="1" applyFill="1" applyBorder="1" applyAlignment="1">
      <alignment vertical="center" wrapText="1"/>
    </xf>
    <xf numFmtId="0" fontId="52" fillId="7" borderId="2" xfId="9" applyFont="1" applyFill="1" applyBorder="1" applyAlignment="1">
      <alignment vertical="center" wrapText="1"/>
    </xf>
    <xf numFmtId="0" fontId="52" fillId="7" borderId="2" xfId="9" applyFont="1" applyFill="1" applyBorder="1" applyAlignment="1">
      <alignment wrapText="1"/>
    </xf>
    <xf numFmtId="0" fontId="47" fillId="7" borderId="2" xfId="9" applyFont="1" applyFill="1" applyBorder="1" applyAlignment="1">
      <alignment vertical="center" wrapText="1"/>
    </xf>
    <xf numFmtId="0" fontId="18" fillId="7" borderId="5" xfId="26" applyFont="1" applyFill="1" applyBorder="1" applyAlignment="1">
      <alignment vertical="center" wrapText="1"/>
    </xf>
    <xf numFmtId="0" fontId="19" fillId="0" borderId="2" xfId="0" applyFont="1" applyBorder="1" applyAlignment="1">
      <alignment vertical="center" wrapText="1"/>
    </xf>
    <xf numFmtId="0" fontId="14" fillId="7" borderId="5" xfId="7" applyFont="1" applyFill="1" applyBorder="1" applyAlignment="1">
      <alignment vertical="center" wrapText="1"/>
    </xf>
    <xf numFmtId="0" fontId="14" fillId="7" borderId="5" xfId="22" applyFont="1" applyFill="1" applyBorder="1" applyAlignment="1">
      <alignment vertical="center" wrapText="1"/>
    </xf>
    <xf numFmtId="0" fontId="14" fillId="7" borderId="3" xfId="8" applyFill="1" applyBorder="1" applyAlignment="1">
      <alignment wrapText="1"/>
    </xf>
    <xf numFmtId="4" fontId="14" fillId="7" borderId="5" xfId="9" applyNumberFormat="1" applyFill="1" applyBorder="1" applyAlignment="1">
      <alignment vertical="center" wrapText="1"/>
    </xf>
    <xf numFmtId="4" fontId="14" fillId="7" borderId="3" xfId="9" applyNumberFormat="1" applyFill="1" applyBorder="1" applyAlignment="1">
      <alignment wrapText="1"/>
    </xf>
    <xf numFmtId="0" fontId="14" fillId="7" borderId="5" xfId="27" applyFont="1" applyFill="1" applyBorder="1" applyAlignment="1">
      <alignment vertical="center" wrapText="1"/>
    </xf>
    <xf numFmtId="0" fontId="14" fillId="7" borderId="3" xfId="0" applyFont="1" applyFill="1" applyBorder="1" applyAlignment="1">
      <alignment vertical="center"/>
    </xf>
    <xf numFmtId="0" fontId="14" fillId="9" borderId="2" xfId="0" applyFont="1" applyFill="1" applyBorder="1" applyAlignment="1">
      <alignment vertical="center"/>
    </xf>
    <xf numFmtId="0" fontId="14" fillId="3" borderId="5" xfId="0" applyFont="1" applyFill="1" applyBorder="1" applyAlignment="1">
      <alignment vertical="center" wrapText="1"/>
    </xf>
    <xf numFmtId="0" fontId="14" fillId="0" borderId="2" xfId="0" applyFont="1" applyBorder="1" applyAlignment="1">
      <alignment vertical="center" wrapText="1"/>
    </xf>
    <xf numFmtId="4" fontId="14" fillId="7" borderId="2" xfId="9" applyNumberFormat="1" applyFill="1" applyBorder="1" applyAlignment="1">
      <alignment vertical="center" wrapText="1"/>
    </xf>
    <xf numFmtId="4" fontId="14" fillId="7" borderId="2" xfId="9" applyNumberFormat="1" applyFill="1" applyBorder="1" applyAlignment="1">
      <alignment vertical="center"/>
    </xf>
    <xf numFmtId="4" fontId="14" fillId="7" borderId="5" xfId="9" applyNumberFormat="1" applyFill="1" applyBorder="1" applyAlignment="1">
      <alignment wrapText="1"/>
    </xf>
    <xf numFmtId="0" fontId="14" fillId="7" borderId="8" xfId="2" applyFill="1" applyBorder="1" applyAlignment="1">
      <alignment wrapText="1"/>
    </xf>
    <xf numFmtId="0" fontId="14" fillId="7" borderId="5" xfId="18" applyFont="1" applyFill="1" applyBorder="1" applyAlignment="1">
      <alignment vertical="center" wrapText="1"/>
    </xf>
    <xf numFmtId="0" fontId="14" fillId="7" borderId="5" xfId="23" applyFont="1" applyFill="1" applyBorder="1" applyAlignment="1">
      <alignment vertical="center" wrapText="1"/>
    </xf>
    <xf numFmtId="0" fontId="14" fillId="7" borderId="2" xfId="23" applyFont="1" applyFill="1" applyBorder="1" applyAlignment="1">
      <alignment vertical="center" wrapText="1"/>
    </xf>
    <xf numFmtId="0" fontId="14" fillId="7" borderId="5" xfId="18" applyFont="1" applyFill="1" applyBorder="1" applyAlignment="1">
      <alignment vertical="top" wrapText="1"/>
    </xf>
    <xf numFmtId="4" fontId="14" fillId="7" borderId="5" xfId="9" applyNumberFormat="1" applyFill="1" applyBorder="1" applyAlignment="1">
      <alignment vertical="center"/>
    </xf>
    <xf numFmtId="0" fontId="21" fillId="7" borderId="5" xfId="20" applyFont="1" applyFill="1" applyBorder="1" applyAlignment="1">
      <alignment wrapText="1"/>
    </xf>
    <xf numFmtId="0" fontId="39" fillId="7" borderId="5" xfId="20" applyFont="1" applyFill="1" applyBorder="1" applyAlignment="1">
      <alignment wrapText="1"/>
    </xf>
    <xf numFmtId="0" fontId="14" fillId="7" borderId="5" xfId="29" applyFont="1" applyFill="1" applyBorder="1" applyAlignment="1">
      <alignment vertical="center" wrapText="1"/>
    </xf>
    <xf numFmtId="0" fontId="14" fillId="7" borderId="5" xfId="8" applyFill="1" applyBorder="1" applyAlignment="1">
      <alignment vertical="top" wrapText="1"/>
    </xf>
    <xf numFmtId="0" fontId="14" fillId="0" borderId="5" xfId="0" applyFont="1" applyBorder="1" applyAlignment="1">
      <alignment horizontal="left" vertical="center" wrapText="1"/>
    </xf>
    <xf numFmtId="0" fontId="14" fillId="7" borderId="5" xfId="20" applyFont="1" applyFill="1" applyBorder="1" applyAlignment="1">
      <alignment vertical="center"/>
    </xf>
    <xf numFmtId="0" fontId="14" fillId="7" borderId="5" xfId="6" applyFill="1" applyBorder="1" applyAlignment="1">
      <alignment vertical="center" wrapText="1"/>
    </xf>
    <xf numFmtId="0" fontId="14" fillId="7" borderId="2" xfId="9" applyFill="1" applyBorder="1" applyAlignment="1">
      <alignment horizontal="lef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xf numFmtId="4" fontId="0" fillId="0" borderId="0" xfId="0" applyNumberFormat="1" applyAlignment="1">
      <alignment horizontal="right"/>
    </xf>
    <xf numFmtId="0" fontId="17" fillId="0" borderId="5" xfId="0" applyFont="1" applyBorder="1" applyAlignment="1">
      <alignment vertical="center" wrapText="1"/>
    </xf>
    <xf numFmtId="0" fontId="19" fillId="0" borderId="5" xfId="0" applyFont="1" applyBorder="1" applyAlignment="1">
      <alignment vertical="center" wrapText="1"/>
    </xf>
    <xf numFmtId="0" fontId="18" fillId="0" borderId="5" xfId="0" applyFont="1" applyBorder="1" applyAlignment="1">
      <alignment vertical="center" wrapText="1"/>
    </xf>
    <xf numFmtId="0" fontId="14" fillId="7" borderId="2" xfId="22" applyFont="1" applyFill="1" applyBorder="1" applyAlignment="1">
      <alignment wrapText="1"/>
    </xf>
    <xf numFmtId="0" fontId="14" fillId="7" borderId="2" xfId="20" applyFont="1" applyFill="1" applyBorder="1" applyAlignment="1">
      <alignment vertical="center"/>
    </xf>
    <xf numFmtId="0" fontId="37" fillId="7" borderId="5" xfId="20" applyFont="1" applyFill="1" applyBorder="1" applyAlignment="1">
      <alignment vertical="center"/>
    </xf>
    <xf numFmtId="0" fontId="14" fillId="7" borderId="2" xfId="0" applyFont="1" applyFill="1" applyBorder="1" applyAlignment="1">
      <alignment horizontal="left" vertical="center" wrapText="1"/>
    </xf>
    <xf numFmtId="0" fontId="14" fillId="7" borderId="5" xfId="31" applyFont="1" applyFill="1" applyBorder="1" applyAlignment="1">
      <alignment vertical="center" wrapText="1"/>
    </xf>
    <xf numFmtId="0" fontId="50" fillId="7" borderId="5" xfId="32" applyFont="1" applyFill="1" applyBorder="1" applyAlignment="1">
      <alignment vertical="center" wrapText="1"/>
    </xf>
    <xf numFmtId="0" fontId="21" fillId="7" borderId="5" xfId="31" applyFont="1" applyFill="1" applyBorder="1" applyAlignment="1">
      <alignment vertical="center" wrapText="1"/>
    </xf>
    <xf numFmtId="2" fontId="35" fillId="7" borderId="5" xfId="0" applyNumberFormat="1" applyFont="1" applyFill="1" applyBorder="1" applyAlignment="1">
      <alignment vertical="center" wrapText="1"/>
    </xf>
    <xf numFmtId="2" fontId="14" fillId="7" borderId="5" xfId="0" applyNumberFormat="1" applyFont="1" applyFill="1" applyBorder="1" applyAlignment="1">
      <alignment horizontal="left" vertical="center" wrapText="1"/>
    </xf>
    <xf numFmtId="2" fontId="35" fillId="7" borderId="5" xfId="0" applyNumberFormat="1" applyFont="1" applyFill="1" applyBorder="1" applyAlignment="1">
      <alignment horizontal="left" vertical="center" wrapText="1"/>
    </xf>
    <xf numFmtId="0" fontId="32" fillId="7" borderId="5" xfId="0" applyFont="1" applyFill="1" applyBorder="1" applyAlignment="1">
      <alignment vertical="center"/>
    </xf>
    <xf numFmtId="2" fontId="25" fillId="7" borderId="5" xfId="0" applyNumberFormat="1" applyFont="1" applyFill="1" applyBorder="1" applyAlignment="1">
      <alignment horizontal="left" vertical="center" wrapText="1"/>
    </xf>
    <xf numFmtId="0" fontId="14" fillId="0" borderId="0" xfId="0" applyFont="1" applyAlignment="1">
      <alignment horizontal="left"/>
    </xf>
    <xf numFmtId="0" fontId="14" fillId="0" borderId="0" xfId="0" applyFont="1" applyAlignment="1">
      <alignment horizontal="center"/>
    </xf>
    <xf numFmtId="0" fontId="14" fillId="7" borderId="7" xfId="0" applyFont="1" applyFill="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3" fillId="0" borderId="8" xfId="0" applyFont="1" applyBorder="1" applyAlignment="1">
      <alignment horizontal="left" wrapText="1"/>
    </xf>
    <xf numFmtId="0" fontId="13" fillId="0" borderId="13" xfId="0" applyFont="1" applyBorder="1" applyAlignment="1">
      <alignment horizontal="left" wrapText="1"/>
    </xf>
    <xf numFmtId="0" fontId="13" fillId="0" borderId="16" xfId="0" applyFont="1" applyBorder="1" applyAlignment="1">
      <alignment horizontal="left" wrapText="1"/>
    </xf>
    <xf numFmtId="0" fontId="13" fillId="5" borderId="9" xfId="0" applyFont="1" applyFill="1" applyBorder="1" applyAlignment="1">
      <alignment horizontal="left"/>
    </xf>
    <xf numFmtId="0" fontId="13" fillId="5" borderId="1" xfId="0" applyFont="1" applyFill="1" applyBorder="1" applyAlignment="1">
      <alignment horizontal="left"/>
    </xf>
    <xf numFmtId="0" fontId="13" fillId="5" borderId="10" xfId="0" applyFont="1" applyFill="1" applyBorder="1" applyAlignment="1">
      <alignment horizontal="left"/>
    </xf>
    <xf numFmtId="0" fontId="21" fillId="0" borderId="0" xfId="0" applyFont="1" applyAlignment="1">
      <alignment horizontal="center" vertical="center"/>
    </xf>
    <xf numFmtId="0" fontId="0" fillId="0" borderId="0" xfId="0" applyAlignment="1">
      <alignment vertical="center"/>
    </xf>
    <xf numFmtId="0" fontId="18" fillId="0" borderId="0" xfId="0" applyFont="1" applyAlignment="1">
      <alignment horizontal="center" vertical="center"/>
    </xf>
    <xf numFmtId="0" fontId="0" fillId="0" borderId="0" xfId="0" applyAlignment="1">
      <alignment horizontal="center" vertical="center"/>
    </xf>
    <xf numFmtId="0" fontId="18" fillId="0" borderId="0" xfId="0" applyFont="1" applyAlignment="1">
      <alignment horizontal="center"/>
    </xf>
    <xf numFmtId="0" fontId="0" fillId="0" borderId="0" xfId="0" applyAlignment="1">
      <alignment horizontal="center"/>
    </xf>
    <xf numFmtId="0" fontId="13" fillId="5" borderId="18" xfId="0" applyFont="1" applyFill="1" applyBorder="1" applyAlignment="1">
      <alignment horizontal="left"/>
    </xf>
    <xf numFmtId="0" fontId="13" fillId="5" borderId="12" xfId="0" applyFont="1" applyFill="1" applyBorder="1" applyAlignment="1">
      <alignment horizontal="left"/>
    </xf>
    <xf numFmtId="0" fontId="13" fillId="5" borderId="14" xfId="0" applyFont="1" applyFill="1" applyBorder="1" applyAlignment="1">
      <alignment horizontal="left"/>
    </xf>
    <xf numFmtId="0" fontId="13" fillId="5" borderId="18" xfId="0" applyFont="1" applyFill="1" applyBorder="1" applyAlignment="1">
      <alignment horizontal="left" wrapText="1"/>
    </xf>
    <xf numFmtId="0" fontId="13" fillId="5" borderId="12" xfId="0" applyFont="1" applyFill="1" applyBorder="1" applyAlignment="1">
      <alignment horizontal="left" wrapText="1"/>
    </xf>
    <xf numFmtId="0" fontId="13" fillId="5" borderId="14" xfId="0" applyFont="1" applyFill="1" applyBorder="1" applyAlignment="1">
      <alignment horizontal="left" wrapText="1"/>
    </xf>
    <xf numFmtId="0" fontId="21" fillId="5" borderId="18" xfId="0" applyFont="1" applyFill="1" applyBorder="1" applyAlignment="1">
      <alignment horizontal="left"/>
    </xf>
    <xf numFmtId="0" fontId="21" fillId="5" borderId="12" xfId="0" applyFont="1" applyFill="1" applyBorder="1" applyAlignment="1">
      <alignment horizontal="left"/>
    </xf>
    <xf numFmtId="0" fontId="21" fillId="5" borderId="14" xfId="0" applyFont="1" applyFill="1" applyBorder="1" applyAlignment="1">
      <alignment horizontal="left"/>
    </xf>
    <xf numFmtId="0" fontId="13" fillId="6" borderId="18"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13" fillId="0" borderId="18" xfId="0" applyFont="1" applyBorder="1" applyAlignment="1">
      <alignment horizontal="left"/>
    </xf>
    <xf numFmtId="0" fontId="13" fillId="0" borderId="12" xfId="0" applyFont="1" applyBorder="1" applyAlignment="1">
      <alignment horizontal="left"/>
    </xf>
    <xf numFmtId="0" fontId="13" fillId="0" borderId="14" xfId="0" applyFont="1" applyBorder="1" applyAlignment="1">
      <alignment horizontal="left"/>
    </xf>
    <xf numFmtId="0" fontId="29" fillId="8" borderId="7" xfId="0" applyFont="1" applyFill="1" applyBorder="1" applyAlignment="1">
      <alignment vertical="center"/>
    </xf>
    <xf numFmtId="0" fontId="29" fillId="8" borderId="0" xfId="0" applyFont="1" applyFill="1" applyAlignment="1">
      <alignment vertical="center"/>
    </xf>
    <xf numFmtId="0" fontId="29" fillId="3" borderId="7" xfId="0" applyFont="1" applyFill="1" applyBorder="1" applyAlignment="1">
      <alignment vertical="center" wrapText="1"/>
    </xf>
    <xf numFmtId="0" fontId="29" fillId="3" borderId="0" xfId="0" applyFont="1" applyFill="1" applyAlignment="1">
      <alignment vertical="center" wrapText="1"/>
    </xf>
    <xf numFmtId="0" fontId="14" fillId="7" borderId="0" xfId="0" applyFont="1" applyFill="1" applyAlignment="1">
      <alignment vertical="center" wrapText="1"/>
    </xf>
    <xf numFmtId="0" fontId="29" fillId="7" borderId="7" xfId="0" applyFont="1" applyFill="1" applyBorder="1" applyAlignment="1">
      <alignment vertical="center" wrapText="1"/>
    </xf>
    <xf numFmtId="0" fontId="29" fillId="7" borderId="0" xfId="0" applyFont="1" applyFill="1" applyAlignment="1">
      <alignment vertical="center" wrapText="1"/>
    </xf>
    <xf numFmtId="0" fontId="21" fillId="4" borderId="9" xfId="0" applyFont="1" applyFill="1" applyBorder="1" applyAlignment="1">
      <alignment horizontal="left"/>
    </xf>
    <xf numFmtId="0" fontId="21" fillId="4" borderId="1" xfId="0" applyFont="1" applyFill="1" applyBorder="1" applyAlignment="1">
      <alignment horizontal="left"/>
    </xf>
    <xf numFmtId="0" fontId="21" fillId="4" borderId="12" xfId="0" applyFont="1" applyFill="1" applyBorder="1" applyAlignment="1">
      <alignment horizontal="left"/>
    </xf>
    <xf numFmtId="0" fontId="21" fillId="4" borderId="14" xfId="0" applyFont="1" applyFill="1" applyBorder="1" applyAlignment="1">
      <alignment horizontal="left"/>
    </xf>
    <xf numFmtId="0" fontId="14" fillId="0" borderId="0" xfId="0" applyFont="1" applyAlignment="1">
      <alignment vertical="center" wrapText="1"/>
    </xf>
    <xf numFmtId="0" fontId="14" fillId="0" borderId="7" xfId="0" applyFont="1" applyBorder="1" applyAlignment="1">
      <alignment vertical="center" wrapText="1"/>
    </xf>
    <xf numFmtId="0" fontId="21" fillId="4" borderId="18" xfId="0" applyFont="1" applyFill="1" applyBorder="1" applyAlignment="1">
      <alignment horizontal="left"/>
    </xf>
    <xf numFmtId="0" fontId="29" fillId="7" borderId="7"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7" xfId="0" applyFont="1" applyFill="1" applyBorder="1" applyAlignment="1">
      <alignment vertical="top" wrapText="1"/>
    </xf>
    <xf numFmtId="0" fontId="29" fillId="7" borderId="0" xfId="0" applyFont="1" applyFill="1" applyAlignment="1">
      <alignment vertical="top" wrapText="1"/>
    </xf>
    <xf numFmtId="0" fontId="29" fillId="7" borderId="0" xfId="0" applyFont="1" applyFill="1" applyAlignment="1">
      <alignment wrapText="1"/>
    </xf>
    <xf numFmtId="0" fontId="14" fillId="7" borderId="7" xfId="0" applyFont="1" applyFill="1" applyBorder="1" applyAlignment="1">
      <alignment vertical="center"/>
    </xf>
    <xf numFmtId="0" fontId="14" fillId="7" borderId="0" xfId="0" applyFont="1" applyFill="1" applyAlignment="1">
      <alignment vertical="center"/>
    </xf>
    <xf numFmtId="0" fontId="30" fillId="0" borderId="7" xfId="0" applyFont="1" applyBorder="1" applyAlignment="1">
      <alignment vertical="center"/>
    </xf>
    <xf numFmtId="0" fontId="30" fillId="0" borderId="0" xfId="0" applyFont="1" applyAlignment="1">
      <alignment vertical="center"/>
    </xf>
    <xf numFmtId="0" fontId="29" fillId="8" borderId="7" xfId="0" applyFont="1" applyFill="1" applyBorder="1" applyAlignment="1">
      <alignment vertical="center" wrapText="1"/>
    </xf>
    <xf numFmtId="0" fontId="29" fillId="0" borderId="0" xfId="0" applyFont="1" applyAlignment="1">
      <alignment vertical="center" wrapText="1"/>
    </xf>
    <xf numFmtId="0" fontId="29" fillId="0" borderId="7" xfId="0" applyFont="1" applyBorder="1" applyAlignment="1">
      <alignment vertical="center" wrapText="1"/>
    </xf>
    <xf numFmtId="0" fontId="14" fillId="7" borderId="7"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7" xfId="0" applyFont="1" applyFill="1" applyBorder="1" applyAlignment="1">
      <alignment wrapText="1"/>
    </xf>
    <xf numFmtId="0" fontId="14" fillId="7" borderId="0" xfId="0" applyFont="1" applyFill="1" applyAlignment="1">
      <alignment wrapText="1"/>
    </xf>
    <xf numFmtId="0" fontId="14" fillId="7" borderId="7" xfId="0" applyFont="1" applyFill="1" applyBorder="1" applyAlignment="1">
      <alignment horizontal="left" vertical="top" wrapText="1"/>
    </xf>
    <xf numFmtId="0" fontId="14" fillId="7" borderId="0" xfId="0" applyFont="1" applyFill="1" applyAlignment="1">
      <alignment horizontal="left" vertical="top" wrapText="1"/>
    </xf>
    <xf numFmtId="0" fontId="30" fillId="7" borderId="7" xfId="0" applyFont="1" applyFill="1" applyBorder="1" applyAlignment="1">
      <alignment horizontal="center" vertical="center"/>
    </xf>
    <xf numFmtId="0" fontId="30" fillId="7" borderId="0" xfId="0" applyFont="1" applyFill="1" applyAlignment="1">
      <alignment horizontal="center" vertical="center"/>
    </xf>
    <xf numFmtId="0" fontId="0" fillId="7" borderId="0" xfId="0" applyFill="1" applyAlignment="1">
      <alignment horizontal="center" vertical="center"/>
    </xf>
    <xf numFmtId="0" fontId="30" fillId="3" borderId="7"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30" fillId="7" borderId="7" xfId="0" applyFont="1" applyFill="1" applyBorder="1" applyAlignment="1">
      <alignment vertical="center" wrapText="1"/>
    </xf>
    <xf numFmtId="0" fontId="30" fillId="7" borderId="0" xfId="0" applyFont="1" applyFill="1" applyAlignment="1">
      <alignment vertical="center" wrapText="1"/>
    </xf>
    <xf numFmtId="0" fontId="18" fillId="7" borderId="7" xfId="0" applyFont="1" applyFill="1" applyBorder="1" applyAlignment="1">
      <alignment vertical="center"/>
    </xf>
    <xf numFmtId="0" fontId="0" fillId="0" borderId="7" xfId="0" applyBorder="1" applyAlignment="1">
      <alignment vertical="center"/>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30" fillId="0" borderId="7" xfId="0" applyFont="1" applyBorder="1" applyAlignment="1">
      <alignment vertical="center" wrapText="1"/>
    </xf>
    <xf numFmtId="0" fontId="30" fillId="0" borderId="0" xfId="0" applyFont="1" applyAlignment="1">
      <alignment vertical="center" wrapText="1"/>
    </xf>
    <xf numFmtId="0" fontId="29" fillId="7" borderId="7" xfId="0" applyFont="1" applyFill="1" applyBorder="1" applyAlignment="1">
      <alignment wrapText="1"/>
    </xf>
    <xf numFmtId="0" fontId="0" fillId="7" borderId="0" xfId="0" applyFill="1" applyAlignment="1">
      <alignment vertical="center" wrapText="1"/>
    </xf>
    <xf numFmtId="0" fontId="21" fillId="0" borderId="18" xfId="0" applyFont="1" applyBorder="1" applyAlignment="1">
      <alignment horizontal="left"/>
    </xf>
    <xf numFmtId="0" fontId="21" fillId="0" borderId="12" xfId="0" applyFont="1" applyBorder="1" applyAlignment="1">
      <alignment horizontal="left"/>
    </xf>
    <xf numFmtId="0" fontId="21" fillId="0" borderId="13" xfId="0" applyFont="1" applyBorder="1" applyAlignment="1">
      <alignment horizontal="left"/>
    </xf>
    <xf numFmtId="0" fontId="21" fillId="0" borderId="16" xfId="0" applyFont="1" applyBorder="1" applyAlignment="1">
      <alignment horizontal="left"/>
    </xf>
    <xf numFmtId="0" fontId="13" fillId="4" borderId="18" xfId="0" applyFont="1" applyFill="1" applyBorder="1" applyAlignment="1">
      <alignment horizontal="left" wrapText="1"/>
    </xf>
    <xf numFmtId="0" fontId="13" fillId="4" borderId="12" xfId="0" applyFont="1" applyFill="1" applyBorder="1" applyAlignment="1">
      <alignment horizontal="left" wrapText="1"/>
    </xf>
    <xf numFmtId="0" fontId="13" fillId="8" borderId="18" xfId="0" applyFont="1" applyFill="1" applyBorder="1" applyAlignment="1">
      <alignment horizontal="left" wrapText="1"/>
    </xf>
    <xf numFmtId="0" fontId="13" fillId="2" borderId="8" xfId="0" applyFont="1" applyFill="1" applyBorder="1" applyAlignment="1">
      <alignment horizontal="left"/>
    </xf>
    <xf numFmtId="0" fontId="13" fillId="2" borderId="13" xfId="0" applyFont="1" applyFill="1" applyBorder="1" applyAlignment="1">
      <alignment horizontal="left"/>
    </xf>
    <xf numFmtId="0" fontId="13" fillId="2" borderId="16" xfId="0" applyFont="1" applyFill="1" applyBorder="1" applyAlignment="1">
      <alignment horizontal="left"/>
    </xf>
    <xf numFmtId="0" fontId="21" fillId="2" borderId="8" xfId="0" applyFont="1" applyFill="1" applyBorder="1" applyAlignment="1">
      <alignment horizontal="left" vertical="center"/>
    </xf>
    <xf numFmtId="0" fontId="21" fillId="2" borderId="13" xfId="0" applyFont="1" applyFill="1" applyBorder="1" applyAlignment="1">
      <alignment horizontal="left" vertical="center"/>
    </xf>
    <xf numFmtId="0" fontId="21" fillId="2" borderId="0" xfId="0" applyFont="1" applyFill="1" applyAlignment="1">
      <alignment horizontal="left" vertical="center"/>
    </xf>
    <xf numFmtId="0" fontId="21" fillId="2" borderId="16" xfId="0" applyFont="1" applyFill="1" applyBorder="1" applyAlignment="1">
      <alignment horizontal="left" vertical="center"/>
    </xf>
    <xf numFmtId="0" fontId="29" fillId="0" borderId="0" xfId="0" applyFont="1" applyAlignment="1">
      <alignment wrapText="1"/>
    </xf>
    <xf numFmtId="0" fontId="13" fillId="4" borderId="9" xfId="0" applyFont="1" applyFill="1" applyBorder="1" applyAlignment="1">
      <alignment horizontal="left"/>
    </xf>
    <xf numFmtId="0" fontId="13" fillId="4" borderId="1" xfId="0" applyFont="1" applyFill="1" applyBorder="1" applyAlignment="1">
      <alignment horizontal="left"/>
    </xf>
    <xf numFmtId="0" fontId="13" fillId="4" borderId="12" xfId="0" applyFont="1" applyFill="1" applyBorder="1" applyAlignment="1">
      <alignment horizontal="left"/>
    </xf>
    <xf numFmtId="0" fontId="13" fillId="4" borderId="14" xfId="0" applyFont="1" applyFill="1" applyBorder="1" applyAlignment="1">
      <alignment horizontal="left"/>
    </xf>
    <xf numFmtId="0" fontId="29"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30" fillId="8" borderId="7" xfId="0" applyFont="1" applyFill="1" applyBorder="1" applyAlignment="1">
      <alignment horizontal="center" vertical="center" wrapText="1"/>
    </xf>
    <xf numFmtId="0" fontId="30" fillId="8" borderId="0" xfId="0" applyFont="1" applyFill="1" applyAlignment="1">
      <alignment horizontal="center" vertical="center" wrapText="1"/>
    </xf>
    <xf numFmtId="0" fontId="30" fillId="0" borderId="7" xfId="0" applyFont="1" applyBorder="1" applyAlignment="1">
      <alignment horizontal="center" vertical="center" wrapText="1"/>
    </xf>
    <xf numFmtId="0" fontId="30" fillId="0" borderId="0" xfId="0" applyFont="1" applyAlignment="1">
      <alignment horizontal="center" vertical="center" wrapText="1"/>
    </xf>
    <xf numFmtId="0" fontId="29" fillId="7" borderId="7" xfId="0" applyFont="1" applyFill="1" applyBorder="1" applyAlignment="1">
      <alignment vertical="center"/>
    </xf>
    <xf numFmtId="0" fontId="14" fillId="7" borderId="5" xfId="9" applyFill="1" applyBorder="1" applyAlignment="1">
      <alignment horizontal="left" vertical="top" wrapText="1"/>
    </xf>
    <xf numFmtId="0" fontId="14" fillId="7" borderId="3" xfId="9" applyFill="1" applyBorder="1" applyAlignment="1">
      <alignment horizontal="left" vertical="top" wrapText="1"/>
    </xf>
    <xf numFmtId="0" fontId="13" fillId="2" borderId="18" xfId="0" applyFont="1" applyFill="1" applyBorder="1" applyAlignment="1">
      <alignment horizontal="left"/>
    </xf>
    <xf numFmtId="0" fontId="13" fillId="2" borderId="1" xfId="0" applyFont="1" applyFill="1" applyBorder="1" applyAlignment="1">
      <alignment horizontal="left"/>
    </xf>
    <xf numFmtId="0" fontId="13" fillId="2" borderId="12" xfId="0" applyFont="1" applyFill="1" applyBorder="1" applyAlignment="1">
      <alignment horizontal="left"/>
    </xf>
    <xf numFmtId="0" fontId="13" fillId="2" borderId="14" xfId="0" applyFont="1" applyFill="1" applyBorder="1" applyAlignment="1">
      <alignment horizontal="left"/>
    </xf>
    <xf numFmtId="0" fontId="30" fillId="7" borderId="0" xfId="0" applyFont="1" applyFill="1" applyAlignment="1">
      <alignment wrapText="1"/>
    </xf>
    <xf numFmtId="0" fontId="13" fillId="4" borderId="18" xfId="0" applyFont="1" applyFill="1" applyBorder="1" applyAlignment="1">
      <alignment horizontal="left"/>
    </xf>
    <xf numFmtId="0" fontId="18" fillId="0" borderId="5" xfId="0" applyFont="1" applyBorder="1" applyAlignment="1">
      <alignment horizontal="left" vertical="top" wrapText="1"/>
    </xf>
    <xf numFmtId="0" fontId="18" fillId="0" borderId="3" xfId="0" applyFont="1" applyBorder="1" applyAlignment="1">
      <alignment horizontal="left" vertical="top" wrapText="1"/>
    </xf>
    <xf numFmtId="0" fontId="29" fillId="3" borderId="7" xfId="0" applyFont="1" applyFill="1" applyBorder="1" applyAlignment="1">
      <alignment wrapText="1"/>
    </xf>
    <xf numFmtId="0" fontId="29" fillId="3" borderId="0" xfId="0" applyFont="1" applyFill="1" applyAlignment="1">
      <alignment wrapText="1"/>
    </xf>
    <xf numFmtId="0" fontId="14" fillId="3" borderId="7" xfId="0" applyFont="1" applyFill="1" applyBorder="1" applyAlignment="1">
      <alignment wrapText="1"/>
    </xf>
    <xf numFmtId="0" fontId="14" fillId="3" borderId="0" xfId="0" applyFont="1" applyFill="1" applyAlignment="1">
      <alignment wrapText="1"/>
    </xf>
    <xf numFmtId="0" fontId="0" fillId="7" borderId="7" xfId="0" applyFill="1" applyBorder="1" applyAlignment="1">
      <alignment vertical="center" wrapText="1"/>
    </xf>
    <xf numFmtId="0" fontId="13" fillId="4" borderId="14" xfId="0" applyFont="1" applyFill="1" applyBorder="1" applyAlignment="1">
      <alignment horizontal="left" wrapText="1"/>
    </xf>
    <xf numFmtId="0" fontId="14" fillId="3" borderId="5" xfId="0" applyFont="1" applyFill="1" applyBorder="1" applyAlignment="1">
      <alignment vertical="center" wrapText="1"/>
    </xf>
    <xf numFmtId="0" fontId="14" fillId="0" borderId="3" xfId="0" applyFont="1" applyBorder="1" applyAlignment="1">
      <alignment vertical="center"/>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14" fillId="3" borderId="7" xfId="0" applyFont="1" applyFill="1" applyBorder="1" applyAlignment="1">
      <alignment horizontal="left" vertical="top" wrapText="1"/>
    </xf>
    <xf numFmtId="0" fontId="14" fillId="3" borderId="0" xfId="0" applyFont="1" applyFill="1" applyAlignment="1">
      <alignment horizontal="left" vertical="top" wrapText="1"/>
    </xf>
    <xf numFmtId="0" fontId="30" fillId="3" borderId="7" xfId="0" applyFont="1" applyFill="1" applyBorder="1" applyAlignment="1">
      <alignment horizontal="left" vertical="top" wrapText="1"/>
    </xf>
    <xf numFmtId="0" fontId="30" fillId="3" borderId="0" xfId="0" applyFont="1" applyFill="1" applyAlignment="1">
      <alignment horizontal="left" vertical="top" wrapText="1"/>
    </xf>
    <xf numFmtId="0" fontId="13" fillId="2" borderId="18" xfId="0" applyFont="1" applyFill="1" applyBorder="1" applyAlignment="1">
      <alignment horizontal="left" wrapText="1"/>
    </xf>
    <xf numFmtId="0" fontId="13" fillId="2" borderId="12" xfId="0" applyFont="1" applyFill="1" applyBorder="1" applyAlignment="1">
      <alignment horizontal="left" wrapText="1"/>
    </xf>
    <xf numFmtId="0" fontId="13" fillId="2" borderId="14" xfId="0" applyFont="1" applyFill="1" applyBorder="1" applyAlignment="1">
      <alignment horizontal="left" wrapText="1"/>
    </xf>
    <xf numFmtId="0" fontId="14" fillId="7" borderId="5" xfId="9" applyFill="1" applyBorder="1" applyAlignment="1">
      <alignment vertical="top" wrapText="1"/>
    </xf>
    <xf numFmtId="0" fontId="14" fillId="0" borderId="3" xfId="0" applyFont="1" applyBorder="1" applyAlignment="1">
      <alignment vertical="top" wrapText="1"/>
    </xf>
    <xf numFmtId="0" fontId="29" fillId="7" borderId="0" xfId="0" applyFont="1" applyFill="1" applyAlignment="1">
      <alignment horizontal="center" vertical="center" wrapText="1"/>
    </xf>
    <xf numFmtId="0" fontId="21" fillId="6" borderId="18" xfId="0" applyFont="1" applyFill="1" applyBorder="1" applyAlignment="1">
      <alignment horizontal="left"/>
    </xf>
    <xf numFmtId="0" fontId="21" fillId="6" borderId="12" xfId="0" applyFont="1" applyFill="1" applyBorder="1" applyAlignment="1">
      <alignment horizontal="left"/>
    </xf>
    <xf numFmtId="0" fontId="21" fillId="6" borderId="14" xfId="0" applyFont="1" applyFill="1" applyBorder="1" applyAlignment="1">
      <alignment horizontal="left"/>
    </xf>
    <xf numFmtId="0" fontId="13" fillId="2" borderId="7" xfId="0" applyFont="1" applyFill="1" applyBorder="1" applyAlignment="1">
      <alignment horizontal="left"/>
    </xf>
    <xf numFmtId="0" fontId="13" fillId="8" borderId="12" xfId="0" applyFont="1" applyFill="1" applyBorder="1" applyAlignment="1">
      <alignment horizontal="left" wrapText="1"/>
    </xf>
    <xf numFmtId="0" fontId="13" fillId="8" borderId="14" xfId="0" applyFont="1" applyFill="1" applyBorder="1" applyAlignment="1">
      <alignment horizontal="left" wrapText="1"/>
    </xf>
    <xf numFmtId="0" fontId="18" fillId="7" borderId="7"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4" fillId="7" borderId="7" xfId="0" applyFont="1" applyFill="1" applyBorder="1" applyAlignment="1">
      <alignment horizontal="left" vertical="center" wrapText="1"/>
    </xf>
    <xf numFmtId="0" fontId="14" fillId="7" borderId="0" xfId="0" applyFont="1" applyFill="1" applyAlignment="1">
      <alignment horizontal="left" vertical="center" wrapText="1"/>
    </xf>
    <xf numFmtId="0" fontId="0" fillId="0" borderId="12" xfId="0" applyBorder="1" applyAlignment="1">
      <alignment horizontal="left" wrapText="1"/>
    </xf>
    <xf numFmtId="0" fontId="0" fillId="0" borderId="14" xfId="0" applyBorder="1" applyAlignment="1">
      <alignment horizontal="left" wrapText="1"/>
    </xf>
    <xf numFmtId="0" fontId="18" fillId="7" borderId="7" xfId="0" applyFont="1" applyFill="1" applyBorder="1" applyAlignment="1">
      <alignment horizontal="left" vertical="center" wrapText="1"/>
    </xf>
    <xf numFmtId="0" fontId="18" fillId="7" borderId="0" xfId="0" applyFont="1" applyFill="1" applyAlignment="1">
      <alignment horizontal="left" vertical="center" wrapText="1"/>
    </xf>
    <xf numFmtId="0" fontId="30" fillId="7" borderId="7" xfId="0" applyFont="1" applyFill="1" applyBorder="1" applyAlignment="1">
      <alignment horizontal="left" vertical="center" wrapText="1"/>
    </xf>
    <xf numFmtId="0" fontId="44" fillId="7" borderId="0" xfId="0" applyFont="1" applyFill="1" applyAlignment="1">
      <alignment horizontal="left" vertical="center" wrapText="1"/>
    </xf>
    <xf numFmtId="0" fontId="13" fillId="3" borderId="18" xfId="0" applyFont="1" applyFill="1" applyBorder="1" applyAlignment="1">
      <alignment horizontal="left"/>
    </xf>
    <xf numFmtId="0" fontId="13" fillId="3" borderId="12" xfId="0" applyFont="1" applyFill="1" applyBorder="1" applyAlignment="1">
      <alignment horizontal="left"/>
    </xf>
    <xf numFmtId="0" fontId="13" fillId="3" borderId="14" xfId="0" applyFont="1" applyFill="1" applyBorder="1" applyAlignment="1">
      <alignment horizontal="left"/>
    </xf>
    <xf numFmtId="0" fontId="0" fillId="7" borderId="0" xfId="0" applyFill="1" applyAlignment="1">
      <alignment wrapText="1"/>
    </xf>
    <xf numFmtId="0" fontId="30" fillId="0" borderId="7" xfId="0" applyFont="1" applyBorder="1" applyAlignment="1">
      <alignment horizontal="left" vertical="center" wrapText="1"/>
    </xf>
    <xf numFmtId="0" fontId="30" fillId="0" borderId="0" xfId="0" applyFont="1" applyAlignment="1">
      <alignment horizontal="left" vertical="center" wrapText="1"/>
    </xf>
    <xf numFmtId="0" fontId="49" fillId="7" borderId="7" xfId="0" applyFont="1" applyFill="1" applyBorder="1" applyAlignment="1">
      <alignment horizontal="center" vertical="center" wrapText="1"/>
    </xf>
    <xf numFmtId="0" fontId="49" fillId="7" borderId="0" xfId="0" applyFont="1" applyFill="1" applyAlignment="1">
      <alignment horizontal="center" vertical="center" wrapText="1"/>
    </xf>
    <xf numFmtId="0" fontId="30" fillId="7" borderId="0" xfId="0" applyFont="1" applyFill="1" applyAlignment="1">
      <alignment horizontal="left" vertical="center" wrapText="1"/>
    </xf>
    <xf numFmtId="0" fontId="30" fillId="7" borderId="7" xfId="0" applyFont="1" applyFill="1" applyBorder="1" applyAlignment="1">
      <alignment horizontal="center"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18" fillId="0" borderId="7" xfId="0" applyFont="1" applyBorder="1" applyAlignment="1">
      <alignment horizontal="left" vertical="center" wrapText="1"/>
    </xf>
    <xf numFmtId="0" fontId="18" fillId="0" borderId="0" xfId="0" applyFont="1" applyAlignment="1">
      <alignment horizontal="left" vertical="center" wrapText="1"/>
    </xf>
    <xf numFmtId="0" fontId="30" fillId="7" borderId="0" xfId="0" applyFont="1" applyFill="1" applyAlignment="1">
      <alignment horizontal="center" wrapText="1"/>
    </xf>
    <xf numFmtId="0" fontId="18" fillId="0" borderId="7" xfId="0" applyFont="1" applyBorder="1" applyAlignment="1">
      <alignment vertical="center" wrapText="1"/>
    </xf>
    <xf numFmtId="0" fontId="18" fillId="7" borderId="7" xfId="0" applyFont="1" applyFill="1" applyBorder="1" applyAlignment="1">
      <alignment vertical="center" wrapText="1"/>
    </xf>
    <xf numFmtId="0" fontId="30" fillId="7" borderId="7" xfId="0" applyFont="1" applyFill="1" applyBorder="1" applyAlignment="1">
      <alignment horizontal="left" vertical="top" wrapText="1"/>
    </xf>
    <xf numFmtId="0" fontId="30" fillId="7" borderId="0" xfId="0" applyFont="1" applyFill="1" applyAlignment="1">
      <alignment horizontal="left" vertical="top" wrapText="1"/>
    </xf>
    <xf numFmtId="0" fontId="18" fillId="7" borderId="5"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4" fillId="7" borderId="5" xfId="0" applyFont="1" applyFill="1" applyBorder="1" applyAlignment="1">
      <alignment vertical="center" wrapText="1"/>
    </xf>
    <xf numFmtId="0" fontId="14" fillId="7" borderId="3" xfId="0" applyFont="1" applyFill="1" applyBorder="1" applyAlignment="1">
      <alignment vertical="center" wrapText="1"/>
    </xf>
    <xf numFmtId="0" fontId="14" fillId="7" borderId="5" xfId="0" applyFont="1" applyFill="1" applyBorder="1" applyAlignment="1">
      <alignment wrapText="1"/>
    </xf>
    <xf numFmtId="0" fontId="14" fillId="7" borderId="3" xfId="0" applyFont="1" applyFill="1" applyBorder="1" applyAlignment="1">
      <alignment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wrapText="1"/>
    </xf>
    <xf numFmtId="0" fontId="13" fillId="4" borderId="9" xfId="0" applyFont="1" applyFill="1" applyBorder="1" applyAlignment="1">
      <alignment horizontal="left" wrapText="1"/>
    </xf>
    <xf numFmtId="0" fontId="29" fillId="7" borderId="7" xfId="0" applyFont="1" applyFill="1" applyBorder="1" applyAlignment="1">
      <alignment horizontal="center" vertical="center"/>
    </xf>
    <xf numFmtId="0" fontId="14"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49" fontId="21" fillId="0" borderId="0" xfId="0" applyNumberFormat="1" applyFont="1" applyAlignment="1">
      <alignment horizontal="right" vertical="center"/>
    </xf>
    <xf numFmtId="49" fontId="0" fillId="0" borderId="0" xfId="0" applyNumberFormat="1" applyAlignment="1">
      <alignment horizontal="right" vertical="center"/>
    </xf>
    <xf numFmtId="0" fontId="14" fillId="0" borderId="0" xfId="0" applyFont="1" applyAlignment="1">
      <alignment vertical="center"/>
    </xf>
    <xf numFmtId="0" fontId="14" fillId="0" borderId="0" xfId="0" applyFont="1" applyAlignment="1">
      <alignment horizontal="left"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21" fillId="0" borderId="5" xfId="0" applyFont="1" applyBorder="1" applyAlignment="1">
      <alignment horizontal="center" vertical="center" wrapText="1"/>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8" xfId="0" applyFont="1" applyBorder="1" applyAlignment="1">
      <alignment horizontal="center" vertical="center" wrapText="1"/>
    </xf>
    <xf numFmtId="0" fontId="21" fillId="0" borderId="7" xfId="0" applyFont="1" applyBorder="1" applyAlignment="1">
      <alignment horizontal="center" wrapText="1"/>
    </xf>
    <xf numFmtId="0" fontId="21" fillId="0" borderId="9" xfId="0" applyFont="1" applyBorder="1" applyAlignment="1">
      <alignment horizontal="center" wrapText="1"/>
    </xf>
    <xf numFmtId="0" fontId="21" fillId="0" borderId="5"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13" fillId="0" borderId="0" xfId="0" applyFont="1" applyAlignment="1">
      <alignment horizontal="center"/>
    </xf>
    <xf numFmtId="0" fontId="18" fillId="0" borderId="0" xfId="0" applyFont="1" applyAlignment="1"/>
    <xf numFmtId="0" fontId="0" fillId="0" borderId="0" xfId="0" applyAlignment="1"/>
    <xf numFmtId="0" fontId="14" fillId="7" borderId="7" xfId="0" applyFont="1" applyFill="1" applyBorder="1" applyAlignment="1"/>
    <xf numFmtId="0" fontId="14" fillId="7" borderId="0" xfId="0" applyFont="1" applyFill="1" applyAlignment="1"/>
    <xf numFmtId="0" fontId="21"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8" fillId="0" borderId="7" xfId="0" applyFont="1" applyBorder="1" applyAlignment="1"/>
    <xf numFmtId="0" fontId="18" fillId="7" borderId="7" xfId="0" applyFont="1" applyFill="1" applyBorder="1" applyAlignment="1"/>
    <xf numFmtId="0" fontId="18" fillId="7" borderId="0" xfId="0" applyFont="1" applyFill="1" applyAlignment="1"/>
  </cellXfs>
  <cellStyles count="33">
    <cellStyle name="Currency 2" xfId="24" xr:uid="{00000000-0005-0000-0000-000001000000}"/>
    <cellStyle name="Normal" xfId="0" builtinId="0"/>
    <cellStyle name="Normal 2" xfId="6" xr:uid="{00000000-0005-0000-0000-000003000000}"/>
    <cellStyle name="Normal 2 3" xfId="28" xr:uid="{DCC92253-104B-4404-ACA7-74B3234A2BCB}"/>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3 3" xfId="29" xr:uid="{0872B165-44F6-4E3D-A78B-B5BC10B04669}"/>
    <cellStyle name="Normal 4" xfId="4" xr:uid="{00000000-0005-0000-0000-000008000000}"/>
    <cellStyle name="Normal 5" xfId="3" xr:uid="{00000000-0005-0000-0000-000009000000}"/>
    <cellStyle name="Normal 5 3" xfId="30" xr:uid="{075CCA3F-535F-4458-B9CD-7738E0BC7DA2}"/>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2 2 2" xfId="31" xr:uid="{2429A2AD-CE63-4BF2-A65F-BC3D9F678A70}"/>
    <cellStyle name="Normal 5 4 7 2 2 2 3" xfId="32" xr:uid="{C28CD690-C7FB-44B5-A621-435C609303FA}"/>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B98DD-B579-4EF8-BF79-DD19CC32FC36}">
  <dimension ref="A1:S2599"/>
  <sheetViews>
    <sheetView tabSelected="1" zoomScale="110" zoomScaleNormal="110" workbookViewId="0">
      <pane ySplit="25" topLeftCell="A26" activePane="bottomLeft" state="frozen"/>
      <selection pane="bottomLeft" activeCell="F1" sqref="F1:I1"/>
    </sheetView>
  </sheetViews>
  <sheetFormatPr defaultRowHeight="12.4"/>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12.5703125"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740" t="s">
        <v>0</v>
      </c>
      <c r="G1" s="741"/>
      <c r="H1" s="741"/>
      <c r="I1" s="741"/>
    </row>
    <row r="2" spans="1:13" ht="12.75" customHeight="1">
      <c r="A2" s="27" t="s">
        <v>1</v>
      </c>
      <c r="F2" t="s">
        <v>2</v>
      </c>
      <c r="I2" s="5"/>
    </row>
    <row r="3" spans="1:13" ht="13.5" customHeight="1">
      <c r="A3" s="756" t="s">
        <v>3</v>
      </c>
      <c r="B3" s="757"/>
      <c r="C3" s="757"/>
      <c r="D3" s="757"/>
      <c r="E3" s="757"/>
      <c r="F3" s="757"/>
      <c r="G3" s="757"/>
      <c r="H3" s="757"/>
      <c r="I3" s="757"/>
    </row>
    <row r="4" spans="1:13" ht="15" customHeight="1">
      <c r="A4" s="756" t="s">
        <v>4</v>
      </c>
      <c r="B4" s="757"/>
      <c r="C4" s="757"/>
      <c r="D4" s="757"/>
      <c r="E4" s="757"/>
      <c r="F4" s="757"/>
      <c r="G4" s="757"/>
      <c r="H4" s="757"/>
      <c r="I4" s="757"/>
    </row>
    <row r="5" spans="1:13" ht="15.75" customHeight="1">
      <c r="A5" s="756" t="s">
        <v>5</v>
      </c>
      <c r="B5" s="757"/>
      <c r="C5" s="757"/>
      <c r="D5" s="757"/>
      <c r="E5" s="757"/>
      <c r="F5" s="757"/>
      <c r="G5" s="757"/>
      <c r="H5" s="757"/>
      <c r="I5" s="757"/>
    </row>
    <row r="6" spans="1:13" ht="15" customHeight="1">
      <c r="A6" s="238" t="s">
        <v>6</v>
      </c>
    </row>
    <row r="7" spans="1:13" ht="15" customHeight="1">
      <c r="A7" s="238" t="s">
        <v>7</v>
      </c>
    </row>
    <row r="8" spans="1:13" ht="15" customHeight="1">
      <c r="A8" s="238"/>
    </row>
    <row r="9" spans="1:13" ht="15.75" customHeight="1">
      <c r="A9" s="742"/>
      <c r="B9" s="757"/>
      <c r="C9" s="757"/>
      <c r="D9" s="757"/>
      <c r="E9" s="757"/>
      <c r="F9" s="757"/>
      <c r="G9" s="757"/>
      <c r="H9" s="757"/>
      <c r="I9" s="757"/>
    </row>
    <row r="10" spans="1:13" ht="13.5" customHeight="1">
      <c r="A10" s="743"/>
      <c r="B10" s="757"/>
      <c r="C10" s="757"/>
      <c r="D10" s="757"/>
      <c r="E10" s="757"/>
      <c r="F10" s="757"/>
      <c r="G10" s="757"/>
      <c r="H10" s="757"/>
      <c r="I10" s="757"/>
      <c r="M10" s="242"/>
    </row>
    <row r="11" spans="1:13" ht="15.75" customHeight="1">
      <c r="A11" s="743"/>
      <c r="B11" s="757"/>
      <c r="C11" s="757"/>
      <c r="D11" s="757"/>
      <c r="E11" s="757"/>
      <c r="F11" s="757"/>
      <c r="G11" s="757"/>
      <c r="H11" s="757"/>
      <c r="I11" s="757"/>
    </row>
    <row r="12" spans="1:13" ht="13.5" customHeight="1">
      <c r="A12" s="337"/>
      <c r="B12"/>
      <c r="D12"/>
    </row>
    <row r="13" spans="1:13" ht="13.5" customHeight="1">
      <c r="F13" s="562" t="s">
        <v>8</v>
      </c>
      <c r="G13" s="562"/>
      <c r="H13" s="562"/>
      <c r="I13" s="562"/>
    </row>
    <row r="14" spans="1:13" ht="14.25" customHeight="1">
      <c r="F14" s="549" t="s">
        <v>9</v>
      </c>
      <c r="G14" s="757"/>
      <c r="H14" s="757"/>
      <c r="I14" s="757"/>
    </row>
    <row r="15" spans="1:13" ht="14.25" customHeight="1">
      <c r="F15" s="564" t="s">
        <v>10</v>
      </c>
      <c r="G15" s="757"/>
      <c r="H15" s="757"/>
      <c r="I15" s="757"/>
    </row>
    <row r="16" spans="1:13" ht="14.25" customHeight="1">
      <c r="F16" s="6"/>
    </row>
    <row r="17" spans="1:13" ht="15" customHeight="1">
      <c r="A17" s="755" t="s">
        <v>11</v>
      </c>
      <c r="B17" s="755"/>
      <c r="C17" s="755"/>
      <c r="D17" s="755"/>
      <c r="E17" s="755"/>
      <c r="F17" s="755"/>
      <c r="G17" s="755"/>
      <c r="H17" s="755"/>
      <c r="I17" s="755"/>
    </row>
    <row r="18" spans="1:13" ht="15" customHeight="1">
      <c r="A18" s="755" t="s">
        <v>12</v>
      </c>
      <c r="B18" s="755"/>
      <c r="C18" s="755"/>
      <c r="D18" s="755"/>
      <c r="E18" s="755"/>
      <c r="F18" s="755"/>
      <c r="G18" s="755"/>
      <c r="H18" s="755"/>
      <c r="I18" s="755"/>
    </row>
    <row r="19" spans="1:13" ht="13.5" customHeight="1">
      <c r="A19" s="338"/>
      <c r="B19" s="338"/>
      <c r="C19" s="338"/>
      <c r="D19" s="338"/>
      <c r="E19" s="338"/>
      <c r="F19" s="338"/>
      <c r="G19" s="338"/>
      <c r="H19" s="338"/>
      <c r="I19" s="338"/>
    </row>
    <row r="20" spans="1:13" ht="13.5" customHeight="1">
      <c r="B20" s="2"/>
      <c r="C20" s="1"/>
      <c r="D20" s="2"/>
      <c r="H20" s="744" t="s">
        <v>13</v>
      </c>
      <c r="I20" s="745"/>
    </row>
    <row r="21" spans="1:13" s="95" customFormat="1">
      <c r="A21" s="152" t="s">
        <v>14</v>
      </c>
      <c r="B21" s="129" t="s">
        <v>15</v>
      </c>
      <c r="C21" s="129" t="s">
        <v>16</v>
      </c>
      <c r="D21" s="156" t="s">
        <v>17</v>
      </c>
      <c r="E21" s="746" t="s">
        <v>18</v>
      </c>
      <c r="F21" s="746" t="s">
        <v>19</v>
      </c>
      <c r="G21" s="749" t="s">
        <v>20</v>
      </c>
      <c r="H21" s="746" t="s">
        <v>21</v>
      </c>
      <c r="I21" s="752" t="s">
        <v>22</v>
      </c>
    </row>
    <row r="22" spans="1:13" s="95" customFormat="1">
      <c r="A22" s="58" t="s">
        <v>23</v>
      </c>
      <c r="B22" s="97"/>
      <c r="C22" s="97"/>
      <c r="D22" s="157" t="s">
        <v>24</v>
      </c>
      <c r="E22" s="747"/>
      <c r="F22" s="747"/>
      <c r="G22" s="750"/>
      <c r="H22" s="747"/>
      <c r="I22" s="753"/>
    </row>
    <row r="23" spans="1:13" s="95" customFormat="1">
      <c r="A23" s="58" t="s">
        <v>25</v>
      </c>
      <c r="B23" s="97"/>
      <c r="C23" s="58"/>
      <c r="D23" s="158" t="s">
        <v>26</v>
      </c>
      <c r="E23" s="747"/>
      <c r="F23" s="747"/>
      <c r="G23" s="750"/>
      <c r="H23" s="747"/>
      <c r="I23" s="753"/>
    </row>
    <row r="24" spans="1:13" s="95" customFormat="1">
      <c r="A24" s="131"/>
      <c r="B24" s="289"/>
      <c r="C24" s="131"/>
      <c r="D24" s="98">
        <v>46022</v>
      </c>
      <c r="E24" s="748"/>
      <c r="F24" s="748"/>
      <c r="G24" s="751"/>
      <c r="H24" s="748"/>
      <c r="I24" s="754"/>
    </row>
    <row r="25" spans="1:13" s="100" customFormat="1">
      <c r="A25" s="159">
        <v>0</v>
      </c>
      <c r="B25" s="159">
        <v>1</v>
      </c>
      <c r="C25" s="159" t="s">
        <v>27</v>
      </c>
      <c r="D25" s="159">
        <v>3</v>
      </c>
      <c r="E25" s="132">
        <v>4</v>
      </c>
      <c r="F25" s="132">
        <v>5</v>
      </c>
      <c r="G25" s="132">
        <v>6</v>
      </c>
      <c r="H25" s="132">
        <v>7</v>
      </c>
      <c r="I25" s="99">
        <v>8</v>
      </c>
    </row>
    <row r="26" spans="1:13" ht="15.4">
      <c r="A26" s="165" t="s">
        <v>28</v>
      </c>
      <c r="B26" s="166" t="s">
        <v>29</v>
      </c>
      <c r="C26" s="167">
        <f>D26+E26+F26+G26+H26+I26</f>
        <v>2942603.8590000002</v>
      </c>
      <c r="D26" s="77">
        <f>D28+D50+D56</f>
        <v>945815.027</v>
      </c>
      <c r="E26" s="77">
        <f t="shared" ref="E26:I27" si="0">E28+E50+E56</f>
        <v>574594</v>
      </c>
      <c r="F26" s="77">
        <f t="shared" si="0"/>
        <v>634635.47</v>
      </c>
      <c r="G26" s="77">
        <f t="shared" si="0"/>
        <v>426097.79300000001</v>
      </c>
      <c r="H26" s="77">
        <f t="shared" si="0"/>
        <v>138627.69</v>
      </c>
      <c r="I26" s="77">
        <f t="shared" si="0"/>
        <v>222833.87899999999</v>
      </c>
      <c r="J26" s="68"/>
      <c r="M26" s="252"/>
    </row>
    <row r="27" spans="1:13" ht="12.95" thickBot="1">
      <c r="A27" s="168"/>
      <c r="B27" s="169" t="s">
        <v>30</v>
      </c>
      <c r="C27" s="167">
        <f t="shared" ref="C27:C75" si="1">D27+E27+F27+G27+H27+I27</f>
        <v>2942603.8590000002</v>
      </c>
      <c r="D27" s="77">
        <f>D29+D51+D57</f>
        <v>945815.027</v>
      </c>
      <c r="E27" s="77">
        <f t="shared" si="0"/>
        <v>574594</v>
      </c>
      <c r="F27" s="77">
        <f t="shared" si="0"/>
        <v>634635.47</v>
      </c>
      <c r="G27" s="77">
        <f t="shared" si="0"/>
        <v>426097.79300000001</v>
      </c>
      <c r="H27" s="77">
        <f t="shared" si="0"/>
        <v>138627.69</v>
      </c>
      <c r="I27" s="77">
        <f t="shared" si="0"/>
        <v>222833.87899999999</v>
      </c>
      <c r="J27" s="68"/>
    </row>
    <row r="28" spans="1:13">
      <c r="A28" s="14" t="s">
        <v>31</v>
      </c>
      <c r="B28" s="3" t="s">
        <v>29</v>
      </c>
      <c r="C28" s="130">
        <f t="shared" si="1"/>
        <v>2351239.9709999999</v>
      </c>
      <c r="D28" s="130">
        <f>D30+D32+D34+D36</f>
        <v>701631.80700000003</v>
      </c>
      <c r="E28" s="130">
        <f t="shared" ref="E28:I29" si="2">E30+E32+E34+E36</f>
        <v>433843</v>
      </c>
      <c r="F28" s="130">
        <f t="shared" si="2"/>
        <v>580879.59</v>
      </c>
      <c r="G28" s="130">
        <f t="shared" si="2"/>
        <v>379837.79300000001</v>
      </c>
      <c r="H28" s="130">
        <f t="shared" si="2"/>
        <v>98381.69</v>
      </c>
      <c r="I28" s="130">
        <f t="shared" si="2"/>
        <v>156666.09099999999</v>
      </c>
    </row>
    <row r="29" spans="1:13">
      <c r="A29" s="10" t="s">
        <v>32</v>
      </c>
      <c r="B29" s="4" t="s">
        <v>30</v>
      </c>
      <c r="C29" s="130">
        <f t="shared" si="1"/>
        <v>2351239.9709999999</v>
      </c>
      <c r="D29" s="130">
        <f>D31+D33+D35+D37</f>
        <v>701631.80700000003</v>
      </c>
      <c r="E29" s="130">
        <f t="shared" si="2"/>
        <v>433843</v>
      </c>
      <c r="F29" s="130">
        <f t="shared" si="2"/>
        <v>580879.59</v>
      </c>
      <c r="G29" s="130">
        <f t="shared" si="2"/>
        <v>379837.79300000001</v>
      </c>
      <c r="H29" s="130">
        <f t="shared" si="2"/>
        <v>98381.69</v>
      </c>
      <c r="I29" s="130">
        <f t="shared" si="2"/>
        <v>156666.09099999999</v>
      </c>
    </row>
    <row r="30" spans="1:13" s="20" customFormat="1" ht="25.7">
      <c r="A30" s="258" t="s">
        <v>33</v>
      </c>
      <c r="B30" s="63" t="s">
        <v>29</v>
      </c>
      <c r="C30" s="64">
        <f>D30+E30+F30+G30+H30+I30</f>
        <v>813236.02</v>
      </c>
      <c r="D30" s="64">
        <f t="shared" ref="D30:I35" si="3">D82+D501</f>
        <v>103890.02</v>
      </c>
      <c r="E30" s="64">
        <f t="shared" si="3"/>
        <v>347079</v>
      </c>
      <c r="F30" s="64">
        <f t="shared" si="3"/>
        <v>239268</v>
      </c>
      <c r="G30" s="64">
        <f t="shared" si="3"/>
        <v>117999</v>
      </c>
      <c r="H30" s="64">
        <f t="shared" si="3"/>
        <v>5000</v>
      </c>
      <c r="I30" s="64">
        <f t="shared" si="3"/>
        <v>0</v>
      </c>
    </row>
    <row r="31" spans="1:13" s="20" customFormat="1" ht="12.95">
      <c r="A31" s="16"/>
      <c r="B31" s="62"/>
      <c r="C31" s="64">
        <f>D31+E31+F31+G31+H31+I31</f>
        <v>813236.02</v>
      </c>
      <c r="D31" s="64">
        <f t="shared" si="3"/>
        <v>103890.02</v>
      </c>
      <c r="E31" s="64">
        <f t="shared" si="3"/>
        <v>347079</v>
      </c>
      <c r="F31" s="64">
        <f t="shared" si="3"/>
        <v>239268</v>
      </c>
      <c r="G31" s="64">
        <f t="shared" si="3"/>
        <v>117999</v>
      </c>
      <c r="H31" s="64">
        <f t="shared" si="3"/>
        <v>5000</v>
      </c>
      <c r="I31" s="64">
        <f t="shared" si="3"/>
        <v>0</v>
      </c>
    </row>
    <row r="32" spans="1:13" s="20" customFormat="1" ht="12.95">
      <c r="A32" s="17" t="s">
        <v>34</v>
      </c>
      <c r="B32" s="63" t="s">
        <v>29</v>
      </c>
      <c r="C32" s="64">
        <f t="shared" si="1"/>
        <v>321316.46999999997</v>
      </c>
      <c r="D32" s="64">
        <f t="shared" si="3"/>
        <v>316064.78999999998</v>
      </c>
      <c r="E32" s="64">
        <f t="shared" si="3"/>
        <v>0</v>
      </c>
      <c r="F32" s="64">
        <f t="shared" si="3"/>
        <v>0</v>
      </c>
      <c r="G32" s="64">
        <f t="shared" si="3"/>
        <v>0</v>
      </c>
      <c r="H32" s="64">
        <f t="shared" si="3"/>
        <v>0</v>
      </c>
      <c r="I32" s="64">
        <f t="shared" si="3"/>
        <v>5251.68</v>
      </c>
    </row>
    <row r="33" spans="1:10" s="20" customFormat="1" ht="12.95">
      <c r="A33" s="16" t="s">
        <v>35</v>
      </c>
      <c r="B33" s="62" t="s">
        <v>30</v>
      </c>
      <c r="C33" s="64">
        <f t="shared" si="1"/>
        <v>321316.46999999997</v>
      </c>
      <c r="D33" s="64">
        <f t="shared" si="3"/>
        <v>316064.78999999998</v>
      </c>
      <c r="E33" s="64">
        <f t="shared" si="3"/>
        <v>0</v>
      </c>
      <c r="F33" s="64">
        <f t="shared" si="3"/>
        <v>0</v>
      </c>
      <c r="G33" s="64">
        <f t="shared" si="3"/>
        <v>0</v>
      </c>
      <c r="H33" s="64">
        <f t="shared" si="3"/>
        <v>0</v>
      </c>
      <c r="I33" s="64">
        <f t="shared" si="3"/>
        <v>5251.68</v>
      </c>
    </row>
    <row r="34" spans="1:10" s="46" customFormat="1" ht="25.5" customHeight="1">
      <c r="A34" s="533" t="s">
        <v>36</v>
      </c>
      <c r="B34" s="24" t="s">
        <v>29</v>
      </c>
      <c r="C34" s="52">
        <f t="shared" si="1"/>
        <v>69058.69</v>
      </c>
      <c r="D34" s="72">
        <f t="shared" si="3"/>
        <v>68716.69</v>
      </c>
      <c r="E34" s="72">
        <f t="shared" si="3"/>
        <v>342</v>
      </c>
      <c r="F34" s="72">
        <f t="shared" si="3"/>
        <v>0</v>
      </c>
      <c r="G34" s="72">
        <f t="shared" si="3"/>
        <v>0</v>
      </c>
      <c r="H34" s="72">
        <f t="shared" si="3"/>
        <v>0</v>
      </c>
      <c r="I34" s="72">
        <f t="shared" si="3"/>
        <v>0</v>
      </c>
      <c r="J34" s="248"/>
    </row>
    <row r="35" spans="1:10" s="46" customFormat="1" ht="12.95">
      <c r="A35" s="67"/>
      <c r="B35" s="26" t="s">
        <v>30</v>
      </c>
      <c r="C35" s="52">
        <f t="shared" si="1"/>
        <v>69058.69</v>
      </c>
      <c r="D35" s="72">
        <f t="shared" si="3"/>
        <v>68716.69</v>
      </c>
      <c r="E35" s="72">
        <f t="shared" si="3"/>
        <v>342</v>
      </c>
      <c r="F35" s="72">
        <f t="shared" si="3"/>
        <v>0</v>
      </c>
      <c r="G35" s="72">
        <f t="shared" si="3"/>
        <v>0</v>
      </c>
      <c r="H35" s="72">
        <f t="shared" si="3"/>
        <v>0</v>
      </c>
      <c r="I35" s="72">
        <f t="shared" si="3"/>
        <v>0</v>
      </c>
      <c r="J35" s="248"/>
    </row>
    <row r="36" spans="1:10" ht="12.95">
      <c r="A36" s="19" t="s">
        <v>37</v>
      </c>
      <c r="B36" s="3" t="s">
        <v>29</v>
      </c>
      <c r="C36" s="72">
        <f t="shared" si="1"/>
        <v>1147628.791</v>
      </c>
      <c r="D36" s="52">
        <f>D38+D48</f>
        <v>212960.30700000003</v>
      </c>
      <c r="E36" s="52">
        <f>E38+E48</f>
        <v>86422</v>
      </c>
      <c r="F36" s="52">
        <f t="shared" ref="E36:I37" si="4">F38+F48</f>
        <v>341611.58999999997</v>
      </c>
      <c r="G36" s="52">
        <f t="shared" si="4"/>
        <v>261838.79300000001</v>
      </c>
      <c r="H36" s="52">
        <f t="shared" si="4"/>
        <v>93381.69</v>
      </c>
      <c r="I36" s="52">
        <f t="shared" si="4"/>
        <v>151414.41099999999</v>
      </c>
    </row>
    <row r="37" spans="1:10" ht="12.95">
      <c r="A37" s="16"/>
      <c r="B37" s="4" t="s">
        <v>30</v>
      </c>
      <c r="C37" s="72">
        <f t="shared" si="1"/>
        <v>1147628.791</v>
      </c>
      <c r="D37" s="52">
        <f>D39+D49</f>
        <v>212960.30700000003</v>
      </c>
      <c r="E37" s="52">
        <f t="shared" si="4"/>
        <v>86422</v>
      </c>
      <c r="F37" s="52">
        <f t="shared" si="4"/>
        <v>341611.58999999997</v>
      </c>
      <c r="G37" s="52">
        <f t="shared" si="4"/>
        <v>261838.79300000001</v>
      </c>
      <c r="H37" s="52">
        <f t="shared" si="4"/>
        <v>93381.69</v>
      </c>
      <c r="I37" s="52">
        <f t="shared" si="4"/>
        <v>151414.41099999999</v>
      </c>
    </row>
    <row r="38" spans="1:10" ht="12.95">
      <c r="A38" s="15" t="s">
        <v>38</v>
      </c>
      <c r="B38" s="160" t="s">
        <v>29</v>
      </c>
      <c r="C38" s="72">
        <f t="shared" si="1"/>
        <v>881442.60100000002</v>
      </c>
      <c r="D38" s="64">
        <f>D40+D42+D44+D46</f>
        <v>207741.48700000002</v>
      </c>
      <c r="E38" s="64">
        <f t="shared" ref="E38:I39" si="5">E40+E42+E44+E46</f>
        <v>63965</v>
      </c>
      <c r="F38" s="64">
        <f t="shared" si="5"/>
        <v>253741.55</v>
      </c>
      <c r="G38" s="64">
        <f t="shared" si="5"/>
        <v>184020.783</v>
      </c>
      <c r="H38" s="64">
        <f t="shared" si="5"/>
        <v>27527.770000000004</v>
      </c>
      <c r="I38" s="64">
        <f t="shared" si="5"/>
        <v>144446.011</v>
      </c>
    </row>
    <row r="39" spans="1:10" ht="12.95">
      <c r="A39" s="30"/>
      <c r="B39" s="26" t="s">
        <v>30</v>
      </c>
      <c r="C39" s="72">
        <f t="shared" si="1"/>
        <v>881442.60100000002</v>
      </c>
      <c r="D39" s="64">
        <f>D41+D43+D45+D47</f>
        <v>207741.48700000002</v>
      </c>
      <c r="E39" s="64">
        <f t="shared" si="5"/>
        <v>63965</v>
      </c>
      <c r="F39" s="64">
        <f t="shared" si="5"/>
        <v>253741.55</v>
      </c>
      <c r="G39" s="64">
        <f t="shared" si="5"/>
        <v>184020.783</v>
      </c>
      <c r="H39" s="64">
        <f t="shared" si="5"/>
        <v>27527.770000000004</v>
      </c>
      <c r="I39" s="64">
        <f t="shared" si="5"/>
        <v>144446.011</v>
      </c>
    </row>
    <row r="40" spans="1:10">
      <c r="A40" s="28" t="s">
        <v>39</v>
      </c>
      <c r="B40" s="24" t="s">
        <v>29</v>
      </c>
      <c r="C40" s="72">
        <f t="shared" si="1"/>
        <v>831186.55</v>
      </c>
      <c r="D40" s="53">
        <f t="shared" ref="D40:I41" si="6">D92+D398</f>
        <v>169813.40700000004</v>
      </c>
      <c r="E40" s="53">
        <f t="shared" si="6"/>
        <v>54745</v>
      </c>
      <c r="F40" s="53">
        <f t="shared" si="6"/>
        <v>253741.55</v>
      </c>
      <c r="G40" s="53">
        <f t="shared" si="6"/>
        <v>184020.783</v>
      </c>
      <c r="H40" s="53">
        <f t="shared" si="6"/>
        <v>27527.770000000004</v>
      </c>
      <c r="I40" s="53">
        <f t="shared" si="6"/>
        <v>141338.04</v>
      </c>
    </row>
    <row r="41" spans="1:10">
      <c r="A41" s="21"/>
      <c r="B41" s="26" t="s">
        <v>30</v>
      </c>
      <c r="C41" s="72">
        <f t="shared" si="1"/>
        <v>831186.55</v>
      </c>
      <c r="D41" s="53">
        <f t="shared" si="6"/>
        <v>169813.40700000004</v>
      </c>
      <c r="E41" s="53">
        <f t="shared" si="6"/>
        <v>54745</v>
      </c>
      <c r="F41" s="53">
        <f t="shared" si="6"/>
        <v>253741.55</v>
      </c>
      <c r="G41" s="53">
        <f t="shared" si="6"/>
        <v>184020.783</v>
      </c>
      <c r="H41" s="53">
        <f t="shared" si="6"/>
        <v>27527.770000000004</v>
      </c>
      <c r="I41" s="53">
        <f t="shared" si="6"/>
        <v>141338.04</v>
      </c>
    </row>
    <row r="42" spans="1:10" ht="12.95">
      <c r="A42" s="15" t="s">
        <v>40</v>
      </c>
      <c r="B42" s="24" t="s">
        <v>29</v>
      </c>
      <c r="C42" s="72">
        <f t="shared" si="1"/>
        <v>27362.05</v>
      </c>
      <c r="D42" s="52">
        <f t="shared" ref="D42:I49" si="7">D511</f>
        <v>26697.05</v>
      </c>
      <c r="E42" s="52">
        <f t="shared" si="7"/>
        <v>665</v>
      </c>
      <c r="F42" s="52">
        <f t="shared" si="7"/>
        <v>0</v>
      </c>
      <c r="G42" s="52">
        <f t="shared" si="7"/>
        <v>0</v>
      </c>
      <c r="H42" s="52">
        <f t="shared" si="7"/>
        <v>0</v>
      </c>
      <c r="I42" s="52">
        <f t="shared" si="7"/>
        <v>0</v>
      </c>
    </row>
    <row r="43" spans="1:10" ht="12.95">
      <c r="A43" s="30"/>
      <c r="B43" s="26" t="s">
        <v>30</v>
      </c>
      <c r="C43" s="72">
        <f t="shared" si="1"/>
        <v>27362.05</v>
      </c>
      <c r="D43" s="52">
        <f t="shared" si="7"/>
        <v>26697.05</v>
      </c>
      <c r="E43" s="52">
        <f t="shared" si="7"/>
        <v>665</v>
      </c>
      <c r="F43" s="52">
        <f t="shared" si="7"/>
        <v>0</v>
      </c>
      <c r="G43" s="52">
        <f t="shared" si="7"/>
        <v>0</v>
      </c>
      <c r="H43" s="52">
        <f t="shared" si="7"/>
        <v>0</v>
      </c>
      <c r="I43" s="52">
        <f t="shared" si="7"/>
        <v>0</v>
      </c>
    </row>
    <row r="44" spans="1:10" ht="12.95">
      <c r="A44" s="15" t="s">
        <v>41</v>
      </c>
      <c r="B44" s="24" t="s">
        <v>29</v>
      </c>
      <c r="C44" s="72">
        <f t="shared" si="1"/>
        <v>1441.42</v>
      </c>
      <c r="D44" s="52">
        <f t="shared" si="7"/>
        <v>1067.81</v>
      </c>
      <c r="E44" s="52">
        <f t="shared" si="7"/>
        <v>200</v>
      </c>
      <c r="F44" s="52">
        <f t="shared" si="7"/>
        <v>0</v>
      </c>
      <c r="G44" s="52">
        <f t="shared" si="7"/>
        <v>0</v>
      </c>
      <c r="H44" s="52">
        <f t="shared" si="7"/>
        <v>0</v>
      </c>
      <c r="I44" s="52">
        <f t="shared" si="7"/>
        <v>173.61</v>
      </c>
    </row>
    <row r="45" spans="1:10" ht="12.95">
      <c r="A45" s="30"/>
      <c r="B45" s="26" t="s">
        <v>30</v>
      </c>
      <c r="C45" s="72">
        <f t="shared" si="1"/>
        <v>1441.42</v>
      </c>
      <c r="D45" s="52">
        <f t="shared" si="7"/>
        <v>1067.81</v>
      </c>
      <c r="E45" s="52">
        <f t="shared" si="7"/>
        <v>200</v>
      </c>
      <c r="F45" s="52">
        <f t="shared" si="7"/>
        <v>0</v>
      </c>
      <c r="G45" s="52">
        <f t="shared" si="7"/>
        <v>0</v>
      </c>
      <c r="H45" s="52">
        <f t="shared" si="7"/>
        <v>0</v>
      </c>
      <c r="I45" s="52">
        <f t="shared" si="7"/>
        <v>173.61</v>
      </c>
    </row>
    <row r="46" spans="1:10" ht="12.95">
      <c r="A46" s="15" t="s">
        <v>42</v>
      </c>
      <c r="B46" s="24" t="s">
        <v>29</v>
      </c>
      <c r="C46" s="72">
        <f t="shared" si="1"/>
        <v>21452.581000000002</v>
      </c>
      <c r="D46" s="52">
        <f t="shared" si="7"/>
        <v>10163.219999999999</v>
      </c>
      <c r="E46" s="52">
        <f t="shared" si="7"/>
        <v>8355</v>
      </c>
      <c r="F46" s="52">
        <f t="shared" si="7"/>
        <v>0</v>
      </c>
      <c r="G46" s="52">
        <f t="shared" si="7"/>
        <v>0</v>
      </c>
      <c r="H46" s="52">
        <f t="shared" si="7"/>
        <v>0</v>
      </c>
      <c r="I46" s="52">
        <f t="shared" si="7"/>
        <v>2934.3609999999999</v>
      </c>
    </row>
    <row r="47" spans="1:10" ht="12.95">
      <c r="A47" s="30"/>
      <c r="B47" s="26" t="s">
        <v>30</v>
      </c>
      <c r="C47" s="72">
        <f t="shared" si="1"/>
        <v>21452.581000000002</v>
      </c>
      <c r="D47" s="52">
        <f t="shared" si="7"/>
        <v>10163.219999999999</v>
      </c>
      <c r="E47" s="52">
        <f>E516</f>
        <v>8355</v>
      </c>
      <c r="F47" s="52">
        <f t="shared" si="7"/>
        <v>0</v>
      </c>
      <c r="G47" s="52">
        <f t="shared" si="7"/>
        <v>0</v>
      </c>
      <c r="H47" s="52">
        <f t="shared" si="7"/>
        <v>0</v>
      </c>
      <c r="I47" s="52">
        <f t="shared" si="7"/>
        <v>2934.3609999999999</v>
      </c>
    </row>
    <row r="48" spans="1:10" ht="12.95">
      <c r="A48" s="15" t="s">
        <v>43</v>
      </c>
      <c r="B48" s="24" t="s">
        <v>29</v>
      </c>
      <c r="C48" s="72">
        <f t="shared" si="1"/>
        <v>266186.19</v>
      </c>
      <c r="D48" s="52">
        <f t="shared" si="7"/>
        <v>5218.8200000000006</v>
      </c>
      <c r="E48" s="52">
        <f>E517</f>
        <v>22457</v>
      </c>
      <c r="F48" s="52">
        <f t="shared" si="7"/>
        <v>87870.040000000008</v>
      </c>
      <c r="G48" s="52">
        <f t="shared" si="7"/>
        <v>77818.009999999995</v>
      </c>
      <c r="H48" s="52">
        <f t="shared" si="7"/>
        <v>65853.919999999998</v>
      </c>
      <c r="I48" s="52">
        <f t="shared" si="7"/>
        <v>6968.4</v>
      </c>
    </row>
    <row r="49" spans="1:10" ht="12.95">
      <c r="A49" s="30"/>
      <c r="B49" s="26" t="s">
        <v>30</v>
      </c>
      <c r="C49" s="72">
        <f t="shared" si="1"/>
        <v>266186.19</v>
      </c>
      <c r="D49" s="52">
        <f t="shared" si="7"/>
        <v>5218.8200000000006</v>
      </c>
      <c r="E49" s="52">
        <f>E518</f>
        <v>22457</v>
      </c>
      <c r="F49" s="52">
        <f t="shared" si="7"/>
        <v>87870.040000000008</v>
      </c>
      <c r="G49" s="52">
        <f t="shared" si="7"/>
        <v>77818.009999999995</v>
      </c>
      <c r="H49" s="52">
        <f t="shared" si="7"/>
        <v>65853.919999999998</v>
      </c>
      <c r="I49" s="52">
        <f t="shared" si="7"/>
        <v>6968.4</v>
      </c>
    </row>
    <row r="50" spans="1:10" s="46" customFormat="1">
      <c r="A50" s="47" t="s">
        <v>44</v>
      </c>
      <c r="B50" s="24" t="s">
        <v>29</v>
      </c>
      <c r="C50" s="130">
        <f t="shared" si="1"/>
        <v>113687.35</v>
      </c>
      <c r="D50" s="130">
        <f>D52+D54</f>
        <v>113021.443</v>
      </c>
      <c r="E50" s="130">
        <f t="shared" ref="E50:I51" si="8">E52+E54</f>
        <v>0</v>
      </c>
      <c r="F50" s="130">
        <f t="shared" si="8"/>
        <v>0</v>
      </c>
      <c r="G50" s="130">
        <f t="shared" si="8"/>
        <v>0</v>
      </c>
      <c r="H50" s="130">
        <f t="shared" si="8"/>
        <v>0</v>
      </c>
      <c r="I50" s="130">
        <f t="shared" si="8"/>
        <v>665.90699999999981</v>
      </c>
      <c r="J50" s="248"/>
    </row>
    <row r="51" spans="1:10" s="46" customFormat="1">
      <c r="A51" s="21" t="s">
        <v>45</v>
      </c>
      <c r="B51" s="26" t="s">
        <v>30</v>
      </c>
      <c r="C51" s="130">
        <f t="shared" si="1"/>
        <v>113687.35</v>
      </c>
      <c r="D51" s="130">
        <f>D53+D55</f>
        <v>113021.443</v>
      </c>
      <c r="E51" s="130">
        <f t="shared" si="8"/>
        <v>0</v>
      </c>
      <c r="F51" s="130">
        <f t="shared" si="8"/>
        <v>0</v>
      </c>
      <c r="G51" s="130">
        <f t="shared" si="8"/>
        <v>0</v>
      </c>
      <c r="H51" s="130">
        <f t="shared" si="8"/>
        <v>0</v>
      </c>
      <c r="I51" s="130">
        <f t="shared" si="8"/>
        <v>665.90699999999981</v>
      </c>
      <c r="J51" s="248"/>
    </row>
    <row r="52" spans="1:10" s="46" customFormat="1" ht="25.5" customHeight="1">
      <c r="A52" s="214" t="s">
        <v>46</v>
      </c>
      <c r="B52" s="24" t="s">
        <v>29</v>
      </c>
      <c r="C52" s="52">
        <f t="shared" si="1"/>
        <v>82937</v>
      </c>
      <c r="D52" s="72">
        <f>D96</f>
        <v>82883</v>
      </c>
      <c r="E52" s="72">
        <f t="shared" ref="E52:I55" si="9">E96</f>
        <v>0</v>
      </c>
      <c r="F52" s="72">
        <f t="shared" si="9"/>
        <v>0</v>
      </c>
      <c r="G52" s="72">
        <f t="shared" si="9"/>
        <v>0</v>
      </c>
      <c r="H52" s="72">
        <f t="shared" si="9"/>
        <v>0</v>
      </c>
      <c r="I52" s="72">
        <f t="shared" si="9"/>
        <v>54</v>
      </c>
      <c r="J52" s="248"/>
    </row>
    <row r="53" spans="1:10" s="46" customFormat="1" ht="12.95">
      <c r="A53" s="67"/>
      <c r="B53" s="26" t="s">
        <v>30</v>
      </c>
      <c r="C53" s="52">
        <f t="shared" si="1"/>
        <v>82937</v>
      </c>
      <c r="D53" s="72">
        <f>D97</f>
        <v>82883</v>
      </c>
      <c r="E53" s="72">
        <f t="shared" si="9"/>
        <v>0</v>
      </c>
      <c r="F53" s="72">
        <f t="shared" si="9"/>
        <v>0</v>
      </c>
      <c r="G53" s="72">
        <f t="shared" si="9"/>
        <v>0</v>
      </c>
      <c r="H53" s="72">
        <f t="shared" si="9"/>
        <v>0</v>
      </c>
      <c r="I53" s="72">
        <f t="shared" si="9"/>
        <v>54</v>
      </c>
      <c r="J53" s="248"/>
    </row>
    <row r="54" spans="1:10">
      <c r="A54" s="28" t="s">
        <v>39</v>
      </c>
      <c r="B54" s="24" t="s">
        <v>29</v>
      </c>
      <c r="C54" s="72">
        <f t="shared" si="1"/>
        <v>30750.35</v>
      </c>
      <c r="D54" s="53">
        <f>D98</f>
        <v>30138.442999999999</v>
      </c>
      <c r="E54" s="53">
        <f t="shared" si="9"/>
        <v>0</v>
      </c>
      <c r="F54" s="53">
        <f t="shared" si="9"/>
        <v>0</v>
      </c>
      <c r="G54" s="53">
        <f t="shared" si="9"/>
        <v>0</v>
      </c>
      <c r="H54" s="53">
        <f t="shared" si="9"/>
        <v>0</v>
      </c>
      <c r="I54" s="53">
        <f t="shared" si="9"/>
        <v>611.90699999999981</v>
      </c>
    </row>
    <row r="55" spans="1:10">
      <c r="A55" s="21"/>
      <c r="B55" s="26" t="s">
        <v>30</v>
      </c>
      <c r="C55" s="72">
        <f t="shared" si="1"/>
        <v>30750.35</v>
      </c>
      <c r="D55" s="53">
        <f>D99</f>
        <v>30138.442999999999</v>
      </c>
      <c r="E55" s="53">
        <f t="shared" si="9"/>
        <v>0</v>
      </c>
      <c r="F55" s="53">
        <f t="shared" si="9"/>
        <v>0</v>
      </c>
      <c r="G55" s="53">
        <f t="shared" si="9"/>
        <v>0</v>
      </c>
      <c r="H55" s="53">
        <f t="shared" si="9"/>
        <v>0</v>
      </c>
      <c r="I55" s="53">
        <f t="shared" si="9"/>
        <v>611.90699999999981</v>
      </c>
    </row>
    <row r="56" spans="1:10">
      <c r="A56" s="14" t="s">
        <v>47</v>
      </c>
      <c r="B56" s="160" t="s">
        <v>29</v>
      </c>
      <c r="C56" s="130">
        <f t="shared" si="1"/>
        <v>477676.538</v>
      </c>
      <c r="D56" s="130">
        <f>D58+D60+D62</f>
        <v>131161.777</v>
      </c>
      <c r="E56" s="130">
        <f t="shared" ref="E56:I57" si="10">E58+E60+E62</f>
        <v>140751</v>
      </c>
      <c r="F56" s="130">
        <f t="shared" si="10"/>
        <v>53755.88</v>
      </c>
      <c r="G56" s="130">
        <f t="shared" si="10"/>
        <v>46260</v>
      </c>
      <c r="H56" s="130">
        <f t="shared" si="10"/>
        <v>40246</v>
      </c>
      <c r="I56" s="130">
        <f t="shared" si="10"/>
        <v>65501.880999999994</v>
      </c>
    </row>
    <row r="57" spans="1:10">
      <c r="A57" s="12" t="s">
        <v>48</v>
      </c>
      <c r="B57" s="4" t="s">
        <v>30</v>
      </c>
      <c r="C57" s="130">
        <f t="shared" si="1"/>
        <v>477676.538</v>
      </c>
      <c r="D57" s="130">
        <f>D59+D61+D63</f>
        <v>131161.777</v>
      </c>
      <c r="E57" s="130">
        <f t="shared" si="10"/>
        <v>140751</v>
      </c>
      <c r="F57" s="130">
        <f t="shared" si="10"/>
        <v>53755.88</v>
      </c>
      <c r="G57" s="130">
        <f t="shared" si="10"/>
        <v>46260</v>
      </c>
      <c r="H57" s="130">
        <f t="shared" si="10"/>
        <v>40246</v>
      </c>
      <c r="I57" s="130">
        <f t="shared" si="10"/>
        <v>65501.880999999994</v>
      </c>
    </row>
    <row r="58" spans="1:10" s="209" customFormat="1" ht="25.7">
      <c r="A58" s="181" t="s">
        <v>49</v>
      </c>
      <c r="B58" s="63" t="s">
        <v>29</v>
      </c>
      <c r="C58" s="64">
        <f t="shared" si="1"/>
        <v>28225</v>
      </c>
      <c r="D58" s="64">
        <f>D521</f>
        <v>427</v>
      </c>
      <c r="E58" s="64">
        <f t="shared" ref="E58:I61" si="11">E521</f>
        <v>27798</v>
      </c>
      <c r="F58" s="64">
        <f t="shared" si="11"/>
        <v>0</v>
      </c>
      <c r="G58" s="64">
        <f t="shared" si="11"/>
        <v>0</v>
      </c>
      <c r="H58" s="64">
        <f t="shared" si="11"/>
        <v>0</v>
      </c>
      <c r="I58" s="64">
        <f t="shared" si="11"/>
        <v>0</v>
      </c>
    </row>
    <row r="59" spans="1:10" s="209" customFormat="1" ht="12.95">
      <c r="A59" s="16"/>
      <c r="B59" s="62" t="s">
        <v>30</v>
      </c>
      <c r="C59" s="64">
        <f t="shared" si="1"/>
        <v>28225</v>
      </c>
      <c r="D59" s="64">
        <f>D522</f>
        <v>427</v>
      </c>
      <c r="E59" s="64">
        <f t="shared" si="11"/>
        <v>27798</v>
      </c>
      <c r="F59" s="64">
        <f t="shared" si="11"/>
        <v>0</v>
      </c>
      <c r="G59" s="64">
        <f t="shared" si="11"/>
        <v>0</v>
      </c>
      <c r="H59" s="64">
        <f t="shared" si="11"/>
        <v>0</v>
      </c>
      <c r="I59" s="64">
        <f t="shared" si="11"/>
        <v>0</v>
      </c>
    </row>
    <row r="60" spans="1:10" s="211" customFormat="1" ht="25.7">
      <c r="A60" s="296" t="s">
        <v>36</v>
      </c>
      <c r="B60" s="281" t="s">
        <v>29</v>
      </c>
      <c r="C60" s="246">
        <f t="shared" si="1"/>
        <v>23590</v>
      </c>
      <c r="D60" s="246">
        <f>D523</f>
        <v>14624.970000000001</v>
      </c>
      <c r="E60" s="246">
        <f t="shared" si="11"/>
        <v>7837</v>
      </c>
      <c r="F60" s="246">
        <f t="shared" si="11"/>
        <v>0</v>
      </c>
      <c r="G60" s="246">
        <f t="shared" si="11"/>
        <v>0</v>
      </c>
      <c r="H60" s="246">
        <f t="shared" si="11"/>
        <v>0</v>
      </c>
      <c r="I60" s="246">
        <f t="shared" si="11"/>
        <v>1128.0299999999995</v>
      </c>
    </row>
    <row r="61" spans="1:10" s="211" customFormat="1" ht="12.95">
      <c r="A61" s="225"/>
      <c r="B61" s="226" t="s">
        <v>30</v>
      </c>
      <c r="C61" s="246">
        <f t="shared" si="1"/>
        <v>23590</v>
      </c>
      <c r="D61" s="246">
        <f>D524</f>
        <v>14624.970000000001</v>
      </c>
      <c r="E61" s="246">
        <f t="shared" si="11"/>
        <v>7837</v>
      </c>
      <c r="F61" s="246">
        <f t="shared" si="11"/>
        <v>0</v>
      </c>
      <c r="G61" s="246">
        <f t="shared" si="11"/>
        <v>0</v>
      </c>
      <c r="H61" s="246">
        <f t="shared" si="11"/>
        <v>0</v>
      </c>
      <c r="I61" s="246">
        <f t="shared" si="11"/>
        <v>1128.0299999999995</v>
      </c>
    </row>
    <row r="62" spans="1:10" ht="12.95">
      <c r="A62" s="19" t="s">
        <v>37</v>
      </c>
      <c r="B62" s="3" t="s">
        <v>29</v>
      </c>
      <c r="C62" s="72">
        <f t="shared" si="1"/>
        <v>425861.53799999994</v>
      </c>
      <c r="D62" s="52">
        <f>D64+D74</f>
        <v>116109.807</v>
      </c>
      <c r="E62" s="52">
        <f t="shared" ref="E62:I63" si="12">E64+E74</f>
        <v>105116</v>
      </c>
      <c r="F62" s="52">
        <f t="shared" si="12"/>
        <v>53755.88</v>
      </c>
      <c r="G62" s="52">
        <f t="shared" si="12"/>
        <v>46260</v>
      </c>
      <c r="H62" s="52">
        <f t="shared" si="12"/>
        <v>40246</v>
      </c>
      <c r="I62" s="52">
        <f t="shared" si="12"/>
        <v>64373.850999999995</v>
      </c>
    </row>
    <row r="63" spans="1:10" ht="12.95">
      <c r="A63" s="16"/>
      <c r="B63" s="4" t="s">
        <v>30</v>
      </c>
      <c r="C63" s="72">
        <f t="shared" si="1"/>
        <v>425861.53799999994</v>
      </c>
      <c r="D63" s="52">
        <f>D65+D75</f>
        <v>116109.807</v>
      </c>
      <c r="E63" s="52">
        <f t="shared" si="12"/>
        <v>105116</v>
      </c>
      <c r="F63" s="52">
        <f t="shared" si="12"/>
        <v>53755.88</v>
      </c>
      <c r="G63" s="52">
        <f t="shared" si="12"/>
        <v>46260</v>
      </c>
      <c r="H63" s="52">
        <f t="shared" si="12"/>
        <v>40246</v>
      </c>
      <c r="I63" s="52">
        <f t="shared" si="12"/>
        <v>64373.850999999995</v>
      </c>
    </row>
    <row r="64" spans="1:10" ht="12.95">
      <c r="A64" s="19" t="s">
        <v>50</v>
      </c>
      <c r="B64" s="160" t="s">
        <v>29</v>
      </c>
      <c r="C64" s="72">
        <f t="shared" si="1"/>
        <v>410795.288</v>
      </c>
      <c r="D64" s="52">
        <f>D66+D68+D70+D72</f>
        <v>111520.23700000001</v>
      </c>
      <c r="E64" s="52">
        <f t="shared" ref="E64:I65" si="13">E66+E68+E70+E72</f>
        <v>97308</v>
      </c>
      <c r="F64" s="52">
        <f t="shared" si="13"/>
        <v>53755.88</v>
      </c>
      <c r="G64" s="52">
        <f t="shared" si="13"/>
        <v>46260</v>
      </c>
      <c r="H64" s="52">
        <f t="shared" si="13"/>
        <v>40246</v>
      </c>
      <c r="I64" s="52">
        <f t="shared" si="13"/>
        <v>61705.170999999995</v>
      </c>
    </row>
    <row r="65" spans="1:9">
      <c r="A65" s="10"/>
      <c r="B65" s="4" t="s">
        <v>30</v>
      </c>
      <c r="C65" s="72">
        <f t="shared" si="1"/>
        <v>410795.288</v>
      </c>
      <c r="D65" s="52">
        <f>D67+D69+D71+D73</f>
        <v>111520.23700000001</v>
      </c>
      <c r="E65" s="52">
        <f t="shared" si="13"/>
        <v>97308</v>
      </c>
      <c r="F65" s="52">
        <f t="shared" si="13"/>
        <v>53755.88</v>
      </c>
      <c r="G65" s="52">
        <f t="shared" si="13"/>
        <v>46260</v>
      </c>
      <c r="H65" s="52">
        <f t="shared" si="13"/>
        <v>40246</v>
      </c>
      <c r="I65" s="52">
        <f t="shared" si="13"/>
        <v>61705.170999999995</v>
      </c>
    </row>
    <row r="66" spans="1:9">
      <c r="A66" s="28" t="s">
        <v>39</v>
      </c>
      <c r="B66" s="24" t="s">
        <v>29</v>
      </c>
      <c r="C66" s="72">
        <f t="shared" si="1"/>
        <v>304239.63600000006</v>
      </c>
      <c r="D66" s="53">
        <f t="shared" ref="D66:I67" si="14">D406+D106</f>
        <v>78882.91</v>
      </c>
      <c r="E66" s="53">
        <f t="shared" si="14"/>
        <v>71451</v>
      </c>
      <c r="F66" s="53">
        <f t="shared" si="14"/>
        <v>51190.879999999997</v>
      </c>
      <c r="G66" s="53">
        <f t="shared" si="14"/>
        <v>43960</v>
      </c>
      <c r="H66" s="53">
        <f t="shared" si="14"/>
        <v>40246</v>
      </c>
      <c r="I66" s="53">
        <f t="shared" si="14"/>
        <v>18508.845999999998</v>
      </c>
    </row>
    <row r="67" spans="1:9">
      <c r="A67" s="21"/>
      <c r="B67" s="26" t="s">
        <v>30</v>
      </c>
      <c r="C67" s="72">
        <f t="shared" si="1"/>
        <v>304239.63600000006</v>
      </c>
      <c r="D67" s="53">
        <f t="shared" si="14"/>
        <v>78882.91</v>
      </c>
      <c r="E67" s="53">
        <f t="shared" si="14"/>
        <v>71451</v>
      </c>
      <c r="F67" s="53">
        <f t="shared" si="14"/>
        <v>51190.879999999997</v>
      </c>
      <c r="G67" s="53">
        <f t="shared" si="14"/>
        <v>43960</v>
      </c>
      <c r="H67" s="53">
        <f t="shared" si="14"/>
        <v>40246</v>
      </c>
      <c r="I67" s="53">
        <f t="shared" si="14"/>
        <v>18508.845999999998</v>
      </c>
    </row>
    <row r="68" spans="1:9">
      <c r="A68" s="79" t="s">
        <v>40</v>
      </c>
      <c r="B68" s="160" t="s">
        <v>29</v>
      </c>
      <c r="C68" s="72">
        <f t="shared" si="1"/>
        <v>29644.36</v>
      </c>
      <c r="D68" s="52">
        <f t="shared" ref="D68:I75" si="15">D529</f>
        <v>21714.36</v>
      </c>
      <c r="E68" s="52">
        <f t="shared" si="15"/>
        <v>7930</v>
      </c>
      <c r="F68" s="52">
        <f t="shared" si="15"/>
        <v>0</v>
      </c>
      <c r="G68" s="52">
        <f t="shared" si="15"/>
        <v>0</v>
      </c>
      <c r="H68" s="52">
        <f t="shared" si="15"/>
        <v>0</v>
      </c>
      <c r="I68" s="52">
        <f t="shared" si="15"/>
        <v>0</v>
      </c>
    </row>
    <row r="69" spans="1:9">
      <c r="A69" s="10"/>
      <c r="B69" s="4" t="s">
        <v>30</v>
      </c>
      <c r="C69" s="72">
        <f t="shared" si="1"/>
        <v>29644.36</v>
      </c>
      <c r="D69" s="52">
        <f t="shared" si="15"/>
        <v>21714.36</v>
      </c>
      <c r="E69" s="52">
        <f t="shared" si="15"/>
        <v>7930</v>
      </c>
      <c r="F69" s="52">
        <f t="shared" si="15"/>
        <v>0</v>
      </c>
      <c r="G69" s="52">
        <f t="shared" si="15"/>
        <v>0</v>
      </c>
      <c r="H69" s="52">
        <f t="shared" si="15"/>
        <v>0</v>
      </c>
      <c r="I69" s="52">
        <f t="shared" si="15"/>
        <v>0</v>
      </c>
    </row>
    <row r="70" spans="1:9">
      <c r="A70" s="31" t="s">
        <v>41</v>
      </c>
      <c r="B70" s="160" t="s">
        <v>29</v>
      </c>
      <c r="C70" s="72">
        <f t="shared" si="1"/>
        <v>173.89</v>
      </c>
      <c r="D70" s="52">
        <f t="shared" si="15"/>
        <v>85.89</v>
      </c>
      <c r="E70" s="52">
        <f t="shared" si="15"/>
        <v>88</v>
      </c>
      <c r="F70" s="52">
        <f t="shared" si="15"/>
        <v>0</v>
      </c>
      <c r="G70" s="52">
        <f t="shared" si="15"/>
        <v>0</v>
      </c>
      <c r="H70" s="52">
        <f t="shared" si="15"/>
        <v>0</v>
      </c>
      <c r="I70" s="52">
        <f t="shared" si="15"/>
        <v>0</v>
      </c>
    </row>
    <row r="71" spans="1:9">
      <c r="A71" s="10"/>
      <c r="B71" s="4" t="s">
        <v>30</v>
      </c>
      <c r="C71" s="72">
        <f t="shared" si="1"/>
        <v>173.89</v>
      </c>
      <c r="D71" s="52">
        <f t="shared" si="15"/>
        <v>85.89</v>
      </c>
      <c r="E71" s="52">
        <f t="shared" si="15"/>
        <v>88</v>
      </c>
      <c r="F71" s="52">
        <f t="shared" si="15"/>
        <v>0</v>
      </c>
      <c r="G71" s="52">
        <f t="shared" si="15"/>
        <v>0</v>
      </c>
      <c r="H71" s="52">
        <f t="shared" si="15"/>
        <v>0</v>
      </c>
      <c r="I71" s="52">
        <f t="shared" si="15"/>
        <v>0</v>
      </c>
    </row>
    <row r="72" spans="1:9" ht="12.95">
      <c r="A72" s="32" t="s">
        <v>51</v>
      </c>
      <c r="B72" s="24" t="s">
        <v>29</v>
      </c>
      <c r="C72" s="72">
        <f t="shared" si="1"/>
        <v>76737.402000000002</v>
      </c>
      <c r="D72" s="52">
        <f t="shared" si="15"/>
        <v>10837.077000000001</v>
      </c>
      <c r="E72" s="52">
        <f t="shared" si="15"/>
        <v>17839</v>
      </c>
      <c r="F72" s="52">
        <f t="shared" si="15"/>
        <v>2565</v>
      </c>
      <c r="G72" s="52">
        <f t="shared" si="15"/>
        <v>2300</v>
      </c>
      <c r="H72" s="52">
        <f t="shared" si="15"/>
        <v>0</v>
      </c>
      <c r="I72" s="52">
        <f t="shared" si="15"/>
        <v>43196.324999999997</v>
      </c>
    </row>
    <row r="73" spans="1:9">
      <c r="A73" s="12"/>
      <c r="B73" s="26" t="s">
        <v>30</v>
      </c>
      <c r="C73" s="72">
        <f t="shared" si="1"/>
        <v>76737.402000000002</v>
      </c>
      <c r="D73" s="52">
        <f t="shared" si="15"/>
        <v>10837.077000000001</v>
      </c>
      <c r="E73" s="52">
        <f t="shared" si="15"/>
        <v>17839</v>
      </c>
      <c r="F73" s="52">
        <f t="shared" si="15"/>
        <v>2565</v>
      </c>
      <c r="G73" s="52">
        <f t="shared" si="15"/>
        <v>2300</v>
      </c>
      <c r="H73" s="52">
        <f t="shared" si="15"/>
        <v>0</v>
      </c>
      <c r="I73" s="52">
        <f t="shared" si="15"/>
        <v>43196.324999999997</v>
      </c>
    </row>
    <row r="74" spans="1:9" ht="12.95">
      <c r="A74" s="19" t="s">
        <v>52</v>
      </c>
      <c r="B74" s="24" t="s">
        <v>29</v>
      </c>
      <c r="C74" s="72">
        <f t="shared" si="1"/>
        <v>15066.25</v>
      </c>
      <c r="D74" s="52">
        <f t="shared" si="15"/>
        <v>4589.57</v>
      </c>
      <c r="E74" s="52">
        <f t="shared" si="15"/>
        <v>7808</v>
      </c>
      <c r="F74" s="52">
        <f t="shared" si="15"/>
        <v>0</v>
      </c>
      <c r="G74" s="52">
        <f t="shared" si="15"/>
        <v>0</v>
      </c>
      <c r="H74" s="52">
        <f t="shared" si="15"/>
        <v>0</v>
      </c>
      <c r="I74" s="52">
        <f t="shared" si="15"/>
        <v>2668.6800000000003</v>
      </c>
    </row>
    <row r="75" spans="1:9">
      <c r="A75" s="12"/>
      <c r="B75" s="26" t="s">
        <v>30</v>
      </c>
      <c r="C75" s="72">
        <f t="shared" si="1"/>
        <v>15066.25</v>
      </c>
      <c r="D75" s="52">
        <f t="shared" si="15"/>
        <v>4589.57</v>
      </c>
      <c r="E75" s="52">
        <f t="shared" si="15"/>
        <v>7808</v>
      </c>
      <c r="F75" s="52">
        <f t="shared" si="15"/>
        <v>0</v>
      </c>
      <c r="G75" s="52">
        <f t="shared" si="15"/>
        <v>0</v>
      </c>
      <c r="H75" s="52">
        <f t="shared" si="15"/>
        <v>0</v>
      </c>
      <c r="I75" s="52">
        <f t="shared" si="15"/>
        <v>2668.6800000000003</v>
      </c>
    </row>
    <row r="76" spans="1:9">
      <c r="A76" s="657" t="s">
        <v>53</v>
      </c>
      <c r="B76" s="659"/>
      <c r="C76" s="659"/>
      <c r="D76" s="659"/>
      <c r="E76" s="659"/>
      <c r="F76" s="659"/>
      <c r="G76" s="659"/>
      <c r="H76" s="659"/>
      <c r="I76" s="660"/>
    </row>
    <row r="77" spans="1:9">
      <c r="A77" s="577" t="s">
        <v>54</v>
      </c>
      <c r="B77" s="578"/>
      <c r="C77" s="578"/>
      <c r="D77" s="578"/>
      <c r="E77" s="578"/>
      <c r="F77" s="578"/>
      <c r="G77" s="578"/>
      <c r="H77" s="578"/>
      <c r="I77" s="579"/>
    </row>
    <row r="78" spans="1:9">
      <c r="A78" s="31" t="s">
        <v>28</v>
      </c>
      <c r="B78" s="29" t="s">
        <v>29</v>
      </c>
      <c r="C78" s="53">
        <f>D78+E78+F78+G78+H78+I78</f>
        <v>2122227.5340000005</v>
      </c>
      <c r="D78" s="53">
        <f>D80+D94+D100</f>
        <v>807932.11400000006</v>
      </c>
      <c r="E78" s="53">
        <f t="shared" ref="E78:I79" si="16">E80+E94+E100</f>
        <v>407694</v>
      </c>
      <c r="F78" s="53">
        <f t="shared" si="16"/>
        <v>468839.82999999996</v>
      </c>
      <c r="G78" s="53">
        <f t="shared" si="16"/>
        <v>289286.283</v>
      </c>
      <c r="H78" s="53">
        <f t="shared" si="16"/>
        <v>20067.32</v>
      </c>
      <c r="I78" s="53">
        <f t="shared" si="16"/>
        <v>128407.98700000001</v>
      </c>
    </row>
    <row r="79" spans="1:9" ht="12.95" thickBot="1">
      <c r="A79" s="69"/>
      <c r="B79" s="70" t="s">
        <v>30</v>
      </c>
      <c r="C79" s="53">
        <f t="shared" ref="C79:C107" si="17">D79+E79+F79+G79+H79+I79</f>
        <v>2122227.5340000005</v>
      </c>
      <c r="D79" s="53">
        <f>D81+D95+D101</f>
        <v>807932.11400000006</v>
      </c>
      <c r="E79" s="53">
        <f t="shared" si="16"/>
        <v>407694</v>
      </c>
      <c r="F79" s="53">
        <f t="shared" si="16"/>
        <v>468839.82999999996</v>
      </c>
      <c r="G79" s="53">
        <f t="shared" si="16"/>
        <v>289286.283</v>
      </c>
      <c r="H79" s="53">
        <f t="shared" si="16"/>
        <v>20067.32</v>
      </c>
      <c r="I79" s="53">
        <f t="shared" si="16"/>
        <v>128407.98700000001</v>
      </c>
    </row>
    <row r="80" spans="1:9">
      <c r="A80" s="153" t="s">
        <v>31</v>
      </c>
      <c r="B80" s="29" t="s">
        <v>29</v>
      </c>
      <c r="C80" s="53">
        <f t="shared" si="17"/>
        <v>1895574.6940000001</v>
      </c>
      <c r="D80" s="53">
        <f>D82+D84+D86+D88</f>
        <v>616027.76100000006</v>
      </c>
      <c r="E80" s="53">
        <f t="shared" ref="E80:I81" si="18">E82+E84+E86+E88</f>
        <v>393162</v>
      </c>
      <c r="F80" s="53">
        <f t="shared" si="18"/>
        <v>466677.98</v>
      </c>
      <c r="G80" s="53">
        <f t="shared" si="18"/>
        <v>289286.283</v>
      </c>
      <c r="H80" s="53">
        <f t="shared" si="18"/>
        <v>20067.32</v>
      </c>
      <c r="I80" s="53">
        <f t="shared" si="18"/>
        <v>110353.35</v>
      </c>
    </row>
    <row r="81" spans="1:10">
      <c r="A81" s="21" t="s">
        <v>48</v>
      </c>
      <c r="B81" s="26" t="s">
        <v>30</v>
      </c>
      <c r="C81" s="53">
        <f t="shared" si="17"/>
        <v>1895574.6940000001</v>
      </c>
      <c r="D81" s="53">
        <f>D83+D85+D87+D89</f>
        <v>616027.76100000006</v>
      </c>
      <c r="E81" s="53">
        <f t="shared" si="18"/>
        <v>393162</v>
      </c>
      <c r="F81" s="53">
        <f t="shared" si="18"/>
        <v>466677.98</v>
      </c>
      <c r="G81" s="53">
        <f t="shared" si="18"/>
        <v>289286.283</v>
      </c>
      <c r="H81" s="53">
        <f t="shared" si="18"/>
        <v>20067.32</v>
      </c>
      <c r="I81" s="53">
        <f t="shared" si="18"/>
        <v>110353.35</v>
      </c>
    </row>
    <row r="82" spans="1:10" ht="12.95">
      <c r="A82" s="32" t="s">
        <v>55</v>
      </c>
      <c r="B82" s="24" t="s">
        <v>29</v>
      </c>
      <c r="C82" s="53">
        <f>D82+E82+F82+G82+H82+I82</f>
        <v>807059.02</v>
      </c>
      <c r="D82" s="53">
        <f>D114+D264+D282</f>
        <v>102617.02</v>
      </c>
      <c r="E82" s="53">
        <f t="shared" ref="E82:I82" si="19">E114+E264+E282</f>
        <v>342175</v>
      </c>
      <c r="F82" s="53">
        <f t="shared" si="19"/>
        <v>239268</v>
      </c>
      <c r="G82" s="53">
        <f t="shared" si="19"/>
        <v>117999</v>
      </c>
      <c r="H82" s="53">
        <f t="shared" si="19"/>
        <v>5000</v>
      </c>
      <c r="I82" s="53">
        <f t="shared" si="19"/>
        <v>0</v>
      </c>
    </row>
    <row r="83" spans="1:10" ht="12.95">
      <c r="A83" s="67" t="s">
        <v>35</v>
      </c>
      <c r="B83" s="26" t="s">
        <v>30</v>
      </c>
      <c r="C83" s="53">
        <f>D83+E83+F83+G83+H83+I83</f>
        <v>807059.02</v>
      </c>
      <c r="D83" s="53">
        <f>D115+D265+D283</f>
        <v>102617.02</v>
      </c>
      <c r="E83" s="53">
        <f t="shared" ref="E83:I83" si="20">E115+E265+E283</f>
        <v>342175</v>
      </c>
      <c r="F83" s="53">
        <f t="shared" si="20"/>
        <v>239268</v>
      </c>
      <c r="G83" s="53">
        <f t="shared" si="20"/>
        <v>117999</v>
      </c>
      <c r="H83" s="53">
        <f t="shared" si="20"/>
        <v>5000</v>
      </c>
      <c r="I83" s="53">
        <f t="shared" si="20"/>
        <v>0</v>
      </c>
    </row>
    <row r="84" spans="1:10" ht="12.95">
      <c r="A84" s="32" t="s">
        <v>56</v>
      </c>
      <c r="B84" s="24" t="s">
        <v>29</v>
      </c>
      <c r="C84" s="53">
        <f t="shared" si="17"/>
        <v>318776.34999999998</v>
      </c>
      <c r="D84" s="53">
        <f t="shared" ref="D84:I85" si="21">D118+D219+D288</f>
        <v>313524.67</v>
      </c>
      <c r="E84" s="53">
        <f t="shared" si="21"/>
        <v>0</v>
      </c>
      <c r="F84" s="53">
        <f t="shared" si="21"/>
        <v>0</v>
      </c>
      <c r="G84" s="53">
        <f t="shared" si="21"/>
        <v>0</v>
      </c>
      <c r="H84" s="53">
        <f t="shared" si="21"/>
        <v>0</v>
      </c>
      <c r="I84" s="53">
        <f t="shared" si="21"/>
        <v>5251.68</v>
      </c>
    </row>
    <row r="85" spans="1:10" ht="12.95">
      <c r="A85" s="67" t="s">
        <v>35</v>
      </c>
      <c r="B85" s="26" t="s">
        <v>30</v>
      </c>
      <c r="C85" s="53">
        <f t="shared" si="17"/>
        <v>318776.34999999998</v>
      </c>
      <c r="D85" s="53">
        <f t="shared" si="21"/>
        <v>313524.67</v>
      </c>
      <c r="E85" s="53">
        <f t="shared" si="21"/>
        <v>0</v>
      </c>
      <c r="F85" s="53">
        <f t="shared" si="21"/>
        <v>0</v>
      </c>
      <c r="G85" s="53">
        <f t="shared" si="21"/>
        <v>0</v>
      </c>
      <c r="H85" s="53">
        <f t="shared" si="21"/>
        <v>0</v>
      </c>
      <c r="I85" s="53">
        <f t="shared" si="21"/>
        <v>5251.68</v>
      </c>
    </row>
    <row r="86" spans="1:10" s="20" customFormat="1" ht="25.5" customHeight="1">
      <c r="A86" s="296" t="s">
        <v>36</v>
      </c>
      <c r="B86" s="63" t="s">
        <v>29</v>
      </c>
      <c r="C86" s="64">
        <f t="shared" si="17"/>
        <v>31119.69</v>
      </c>
      <c r="D86" s="64">
        <f t="shared" ref="D86:I87" si="22">D136+D229</f>
        <v>30777.69</v>
      </c>
      <c r="E86" s="64">
        <f t="shared" si="22"/>
        <v>342</v>
      </c>
      <c r="F86" s="64">
        <f t="shared" si="22"/>
        <v>0</v>
      </c>
      <c r="G86" s="64">
        <f t="shared" si="22"/>
        <v>0</v>
      </c>
      <c r="H86" s="64">
        <f t="shared" si="22"/>
        <v>0</v>
      </c>
      <c r="I86" s="64">
        <f t="shared" si="22"/>
        <v>0</v>
      </c>
      <c r="J86" s="213"/>
    </row>
    <row r="87" spans="1:10" s="20" customFormat="1" ht="12.95">
      <c r="A87" s="16"/>
      <c r="B87" s="62" t="s">
        <v>30</v>
      </c>
      <c r="C87" s="64">
        <f t="shared" si="17"/>
        <v>31119.69</v>
      </c>
      <c r="D87" s="64">
        <f t="shared" si="22"/>
        <v>30777.69</v>
      </c>
      <c r="E87" s="64">
        <f t="shared" si="22"/>
        <v>342</v>
      </c>
      <c r="F87" s="64">
        <f t="shared" si="22"/>
        <v>0</v>
      </c>
      <c r="G87" s="64">
        <f t="shared" si="22"/>
        <v>0</v>
      </c>
      <c r="H87" s="64">
        <f t="shared" si="22"/>
        <v>0</v>
      </c>
      <c r="I87" s="64">
        <f t="shared" si="22"/>
        <v>0</v>
      </c>
      <c r="J87" s="213"/>
    </row>
    <row r="88" spans="1:10" ht="12.95">
      <c r="A88" s="19" t="s">
        <v>37</v>
      </c>
      <c r="B88" s="3" t="s">
        <v>29</v>
      </c>
      <c r="C88" s="53">
        <f t="shared" si="17"/>
        <v>738619.63400000008</v>
      </c>
      <c r="D88" s="72">
        <f>D90</f>
        <v>169108.38100000002</v>
      </c>
      <c r="E88" s="72">
        <f t="shared" ref="E88:I91" si="23">E90</f>
        <v>50645</v>
      </c>
      <c r="F88" s="72">
        <f t="shared" si="23"/>
        <v>227409.97999999998</v>
      </c>
      <c r="G88" s="72">
        <f t="shared" si="23"/>
        <v>171287.283</v>
      </c>
      <c r="H88" s="72">
        <f t="shared" si="23"/>
        <v>15067.320000000002</v>
      </c>
      <c r="I88" s="72">
        <f t="shared" si="23"/>
        <v>105101.67000000001</v>
      </c>
    </row>
    <row r="89" spans="1:10" ht="12.95">
      <c r="A89" s="16"/>
      <c r="B89" s="4" t="s">
        <v>30</v>
      </c>
      <c r="C89" s="53">
        <f t="shared" si="17"/>
        <v>738619.63400000008</v>
      </c>
      <c r="D89" s="72">
        <f>D91</f>
        <v>169108.38100000002</v>
      </c>
      <c r="E89" s="72">
        <f t="shared" si="23"/>
        <v>50645</v>
      </c>
      <c r="F89" s="72">
        <f t="shared" si="23"/>
        <v>227409.97999999998</v>
      </c>
      <c r="G89" s="72">
        <f t="shared" si="23"/>
        <v>171287.283</v>
      </c>
      <c r="H89" s="72">
        <f t="shared" si="23"/>
        <v>15067.320000000002</v>
      </c>
      <c r="I89" s="72">
        <f t="shared" si="23"/>
        <v>105101.67000000001</v>
      </c>
    </row>
    <row r="90" spans="1:10">
      <c r="A90" s="31" t="s">
        <v>57</v>
      </c>
      <c r="B90" s="29" t="s">
        <v>29</v>
      </c>
      <c r="C90" s="53">
        <f t="shared" si="17"/>
        <v>738619.63400000008</v>
      </c>
      <c r="D90" s="72">
        <f>D92</f>
        <v>169108.38100000002</v>
      </c>
      <c r="E90" s="72">
        <f t="shared" si="23"/>
        <v>50645</v>
      </c>
      <c r="F90" s="72">
        <f t="shared" si="23"/>
        <v>227409.97999999998</v>
      </c>
      <c r="G90" s="72">
        <f t="shared" si="23"/>
        <v>171287.283</v>
      </c>
      <c r="H90" s="72">
        <f t="shared" si="23"/>
        <v>15067.320000000002</v>
      </c>
      <c r="I90" s="72">
        <f t="shared" si="23"/>
        <v>105101.67000000001</v>
      </c>
    </row>
    <row r="91" spans="1:10">
      <c r="A91" s="31"/>
      <c r="B91" s="29" t="s">
        <v>30</v>
      </c>
      <c r="C91" s="53">
        <f t="shared" si="17"/>
        <v>738619.63400000008</v>
      </c>
      <c r="D91" s="72">
        <f>D93</f>
        <v>169108.38100000002</v>
      </c>
      <c r="E91" s="72">
        <f t="shared" si="23"/>
        <v>50645</v>
      </c>
      <c r="F91" s="72">
        <f t="shared" si="23"/>
        <v>227409.97999999998</v>
      </c>
      <c r="G91" s="72">
        <f t="shared" si="23"/>
        <v>171287.283</v>
      </c>
      <c r="H91" s="72">
        <f t="shared" si="23"/>
        <v>15067.320000000002</v>
      </c>
      <c r="I91" s="72">
        <f t="shared" si="23"/>
        <v>105101.67000000001</v>
      </c>
    </row>
    <row r="92" spans="1:10">
      <c r="A92" s="28" t="s">
        <v>39</v>
      </c>
      <c r="B92" s="24" t="s">
        <v>29</v>
      </c>
      <c r="C92" s="53">
        <f t="shared" si="17"/>
        <v>738619.63400000008</v>
      </c>
      <c r="D92" s="53">
        <f t="shared" ref="D92:I93" si="24">D148+D241+D272+D306</f>
        <v>169108.38100000002</v>
      </c>
      <c r="E92" s="53">
        <f t="shared" si="24"/>
        <v>50645</v>
      </c>
      <c r="F92" s="53">
        <f t="shared" si="24"/>
        <v>227409.97999999998</v>
      </c>
      <c r="G92" s="53">
        <f t="shared" si="24"/>
        <v>171287.283</v>
      </c>
      <c r="H92" s="53">
        <f t="shared" si="24"/>
        <v>15067.320000000002</v>
      </c>
      <c r="I92" s="53">
        <f t="shared" si="24"/>
        <v>105101.67000000001</v>
      </c>
    </row>
    <row r="93" spans="1:10">
      <c r="A93" s="21"/>
      <c r="B93" s="26" t="s">
        <v>30</v>
      </c>
      <c r="C93" s="53">
        <f t="shared" si="17"/>
        <v>738619.63400000008</v>
      </c>
      <c r="D93" s="53">
        <f t="shared" si="24"/>
        <v>169108.38100000002</v>
      </c>
      <c r="E93" s="53">
        <f t="shared" si="24"/>
        <v>50645</v>
      </c>
      <c r="F93" s="53">
        <f t="shared" si="24"/>
        <v>227409.97999999998</v>
      </c>
      <c r="G93" s="53">
        <f t="shared" si="24"/>
        <v>171287.283</v>
      </c>
      <c r="H93" s="53">
        <f t="shared" si="24"/>
        <v>15067.320000000002</v>
      </c>
      <c r="I93" s="53">
        <f t="shared" si="24"/>
        <v>105101.67000000001</v>
      </c>
    </row>
    <row r="94" spans="1:10" s="248" customFormat="1">
      <c r="A94" s="275" t="s">
        <v>44</v>
      </c>
      <c r="B94" s="218" t="s">
        <v>29</v>
      </c>
      <c r="C94" s="246">
        <f>C96</f>
        <v>82937</v>
      </c>
      <c r="D94" s="203">
        <f>D96+D98</f>
        <v>113021.443</v>
      </c>
      <c r="E94" s="203">
        <f t="shared" ref="E94:I95" si="25">E96+E98</f>
        <v>0</v>
      </c>
      <c r="F94" s="203">
        <f t="shared" si="25"/>
        <v>0</v>
      </c>
      <c r="G94" s="203">
        <f t="shared" si="25"/>
        <v>0</v>
      </c>
      <c r="H94" s="203">
        <f t="shared" si="25"/>
        <v>0</v>
      </c>
      <c r="I94" s="203">
        <f t="shared" si="25"/>
        <v>665.90699999999981</v>
      </c>
    </row>
    <row r="95" spans="1:10" s="248" customFormat="1">
      <c r="A95" s="202" t="s">
        <v>45</v>
      </c>
      <c r="B95" s="218" t="s">
        <v>30</v>
      </c>
      <c r="C95" s="246">
        <f>C97</f>
        <v>82937</v>
      </c>
      <c r="D95" s="203">
        <f>D97+D99</f>
        <v>113021.443</v>
      </c>
      <c r="E95" s="203">
        <f t="shared" si="25"/>
        <v>0</v>
      </c>
      <c r="F95" s="203">
        <f t="shared" si="25"/>
        <v>0</v>
      </c>
      <c r="G95" s="203">
        <f t="shared" si="25"/>
        <v>0</v>
      </c>
      <c r="H95" s="203">
        <f t="shared" si="25"/>
        <v>0</v>
      </c>
      <c r="I95" s="203">
        <f t="shared" si="25"/>
        <v>665.90699999999981</v>
      </c>
    </row>
    <row r="96" spans="1:10" s="46" customFormat="1" ht="25.5" customHeight="1">
      <c r="A96" s="214" t="s">
        <v>46</v>
      </c>
      <c r="B96" s="24" t="s">
        <v>29</v>
      </c>
      <c r="C96" s="52">
        <f>D96+E96+F96+G96+H96+I96</f>
        <v>82937</v>
      </c>
      <c r="D96" s="72">
        <f t="shared" ref="D96:I97" si="26">D158+D296</f>
        <v>82883</v>
      </c>
      <c r="E96" s="72">
        <f t="shared" si="26"/>
        <v>0</v>
      </c>
      <c r="F96" s="72">
        <f t="shared" si="26"/>
        <v>0</v>
      </c>
      <c r="G96" s="72">
        <f t="shared" si="26"/>
        <v>0</v>
      </c>
      <c r="H96" s="72">
        <f t="shared" si="26"/>
        <v>0</v>
      </c>
      <c r="I96" s="72">
        <f t="shared" si="26"/>
        <v>54</v>
      </c>
      <c r="J96" s="248"/>
    </row>
    <row r="97" spans="1:10" s="46" customFormat="1" ht="12.95">
      <c r="A97" s="67"/>
      <c r="B97" s="26" t="s">
        <v>30</v>
      </c>
      <c r="C97" s="52">
        <f>D97+E97+F97+G97+H97+I97</f>
        <v>82937</v>
      </c>
      <c r="D97" s="72">
        <f t="shared" si="26"/>
        <v>82883</v>
      </c>
      <c r="E97" s="72">
        <f t="shared" si="26"/>
        <v>0</v>
      </c>
      <c r="F97" s="72">
        <f t="shared" si="26"/>
        <v>0</v>
      </c>
      <c r="G97" s="72">
        <f t="shared" si="26"/>
        <v>0</v>
      </c>
      <c r="H97" s="72">
        <f t="shared" si="26"/>
        <v>0</v>
      </c>
      <c r="I97" s="72">
        <f t="shared" si="26"/>
        <v>54</v>
      </c>
      <c r="J97" s="248"/>
    </row>
    <row r="98" spans="1:10">
      <c r="A98" s="66" t="s">
        <v>58</v>
      </c>
      <c r="B98" s="56" t="s">
        <v>29</v>
      </c>
      <c r="C98" s="64">
        <f t="shared" ref="C98:C99" si="27">D98+E98+F98+G98+H98+I98</f>
        <v>30750.35</v>
      </c>
      <c r="D98" s="64">
        <f>D380</f>
        <v>30138.442999999999</v>
      </c>
      <c r="E98" s="64">
        <f t="shared" ref="E98:I99" si="28">E380</f>
        <v>0</v>
      </c>
      <c r="F98" s="64">
        <f t="shared" si="28"/>
        <v>0</v>
      </c>
      <c r="G98" s="64">
        <f t="shared" si="28"/>
        <v>0</v>
      </c>
      <c r="H98" s="64">
        <f t="shared" si="28"/>
        <v>0</v>
      </c>
      <c r="I98" s="64">
        <f t="shared" si="28"/>
        <v>611.90699999999981</v>
      </c>
    </row>
    <row r="99" spans="1:10">
      <c r="A99" s="44"/>
      <c r="B99" s="55" t="s">
        <v>30</v>
      </c>
      <c r="C99" s="64">
        <f t="shared" si="27"/>
        <v>30750.35</v>
      </c>
      <c r="D99" s="64">
        <f>D381</f>
        <v>30138.442999999999</v>
      </c>
      <c r="E99" s="64">
        <f t="shared" si="28"/>
        <v>0</v>
      </c>
      <c r="F99" s="64">
        <f t="shared" si="28"/>
        <v>0</v>
      </c>
      <c r="G99" s="64">
        <f t="shared" si="28"/>
        <v>0</v>
      </c>
      <c r="H99" s="64">
        <f t="shared" si="28"/>
        <v>0</v>
      </c>
      <c r="I99" s="64">
        <f t="shared" si="28"/>
        <v>611.90699999999981</v>
      </c>
    </row>
    <row r="100" spans="1:10">
      <c r="A100" s="74" t="s">
        <v>47</v>
      </c>
      <c r="B100" s="29" t="s">
        <v>29</v>
      </c>
      <c r="C100" s="53">
        <f t="shared" si="17"/>
        <v>112965.49</v>
      </c>
      <c r="D100" s="53">
        <f>D102</f>
        <v>78882.91</v>
      </c>
      <c r="E100" s="53">
        <f t="shared" ref="E100:I101" si="29">E102</f>
        <v>14532</v>
      </c>
      <c r="F100" s="53">
        <f t="shared" si="29"/>
        <v>2161.85</v>
      </c>
      <c r="G100" s="53">
        <f t="shared" si="29"/>
        <v>0</v>
      </c>
      <c r="H100" s="53">
        <f t="shared" si="29"/>
        <v>0</v>
      </c>
      <c r="I100" s="53">
        <f t="shared" si="29"/>
        <v>17388.729999999996</v>
      </c>
    </row>
    <row r="101" spans="1:10">
      <c r="A101" s="21" t="s">
        <v>48</v>
      </c>
      <c r="B101" s="26" t="s">
        <v>30</v>
      </c>
      <c r="C101" s="53">
        <f t="shared" si="17"/>
        <v>112965.49</v>
      </c>
      <c r="D101" s="53">
        <f>D103</f>
        <v>78882.91</v>
      </c>
      <c r="E101" s="53">
        <f t="shared" si="29"/>
        <v>14532</v>
      </c>
      <c r="F101" s="53">
        <f t="shared" si="29"/>
        <v>2161.85</v>
      </c>
      <c r="G101" s="53">
        <f t="shared" si="29"/>
        <v>0</v>
      </c>
      <c r="H101" s="53">
        <f t="shared" si="29"/>
        <v>0</v>
      </c>
      <c r="I101" s="53">
        <f t="shared" si="29"/>
        <v>17388.729999999996</v>
      </c>
    </row>
    <row r="102" spans="1:10" ht="12.95">
      <c r="A102" s="19" t="s">
        <v>37</v>
      </c>
      <c r="B102" s="3" t="s">
        <v>29</v>
      </c>
      <c r="C102" s="53">
        <f t="shared" si="17"/>
        <v>112965.49</v>
      </c>
      <c r="D102" s="72">
        <f t="shared" ref="D102:I105" si="30">D104</f>
        <v>78882.91</v>
      </c>
      <c r="E102" s="72">
        <f t="shared" si="30"/>
        <v>14532</v>
      </c>
      <c r="F102" s="72">
        <f t="shared" si="30"/>
        <v>2161.85</v>
      </c>
      <c r="G102" s="72">
        <f t="shared" si="30"/>
        <v>0</v>
      </c>
      <c r="H102" s="72">
        <f t="shared" si="30"/>
        <v>0</v>
      </c>
      <c r="I102" s="72">
        <f t="shared" si="30"/>
        <v>17388.729999999996</v>
      </c>
    </row>
    <row r="103" spans="1:10" ht="12.95">
      <c r="A103" s="16"/>
      <c r="B103" s="4" t="s">
        <v>30</v>
      </c>
      <c r="C103" s="53">
        <f t="shared" si="17"/>
        <v>112965.49</v>
      </c>
      <c r="D103" s="72">
        <f t="shared" si="30"/>
        <v>78882.91</v>
      </c>
      <c r="E103" s="72">
        <f t="shared" si="30"/>
        <v>14532</v>
      </c>
      <c r="F103" s="72">
        <f t="shared" si="30"/>
        <v>2161.85</v>
      </c>
      <c r="G103" s="72">
        <f t="shared" si="30"/>
        <v>0</v>
      </c>
      <c r="H103" s="72">
        <f t="shared" si="30"/>
        <v>0</v>
      </c>
      <c r="I103" s="72">
        <f t="shared" si="30"/>
        <v>17388.729999999996</v>
      </c>
    </row>
    <row r="104" spans="1:10">
      <c r="A104" s="31" t="s">
        <v>57</v>
      </c>
      <c r="B104" s="29" t="s">
        <v>29</v>
      </c>
      <c r="C104" s="53">
        <f t="shared" si="17"/>
        <v>112965.49</v>
      </c>
      <c r="D104" s="72">
        <f t="shared" si="30"/>
        <v>78882.91</v>
      </c>
      <c r="E104" s="72">
        <f t="shared" si="30"/>
        <v>14532</v>
      </c>
      <c r="F104" s="72">
        <f t="shared" si="30"/>
        <v>2161.85</v>
      </c>
      <c r="G104" s="72">
        <f t="shared" si="30"/>
        <v>0</v>
      </c>
      <c r="H104" s="72">
        <f t="shared" si="30"/>
        <v>0</v>
      </c>
      <c r="I104" s="72">
        <f t="shared" si="30"/>
        <v>17388.729999999996</v>
      </c>
    </row>
    <row r="105" spans="1:10">
      <c r="A105" s="31"/>
      <c r="B105" s="29" t="s">
        <v>30</v>
      </c>
      <c r="C105" s="53">
        <f t="shared" si="17"/>
        <v>112965.49</v>
      </c>
      <c r="D105" s="53">
        <f>D107</f>
        <v>78882.91</v>
      </c>
      <c r="E105" s="53">
        <f t="shared" si="30"/>
        <v>14532</v>
      </c>
      <c r="F105" s="53">
        <f t="shared" si="30"/>
        <v>2161.85</v>
      </c>
      <c r="G105" s="53">
        <f t="shared" si="30"/>
        <v>0</v>
      </c>
      <c r="H105" s="53">
        <f t="shared" si="30"/>
        <v>0</v>
      </c>
      <c r="I105" s="53">
        <f t="shared" si="30"/>
        <v>17388.729999999996</v>
      </c>
    </row>
    <row r="106" spans="1:10">
      <c r="A106" s="28" t="s">
        <v>39</v>
      </c>
      <c r="B106" s="24" t="s">
        <v>29</v>
      </c>
      <c r="C106" s="53">
        <f t="shared" si="17"/>
        <v>112965.49</v>
      </c>
      <c r="D106" s="53">
        <f t="shared" ref="D106:I107" si="31">D185+D208+D253</f>
        <v>78882.91</v>
      </c>
      <c r="E106" s="53">
        <f t="shared" si="31"/>
        <v>14532</v>
      </c>
      <c r="F106" s="53">
        <f t="shared" si="31"/>
        <v>2161.85</v>
      </c>
      <c r="G106" s="53">
        <f t="shared" si="31"/>
        <v>0</v>
      </c>
      <c r="H106" s="53">
        <f t="shared" si="31"/>
        <v>0</v>
      </c>
      <c r="I106" s="53">
        <f t="shared" si="31"/>
        <v>17388.729999999996</v>
      </c>
    </row>
    <row r="107" spans="1:10">
      <c r="A107" s="21"/>
      <c r="B107" s="26" t="s">
        <v>30</v>
      </c>
      <c r="C107" s="53">
        <f t="shared" si="17"/>
        <v>112965.49</v>
      </c>
      <c r="D107" s="53">
        <f t="shared" si="31"/>
        <v>78882.91</v>
      </c>
      <c r="E107" s="53">
        <f t="shared" si="31"/>
        <v>14532</v>
      </c>
      <c r="F107" s="53">
        <f t="shared" si="31"/>
        <v>2161.85</v>
      </c>
      <c r="G107" s="53">
        <f t="shared" si="31"/>
        <v>0</v>
      </c>
      <c r="H107" s="53">
        <f t="shared" si="31"/>
        <v>0</v>
      </c>
      <c r="I107" s="53">
        <f t="shared" si="31"/>
        <v>17388.729999999996</v>
      </c>
    </row>
    <row r="108" spans="1:10">
      <c r="A108" s="632" t="s">
        <v>59</v>
      </c>
      <c r="B108" s="633"/>
      <c r="C108" s="633"/>
      <c r="D108" s="633"/>
      <c r="E108" s="633"/>
      <c r="F108" s="633"/>
      <c r="G108" s="633"/>
      <c r="H108" s="633"/>
      <c r="I108" s="670"/>
    </row>
    <row r="109" spans="1:10">
      <c r="A109" s="577" t="s">
        <v>54</v>
      </c>
      <c r="B109" s="578"/>
      <c r="C109" s="578"/>
      <c r="D109" s="578"/>
      <c r="E109" s="578"/>
      <c r="F109" s="578"/>
      <c r="G109" s="578"/>
      <c r="H109" s="578"/>
      <c r="I109" s="579"/>
      <c r="J109" s="211"/>
    </row>
    <row r="110" spans="1:10">
      <c r="A110" s="31" t="s">
        <v>45</v>
      </c>
      <c r="B110" s="29" t="s">
        <v>29</v>
      </c>
      <c r="C110" s="52">
        <f>D110+E110+F110+G110+H110+I110</f>
        <v>278550.815</v>
      </c>
      <c r="D110" s="72">
        <f t="shared" ref="D110:I111" si="32">D112+D156</f>
        <v>202310.815</v>
      </c>
      <c r="E110" s="72">
        <f t="shared" si="32"/>
        <v>73436</v>
      </c>
      <c r="F110" s="72">
        <f t="shared" si="32"/>
        <v>0</v>
      </c>
      <c r="G110" s="72">
        <f t="shared" si="32"/>
        <v>0</v>
      </c>
      <c r="H110" s="72">
        <f t="shared" si="32"/>
        <v>0</v>
      </c>
      <c r="I110" s="72">
        <f t="shared" si="32"/>
        <v>2804</v>
      </c>
      <c r="J110" s="211"/>
    </row>
    <row r="111" spans="1:10">
      <c r="A111" s="80"/>
      <c r="B111" s="26" t="s">
        <v>30</v>
      </c>
      <c r="C111" s="52">
        <f t="shared" ref="C111:C149" si="33">D111+E111+F111+G111+H111+I111</f>
        <v>278550.815</v>
      </c>
      <c r="D111" s="72">
        <f t="shared" si="32"/>
        <v>202310.815</v>
      </c>
      <c r="E111" s="72">
        <f t="shared" si="32"/>
        <v>73436</v>
      </c>
      <c r="F111" s="72">
        <f t="shared" si="32"/>
        <v>0</v>
      </c>
      <c r="G111" s="72">
        <f t="shared" si="32"/>
        <v>0</v>
      </c>
      <c r="H111" s="72">
        <f t="shared" si="32"/>
        <v>0</v>
      </c>
      <c r="I111" s="72">
        <f t="shared" si="32"/>
        <v>2804</v>
      </c>
      <c r="J111" s="211"/>
    </row>
    <row r="112" spans="1:10" s="46" customFormat="1">
      <c r="A112" s="23" t="s">
        <v>60</v>
      </c>
      <c r="B112" s="41" t="s">
        <v>29</v>
      </c>
      <c r="C112" s="52">
        <f t="shared" si="33"/>
        <v>226061.815</v>
      </c>
      <c r="D112" s="72">
        <f>D114+D118+D136+D144</f>
        <v>149875.815</v>
      </c>
      <c r="E112" s="72">
        <f t="shared" ref="E112:I112" si="34">E114+E118+E136+E144</f>
        <v>73436</v>
      </c>
      <c r="F112" s="72">
        <f t="shared" si="34"/>
        <v>0</v>
      </c>
      <c r="G112" s="72">
        <f t="shared" si="34"/>
        <v>0</v>
      </c>
      <c r="H112" s="72">
        <f t="shared" si="34"/>
        <v>0</v>
      </c>
      <c r="I112" s="72">
        <f t="shared" si="34"/>
        <v>2750</v>
      </c>
      <c r="J112" s="248"/>
    </row>
    <row r="113" spans="1:17" s="46" customFormat="1">
      <c r="A113" s="21" t="s">
        <v>45</v>
      </c>
      <c r="B113" s="41" t="s">
        <v>30</v>
      </c>
      <c r="C113" s="52">
        <f t="shared" si="33"/>
        <v>226061.815</v>
      </c>
      <c r="D113" s="72">
        <f>D115+D119+D137+D145</f>
        <v>149875.815</v>
      </c>
      <c r="E113" s="72">
        <f t="shared" ref="E113:I113" si="35">E115+E119+E137+E145</f>
        <v>73436</v>
      </c>
      <c r="F113" s="72">
        <f t="shared" si="35"/>
        <v>0</v>
      </c>
      <c r="G113" s="72">
        <f t="shared" si="35"/>
        <v>0</v>
      </c>
      <c r="H113" s="72">
        <f t="shared" si="35"/>
        <v>0</v>
      </c>
      <c r="I113" s="72">
        <f t="shared" si="35"/>
        <v>2750</v>
      </c>
      <c r="J113" s="248"/>
    </row>
    <row r="114" spans="1:17" s="248" customFormat="1" ht="25.7">
      <c r="A114" s="334" t="s">
        <v>61</v>
      </c>
      <c r="B114" s="281" t="s">
        <v>29</v>
      </c>
      <c r="C114" s="240">
        <f t="shared" si="33"/>
        <v>65155</v>
      </c>
      <c r="D114" s="240">
        <f>D116</f>
        <v>0</v>
      </c>
      <c r="E114" s="240">
        <f t="shared" ref="E114:I114" si="36">E116</f>
        <v>65155</v>
      </c>
      <c r="F114" s="240">
        <f t="shared" si="36"/>
        <v>0</v>
      </c>
      <c r="G114" s="240">
        <f t="shared" si="36"/>
        <v>0</v>
      </c>
      <c r="H114" s="240">
        <f t="shared" si="36"/>
        <v>0</v>
      </c>
      <c r="I114" s="240">
        <f t="shared" si="36"/>
        <v>0</v>
      </c>
    </row>
    <row r="115" spans="1:17" s="248" customFormat="1">
      <c r="A115" s="335"/>
      <c r="B115" s="226" t="s">
        <v>30</v>
      </c>
      <c r="C115" s="240">
        <f t="shared" si="33"/>
        <v>65155</v>
      </c>
      <c r="D115" s="240">
        <f>D117</f>
        <v>0</v>
      </c>
      <c r="E115" s="240">
        <f t="shared" ref="E115:I115" si="37">E117</f>
        <v>65155</v>
      </c>
      <c r="F115" s="240">
        <f t="shared" si="37"/>
        <v>0</v>
      </c>
      <c r="G115" s="240">
        <f t="shared" si="37"/>
        <v>0</v>
      </c>
      <c r="H115" s="240">
        <f t="shared" si="37"/>
        <v>0</v>
      </c>
      <c r="I115" s="240">
        <f t="shared" si="37"/>
        <v>0</v>
      </c>
    </row>
    <row r="116" spans="1:17" s="212" customFormat="1" ht="17.25" customHeight="1">
      <c r="A116" s="434" t="s">
        <v>62</v>
      </c>
      <c r="B116" s="237" t="s">
        <v>29</v>
      </c>
      <c r="C116" s="240">
        <f t="shared" si="33"/>
        <v>65155</v>
      </c>
      <c r="D116" s="240">
        <v>0</v>
      </c>
      <c r="E116" s="240">
        <f>63719+1436</f>
        <v>65155</v>
      </c>
      <c r="F116" s="240">
        <v>0</v>
      </c>
      <c r="G116" s="240">
        <v>0</v>
      </c>
      <c r="H116" s="240">
        <v>0</v>
      </c>
      <c r="I116" s="240">
        <v>0</v>
      </c>
      <c r="J116" s="582"/>
      <c r="K116" s="583"/>
      <c r="L116" s="583"/>
      <c r="M116" s="583"/>
      <c r="N116" s="583"/>
      <c r="O116" s="583"/>
      <c r="P116" s="583"/>
      <c r="Q116" s="583"/>
    </row>
    <row r="117" spans="1:17" s="206" customFormat="1" ht="12.95">
      <c r="A117" s="43"/>
      <c r="B117" s="62" t="s">
        <v>30</v>
      </c>
      <c r="C117" s="78">
        <f t="shared" si="33"/>
        <v>65155</v>
      </c>
      <c r="D117" s="240">
        <v>0</v>
      </c>
      <c r="E117" s="78">
        <f>63719+1436</f>
        <v>65155</v>
      </c>
      <c r="F117" s="78">
        <v>0</v>
      </c>
      <c r="G117" s="78">
        <v>0</v>
      </c>
      <c r="H117" s="78">
        <v>0</v>
      </c>
      <c r="I117" s="240">
        <v>0</v>
      </c>
      <c r="J117" s="582"/>
      <c r="K117" s="583"/>
      <c r="L117" s="583"/>
      <c r="M117" s="583"/>
      <c r="N117" s="583"/>
      <c r="O117" s="583"/>
      <c r="P117" s="583"/>
      <c r="Q117" s="583"/>
    </row>
    <row r="118" spans="1:17" s="46" customFormat="1" ht="25.5" customHeight="1">
      <c r="A118" s="214" t="s">
        <v>46</v>
      </c>
      <c r="B118" s="24" t="s">
        <v>29</v>
      </c>
      <c r="C118" s="52">
        <f t="shared" si="33"/>
        <v>116626</v>
      </c>
      <c r="D118" s="72">
        <f>D120+D122+D124+D126+D128+D130+D132+D134</f>
        <v>116626</v>
      </c>
      <c r="E118" s="72">
        <f t="shared" ref="E118:I119" si="38">E120+E122+E124+E126+E128+E130+E132+E134</f>
        <v>0</v>
      </c>
      <c r="F118" s="72">
        <f t="shared" si="38"/>
        <v>0</v>
      </c>
      <c r="G118" s="72">
        <f t="shared" si="38"/>
        <v>0</v>
      </c>
      <c r="H118" s="72">
        <f t="shared" si="38"/>
        <v>0</v>
      </c>
      <c r="I118" s="72">
        <f t="shared" si="38"/>
        <v>0</v>
      </c>
      <c r="J118" s="248"/>
    </row>
    <row r="119" spans="1:17" s="46" customFormat="1" ht="12.95">
      <c r="A119" s="67"/>
      <c r="B119" s="26" t="s">
        <v>30</v>
      </c>
      <c r="C119" s="52">
        <f t="shared" si="33"/>
        <v>116626</v>
      </c>
      <c r="D119" s="72">
        <f>D121+D123+D125+D127+D129+D131+D133+D135</f>
        <v>116626</v>
      </c>
      <c r="E119" s="72">
        <f t="shared" si="38"/>
        <v>0</v>
      </c>
      <c r="F119" s="72">
        <f t="shared" si="38"/>
        <v>0</v>
      </c>
      <c r="G119" s="72">
        <f t="shared" si="38"/>
        <v>0</v>
      </c>
      <c r="H119" s="72">
        <f t="shared" si="38"/>
        <v>0</v>
      </c>
      <c r="I119" s="72">
        <f t="shared" si="38"/>
        <v>0</v>
      </c>
      <c r="J119" s="248"/>
    </row>
    <row r="120" spans="1:17" s="212" customFormat="1" ht="24.95">
      <c r="A120" s="210" t="s">
        <v>63</v>
      </c>
      <c r="B120" s="216" t="s">
        <v>29</v>
      </c>
      <c r="C120" s="203">
        <f t="shared" si="33"/>
        <v>22490</v>
      </c>
      <c r="D120" s="203">
        <f>1+30+29+387+2056+13851+5528+608</f>
        <v>22490</v>
      </c>
      <c r="E120" s="203">
        <v>0</v>
      </c>
      <c r="F120" s="203">
        <v>0</v>
      </c>
      <c r="G120" s="203">
        <v>0</v>
      </c>
      <c r="H120" s="203">
        <v>0</v>
      </c>
      <c r="I120" s="203">
        <f t="shared" ref="I120" si="39">I121</f>
        <v>0</v>
      </c>
      <c r="J120" s="712" t="s">
        <v>64</v>
      </c>
      <c r="K120" s="648"/>
      <c r="L120" s="648"/>
      <c r="M120" s="648"/>
      <c r="N120" s="648"/>
      <c r="O120" s="648"/>
    </row>
    <row r="121" spans="1:17" s="249" customFormat="1" ht="12.95">
      <c r="A121" s="269"/>
      <c r="B121" s="217" t="s">
        <v>30</v>
      </c>
      <c r="C121" s="203">
        <f t="shared" si="33"/>
        <v>22490</v>
      </c>
      <c r="D121" s="203">
        <f>1+30+29+387+2056+13851+5528+608</f>
        <v>22490</v>
      </c>
      <c r="E121" s="203">
        <v>0</v>
      </c>
      <c r="F121" s="203">
        <v>0</v>
      </c>
      <c r="G121" s="203">
        <v>0</v>
      </c>
      <c r="H121" s="203">
        <v>0</v>
      </c>
      <c r="I121" s="203">
        <v>0</v>
      </c>
      <c r="J121" s="649"/>
      <c r="K121" s="648"/>
      <c r="L121" s="648"/>
      <c r="M121" s="648"/>
      <c r="N121" s="648"/>
      <c r="O121" s="648"/>
    </row>
    <row r="122" spans="1:17" s="253" customFormat="1" ht="24.95">
      <c r="A122" s="210" t="s">
        <v>65</v>
      </c>
      <c r="B122" s="216" t="s">
        <v>29</v>
      </c>
      <c r="C122" s="203">
        <f t="shared" si="33"/>
        <v>24308</v>
      </c>
      <c r="D122" s="84">
        <f>1+37+6150+7824+8829+843+624</f>
        <v>24308</v>
      </c>
      <c r="E122" s="203">
        <v>0</v>
      </c>
      <c r="F122" s="203">
        <v>0</v>
      </c>
      <c r="G122" s="203">
        <v>0</v>
      </c>
      <c r="H122" s="203">
        <v>0</v>
      </c>
      <c r="I122" s="203">
        <f t="shared" ref="I122" si="40">I123</f>
        <v>0</v>
      </c>
      <c r="J122" s="691" t="s">
        <v>66</v>
      </c>
      <c r="K122" s="694"/>
      <c r="L122" s="694"/>
      <c r="M122" s="694"/>
      <c r="N122" s="694"/>
      <c r="O122" s="694"/>
    </row>
    <row r="123" spans="1:17" s="145" customFormat="1" ht="12.95">
      <c r="A123" s="259"/>
      <c r="B123" s="86" t="s">
        <v>30</v>
      </c>
      <c r="C123" s="84">
        <f t="shared" si="33"/>
        <v>24308</v>
      </c>
      <c r="D123" s="84">
        <f>1+37+6150+7824+8829+843+624</f>
        <v>24308</v>
      </c>
      <c r="E123" s="84">
        <v>0</v>
      </c>
      <c r="F123" s="84">
        <v>0</v>
      </c>
      <c r="G123" s="84">
        <v>0</v>
      </c>
      <c r="H123" s="84">
        <v>0</v>
      </c>
      <c r="I123" s="84">
        <v>0</v>
      </c>
      <c r="J123" s="693"/>
      <c r="K123" s="694"/>
      <c r="L123" s="694"/>
      <c r="M123" s="694"/>
      <c r="N123" s="694"/>
      <c r="O123" s="694"/>
    </row>
    <row r="124" spans="1:17" s="253" customFormat="1">
      <c r="A124" s="210" t="s">
        <v>67</v>
      </c>
      <c r="B124" s="216" t="s">
        <v>29</v>
      </c>
      <c r="C124" s="203">
        <f t="shared" si="33"/>
        <v>14300</v>
      </c>
      <c r="D124" s="203">
        <f>1+8+19+4474+5087+630+4081</f>
        <v>14300</v>
      </c>
      <c r="E124" s="203">
        <v>0</v>
      </c>
      <c r="F124" s="203">
        <v>0</v>
      </c>
      <c r="G124" s="203">
        <v>0</v>
      </c>
      <c r="H124" s="203">
        <v>0</v>
      </c>
      <c r="I124" s="203">
        <v>0</v>
      </c>
    </row>
    <row r="125" spans="1:17" s="249" customFormat="1" ht="12.95">
      <c r="A125" s="269"/>
      <c r="B125" s="217" t="s">
        <v>30</v>
      </c>
      <c r="C125" s="203">
        <f t="shared" si="33"/>
        <v>14300</v>
      </c>
      <c r="D125" s="203">
        <f>1+8+19+4474+5087+630+4081</f>
        <v>14300</v>
      </c>
      <c r="E125" s="203">
        <v>0</v>
      </c>
      <c r="F125" s="203">
        <v>0</v>
      </c>
      <c r="G125" s="203">
        <v>0</v>
      </c>
      <c r="H125" s="203">
        <v>0</v>
      </c>
      <c r="I125" s="203">
        <v>0</v>
      </c>
    </row>
    <row r="126" spans="1:17" s="253" customFormat="1" ht="24.95">
      <c r="A126" s="210" t="s">
        <v>68</v>
      </c>
      <c r="B126" s="216" t="s">
        <v>29</v>
      </c>
      <c r="C126" s="203">
        <f t="shared" si="33"/>
        <v>26004</v>
      </c>
      <c r="D126" s="203">
        <f>1+50+11337+14312+181+123</f>
        <v>26004</v>
      </c>
      <c r="E126" s="203">
        <v>0</v>
      </c>
      <c r="F126" s="203">
        <v>0</v>
      </c>
      <c r="G126" s="203">
        <v>0</v>
      </c>
      <c r="H126" s="203">
        <v>0</v>
      </c>
      <c r="I126" s="203">
        <v>0</v>
      </c>
      <c r="J126" s="618" t="s">
        <v>69</v>
      </c>
      <c r="K126" s="627"/>
      <c r="L126" s="627"/>
      <c r="M126" s="627"/>
      <c r="N126" s="627"/>
    </row>
    <row r="127" spans="1:17" s="249" customFormat="1" ht="12.95">
      <c r="A127" s="269"/>
      <c r="B127" s="217" t="s">
        <v>30</v>
      </c>
      <c r="C127" s="203">
        <f t="shared" si="33"/>
        <v>26004</v>
      </c>
      <c r="D127" s="203">
        <f>1+50+11337+14312+181+123</f>
        <v>26004</v>
      </c>
      <c r="E127" s="203">
        <v>0</v>
      </c>
      <c r="F127" s="203">
        <v>0</v>
      </c>
      <c r="G127" s="203">
        <v>0</v>
      </c>
      <c r="H127" s="203">
        <v>0</v>
      </c>
      <c r="I127" s="203">
        <v>0</v>
      </c>
      <c r="J127" s="669"/>
      <c r="K127" s="627"/>
      <c r="L127" s="627"/>
      <c r="M127" s="627"/>
      <c r="N127" s="627"/>
    </row>
    <row r="128" spans="1:17" s="212" customFormat="1" ht="24.95">
      <c r="A128" s="210" t="s">
        <v>70</v>
      </c>
      <c r="B128" s="216" t="s">
        <v>29</v>
      </c>
      <c r="C128" s="203">
        <f t="shared" si="33"/>
        <v>3443</v>
      </c>
      <c r="D128" s="203">
        <f>3+8+126+401+2899+6</f>
        <v>3443</v>
      </c>
      <c r="E128" s="203">
        <v>0</v>
      </c>
      <c r="F128" s="203">
        <v>0</v>
      </c>
      <c r="G128" s="203">
        <v>0</v>
      </c>
      <c r="H128" s="203">
        <v>0</v>
      </c>
      <c r="I128" s="203">
        <v>0</v>
      </c>
      <c r="J128" s="712"/>
      <c r="K128" s="648"/>
      <c r="L128" s="648"/>
      <c r="M128" s="648"/>
      <c r="N128" s="648"/>
    </row>
    <row r="129" spans="1:16" s="249" customFormat="1">
      <c r="A129" s="202"/>
      <c r="B129" s="217" t="s">
        <v>30</v>
      </c>
      <c r="C129" s="203">
        <f t="shared" si="33"/>
        <v>3443</v>
      </c>
      <c r="D129" s="203">
        <f>3+8+126+401+2899+6</f>
        <v>3443</v>
      </c>
      <c r="E129" s="203">
        <v>0</v>
      </c>
      <c r="F129" s="203">
        <v>0</v>
      </c>
      <c r="G129" s="203">
        <v>0</v>
      </c>
      <c r="H129" s="203">
        <v>0</v>
      </c>
      <c r="I129" s="203">
        <v>0</v>
      </c>
      <c r="J129" s="649"/>
      <c r="K129" s="648"/>
      <c r="L129" s="648"/>
      <c r="M129" s="648"/>
      <c r="N129" s="648"/>
    </row>
    <row r="130" spans="1:16" s="212" customFormat="1" ht="24.95">
      <c r="A130" s="210" t="s">
        <v>71</v>
      </c>
      <c r="B130" s="216" t="s">
        <v>29</v>
      </c>
      <c r="C130" s="203">
        <f t="shared" si="33"/>
        <v>7233</v>
      </c>
      <c r="D130" s="203">
        <f>2+13+579+5888+525+226</f>
        <v>7233</v>
      </c>
      <c r="E130" s="203">
        <v>0</v>
      </c>
      <c r="F130" s="203">
        <v>0</v>
      </c>
      <c r="G130" s="203">
        <f>2711-2711</f>
        <v>0</v>
      </c>
      <c r="H130" s="203">
        <v>0</v>
      </c>
      <c r="I130" s="203">
        <v>0</v>
      </c>
      <c r="J130" s="647"/>
      <c r="K130" s="648"/>
      <c r="L130" s="648"/>
      <c r="M130" s="648"/>
      <c r="N130" s="648"/>
      <c r="O130" s="648"/>
      <c r="P130" s="648"/>
    </row>
    <row r="131" spans="1:16" s="213" customFormat="1">
      <c r="A131" s="202"/>
      <c r="B131" s="217" t="s">
        <v>30</v>
      </c>
      <c r="C131" s="203">
        <f t="shared" si="33"/>
        <v>7233</v>
      </c>
      <c r="D131" s="203">
        <f>2+13+579+5888+525+226</f>
        <v>7233</v>
      </c>
      <c r="E131" s="203">
        <v>0</v>
      </c>
      <c r="F131" s="203">
        <v>0</v>
      </c>
      <c r="G131" s="203">
        <f>2711-2711</f>
        <v>0</v>
      </c>
      <c r="H131" s="203">
        <v>0</v>
      </c>
      <c r="I131" s="203">
        <v>0</v>
      </c>
      <c r="J131" s="649"/>
      <c r="K131" s="648"/>
      <c r="L131" s="648"/>
      <c r="M131" s="648"/>
      <c r="N131" s="648"/>
      <c r="O131" s="648"/>
      <c r="P131" s="648"/>
    </row>
    <row r="132" spans="1:16" s="253" customFormat="1" ht="24.95">
      <c r="A132" s="210" t="s">
        <v>72</v>
      </c>
      <c r="B132" s="216" t="s">
        <v>29</v>
      </c>
      <c r="C132" s="203">
        <f t="shared" si="33"/>
        <v>10222</v>
      </c>
      <c r="D132" s="203">
        <f>3+2+375+9655+187</f>
        <v>10222</v>
      </c>
      <c r="E132" s="203">
        <v>0</v>
      </c>
      <c r="F132" s="203">
        <v>0</v>
      </c>
      <c r="G132" s="203">
        <v>0</v>
      </c>
      <c r="H132" s="203">
        <v>0</v>
      </c>
      <c r="I132" s="203">
        <v>0</v>
      </c>
      <c r="J132" s="647" t="s">
        <v>73</v>
      </c>
      <c r="K132" s="730"/>
      <c r="L132" s="730"/>
      <c r="M132" s="730"/>
      <c r="N132" s="730"/>
      <c r="O132" s="730"/>
    </row>
    <row r="133" spans="1:16" s="20" customFormat="1" ht="12.95">
      <c r="A133" s="354"/>
      <c r="B133" s="217" t="s">
        <v>30</v>
      </c>
      <c r="C133" s="203">
        <f t="shared" si="33"/>
        <v>10222</v>
      </c>
      <c r="D133" s="203">
        <f>3+2+375+9655+187</f>
        <v>10222</v>
      </c>
      <c r="E133" s="203">
        <v>0</v>
      </c>
      <c r="F133" s="203">
        <v>0</v>
      </c>
      <c r="G133" s="203">
        <v>0</v>
      </c>
      <c r="H133" s="203">
        <v>0</v>
      </c>
      <c r="I133" s="203">
        <v>0</v>
      </c>
      <c r="J133" s="731"/>
      <c r="K133" s="730"/>
      <c r="L133" s="730"/>
      <c r="M133" s="730"/>
      <c r="N133" s="730"/>
      <c r="O133" s="730"/>
    </row>
    <row r="134" spans="1:16" s="253" customFormat="1" ht="24.95">
      <c r="A134" s="210" t="s">
        <v>74</v>
      </c>
      <c r="B134" s="216" t="s">
        <v>29</v>
      </c>
      <c r="C134" s="203">
        <f t="shared" si="33"/>
        <v>8626</v>
      </c>
      <c r="D134" s="203">
        <f>3+2+331+8067+223</f>
        <v>8626</v>
      </c>
      <c r="E134" s="203">
        <v>0</v>
      </c>
      <c r="F134" s="203">
        <v>0</v>
      </c>
      <c r="G134" s="203">
        <v>0</v>
      </c>
      <c r="H134" s="203">
        <v>0</v>
      </c>
      <c r="I134" s="203">
        <v>0</v>
      </c>
      <c r="J134" s="647"/>
      <c r="K134" s="648"/>
      <c r="L134" s="648"/>
      <c r="M134" s="648"/>
      <c r="N134" s="648"/>
      <c r="O134" s="648"/>
    </row>
    <row r="135" spans="1:16" s="213" customFormat="1" ht="12.95">
      <c r="A135" s="354"/>
      <c r="B135" s="217" t="s">
        <v>30</v>
      </c>
      <c r="C135" s="203">
        <f t="shared" si="33"/>
        <v>8626</v>
      </c>
      <c r="D135" s="203">
        <f>3+2+331+8067+223</f>
        <v>8626</v>
      </c>
      <c r="E135" s="203">
        <v>0</v>
      </c>
      <c r="F135" s="203">
        <v>0</v>
      </c>
      <c r="G135" s="203">
        <v>0</v>
      </c>
      <c r="H135" s="203">
        <v>0</v>
      </c>
      <c r="I135" s="203">
        <v>0</v>
      </c>
      <c r="J135" s="649"/>
      <c r="K135" s="648"/>
      <c r="L135" s="648"/>
      <c r="M135" s="648"/>
      <c r="N135" s="648"/>
      <c r="O135" s="648"/>
    </row>
    <row r="136" spans="1:16" s="20" customFormat="1" ht="25.5" customHeight="1">
      <c r="A136" s="296" t="s">
        <v>36</v>
      </c>
      <c r="B136" s="63" t="s">
        <v>29</v>
      </c>
      <c r="C136" s="64">
        <f t="shared" si="33"/>
        <v>29079</v>
      </c>
      <c r="D136" s="64">
        <f>D138+D140+D142</f>
        <v>28737</v>
      </c>
      <c r="E136" s="64">
        <f t="shared" ref="E136:I137" si="41">E138+E140+E142</f>
        <v>342</v>
      </c>
      <c r="F136" s="64">
        <f t="shared" si="41"/>
        <v>0</v>
      </c>
      <c r="G136" s="64">
        <f t="shared" si="41"/>
        <v>0</v>
      </c>
      <c r="H136" s="64">
        <f t="shared" si="41"/>
        <v>0</v>
      </c>
      <c r="I136" s="64">
        <f t="shared" si="41"/>
        <v>0</v>
      </c>
      <c r="J136" s="213"/>
    </row>
    <row r="137" spans="1:16" s="20" customFormat="1" ht="12.95">
      <c r="A137" s="16"/>
      <c r="B137" s="62" t="s">
        <v>30</v>
      </c>
      <c r="C137" s="64">
        <f t="shared" si="33"/>
        <v>29079</v>
      </c>
      <c r="D137" s="64">
        <f>D139+D141+D143</f>
        <v>28737</v>
      </c>
      <c r="E137" s="64">
        <f t="shared" si="41"/>
        <v>342</v>
      </c>
      <c r="F137" s="64">
        <f t="shared" si="41"/>
        <v>0</v>
      </c>
      <c r="G137" s="64">
        <f t="shared" si="41"/>
        <v>0</v>
      </c>
      <c r="H137" s="64">
        <f t="shared" si="41"/>
        <v>0</v>
      </c>
      <c r="I137" s="64">
        <f t="shared" si="41"/>
        <v>0</v>
      </c>
      <c r="J137" s="213"/>
    </row>
    <row r="138" spans="1:16" s="209" customFormat="1" ht="40.5" customHeight="1">
      <c r="A138" s="332" t="s">
        <v>75</v>
      </c>
      <c r="B138" s="237" t="s">
        <v>29</v>
      </c>
      <c r="C138" s="240">
        <f t="shared" si="33"/>
        <v>2337</v>
      </c>
      <c r="D138" s="240">
        <f>718+1619</f>
        <v>2337</v>
      </c>
      <c r="E138" s="240">
        <v>0</v>
      </c>
      <c r="F138" s="240">
        <v>0</v>
      </c>
      <c r="G138" s="240">
        <v>0</v>
      </c>
      <c r="H138" s="240">
        <v>0</v>
      </c>
      <c r="I138" s="240">
        <v>0</v>
      </c>
      <c r="J138" s="592" t="s">
        <v>76</v>
      </c>
      <c r="K138" s="551"/>
      <c r="L138" s="551"/>
      <c r="M138" s="551"/>
      <c r="N138" s="551"/>
      <c r="O138" s="551"/>
    </row>
    <row r="139" spans="1:16">
      <c r="A139" s="215"/>
      <c r="B139" s="226" t="s">
        <v>30</v>
      </c>
      <c r="C139" s="240">
        <f t="shared" si="33"/>
        <v>2337</v>
      </c>
      <c r="D139" s="240">
        <f>718+1619</f>
        <v>2337</v>
      </c>
      <c r="E139" s="240">
        <v>0</v>
      </c>
      <c r="F139" s="240">
        <v>0</v>
      </c>
      <c r="G139" s="240">
        <v>0</v>
      </c>
      <c r="H139" s="240">
        <v>0</v>
      </c>
      <c r="I139" s="240">
        <v>0</v>
      </c>
      <c r="J139" s="552"/>
      <c r="K139" s="551"/>
      <c r="L139" s="551"/>
      <c r="M139" s="551"/>
      <c r="N139" s="551"/>
      <c r="O139" s="551"/>
    </row>
    <row r="140" spans="1:16" s="212" customFormat="1" ht="16.5" customHeight="1">
      <c r="A140" s="415" t="s">
        <v>77</v>
      </c>
      <c r="B140" s="237" t="s">
        <v>29</v>
      </c>
      <c r="C140" s="240">
        <f t="shared" si="33"/>
        <v>25353</v>
      </c>
      <c r="D140" s="240">
        <f>1997+23356</f>
        <v>25353</v>
      </c>
      <c r="E140" s="240">
        <v>0</v>
      </c>
      <c r="F140" s="240">
        <v>0</v>
      </c>
      <c r="G140" s="240">
        <v>0</v>
      </c>
      <c r="H140" s="240">
        <v>0</v>
      </c>
      <c r="I140" s="240">
        <v>0</v>
      </c>
      <c r="J140" s="584" t="s">
        <v>78</v>
      </c>
      <c r="K140" s="627"/>
      <c r="L140" s="627"/>
      <c r="M140" s="627"/>
      <c r="N140" s="627"/>
      <c r="O140" s="627"/>
    </row>
    <row r="141" spans="1:16" s="212" customFormat="1" ht="12.95">
      <c r="A141" s="319"/>
      <c r="B141" s="226" t="s">
        <v>30</v>
      </c>
      <c r="C141" s="240">
        <f t="shared" si="33"/>
        <v>25353</v>
      </c>
      <c r="D141" s="240">
        <f>1997+23356</f>
        <v>25353</v>
      </c>
      <c r="E141" s="240">
        <v>0</v>
      </c>
      <c r="F141" s="240">
        <v>0</v>
      </c>
      <c r="G141" s="240">
        <v>0</v>
      </c>
      <c r="H141" s="240">
        <v>0</v>
      </c>
      <c r="I141" s="240">
        <v>0</v>
      </c>
      <c r="J141" s="627"/>
      <c r="K141" s="627"/>
      <c r="L141" s="627"/>
      <c r="M141" s="627"/>
      <c r="N141" s="627"/>
      <c r="O141" s="627"/>
    </row>
    <row r="142" spans="1:16" s="212" customFormat="1" ht="26.25" customHeight="1">
      <c r="A142" s="416" t="s">
        <v>79</v>
      </c>
      <c r="B142" s="237" t="s">
        <v>29</v>
      </c>
      <c r="C142" s="240">
        <f t="shared" si="33"/>
        <v>1389</v>
      </c>
      <c r="D142" s="240">
        <v>1047</v>
      </c>
      <c r="E142" s="240">
        <v>342</v>
      </c>
      <c r="F142" s="240">
        <v>0</v>
      </c>
      <c r="G142" s="240">
        <v>0</v>
      </c>
      <c r="H142" s="240">
        <v>0</v>
      </c>
      <c r="I142" s="240">
        <v>0</v>
      </c>
    </row>
    <row r="143" spans="1:16" s="213" customFormat="1" ht="12.95">
      <c r="A143" s="297"/>
      <c r="B143" s="226" t="s">
        <v>30</v>
      </c>
      <c r="C143" s="240">
        <f t="shared" si="33"/>
        <v>1389</v>
      </c>
      <c r="D143" s="240">
        <v>1047</v>
      </c>
      <c r="E143" s="240">
        <v>342</v>
      </c>
      <c r="F143" s="240">
        <v>0</v>
      </c>
      <c r="G143" s="240">
        <v>0</v>
      </c>
      <c r="H143" s="240">
        <v>0</v>
      </c>
      <c r="I143" s="240">
        <v>0</v>
      </c>
    </row>
    <row r="144" spans="1:16" s="209" customFormat="1" ht="12.95">
      <c r="A144" s="19" t="s">
        <v>37</v>
      </c>
      <c r="B144" s="160" t="s">
        <v>29</v>
      </c>
      <c r="C144" s="64">
        <f t="shared" si="33"/>
        <v>15201.815000000001</v>
      </c>
      <c r="D144" s="64">
        <f t="shared" ref="D144:I147" si="42">D146</f>
        <v>4512.8150000000005</v>
      </c>
      <c r="E144" s="64">
        <f t="shared" si="42"/>
        <v>7939</v>
      </c>
      <c r="F144" s="64">
        <f t="shared" si="42"/>
        <v>0</v>
      </c>
      <c r="G144" s="64">
        <f t="shared" si="42"/>
        <v>0</v>
      </c>
      <c r="H144" s="64">
        <f t="shared" si="42"/>
        <v>0</v>
      </c>
      <c r="I144" s="64">
        <f t="shared" si="42"/>
        <v>2750</v>
      </c>
      <c r="J144" s="212"/>
    </row>
    <row r="145" spans="1:16" s="20" customFormat="1" ht="12.95">
      <c r="A145" s="16"/>
      <c r="B145" s="4" t="s">
        <v>30</v>
      </c>
      <c r="C145" s="64">
        <f t="shared" si="33"/>
        <v>15201.815000000001</v>
      </c>
      <c r="D145" s="64">
        <f t="shared" si="42"/>
        <v>4512.8150000000005</v>
      </c>
      <c r="E145" s="64">
        <f t="shared" si="42"/>
        <v>7939</v>
      </c>
      <c r="F145" s="64">
        <f t="shared" si="42"/>
        <v>0</v>
      </c>
      <c r="G145" s="64">
        <f t="shared" si="42"/>
        <v>0</v>
      </c>
      <c r="H145" s="64">
        <f t="shared" si="42"/>
        <v>0</v>
      </c>
      <c r="I145" s="64">
        <f t="shared" si="42"/>
        <v>2750</v>
      </c>
      <c r="J145" s="213"/>
    </row>
    <row r="146" spans="1:16" s="209" customFormat="1" ht="12.95">
      <c r="A146" s="19" t="s">
        <v>50</v>
      </c>
      <c r="B146" s="160" t="s">
        <v>29</v>
      </c>
      <c r="C146" s="64">
        <f t="shared" si="33"/>
        <v>15201.815000000001</v>
      </c>
      <c r="D146" s="64">
        <f t="shared" si="42"/>
        <v>4512.8150000000005</v>
      </c>
      <c r="E146" s="64">
        <f t="shared" si="42"/>
        <v>7939</v>
      </c>
      <c r="F146" s="64">
        <f t="shared" si="42"/>
        <v>0</v>
      </c>
      <c r="G146" s="64">
        <f t="shared" si="42"/>
        <v>0</v>
      </c>
      <c r="H146" s="64">
        <f t="shared" si="42"/>
        <v>0</v>
      </c>
      <c r="I146" s="64">
        <f t="shared" si="42"/>
        <v>2750</v>
      </c>
      <c r="J146" s="212"/>
    </row>
    <row r="147" spans="1:16" s="20" customFormat="1">
      <c r="A147" s="10"/>
      <c r="B147" s="4" t="s">
        <v>30</v>
      </c>
      <c r="C147" s="64">
        <f t="shared" si="33"/>
        <v>15201.815000000001</v>
      </c>
      <c r="D147" s="64">
        <f t="shared" si="42"/>
        <v>4512.8150000000005</v>
      </c>
      <c r="E147" s="64">
        <f t="shared" si="42"/>
        <v>7939</v>
      </c>
      <c r="F147" s="64">
        <f t="shared" si="42"/>
        <v>0</v>
      </c>
      <c r="G147" s="64">
        <f t="shared" si="42"/>
        <v>0</v>
      </c>
      <c r="H147" s="64">
        <f t="shared" si="42"/>
        <v>0</v>
      </c>
      <c r="I147" s="64">
        <f t="shared" si="42"/>
        <v>2750</v>
      </c>
      <c r="J147" s="213"/>
    </row>
    <row r="148" spans="1:16" s="209" customFormat="1">
      <c r="A148" s="81" t="s">
        <v>58</v>
      </c>
      <c r="B148" s="24" t="s">
        <v>29</v>
      </c>
      <c r="C148" s="64">
        <f t="shared" si="33"/>
        <v>15201.815000000001</v>
      </c>
      <c r="D148" s="64">
        <f>D150+D152+D154</f>
        <v>4512.8150000000005</v>
      </c>
      <c r="E148" s="64">
        <f t="shared" ref="E148:I149" si="43">E150+E152+E154</f>
        <v>7939</v>
      </c>
      <c r="F148" s="64">
        <f t="shared" si="43"/>
        <v>0</v>
      </c>
      <c r="G148" s="64">
        <f t="shared" si="43"/>
        <v>0</v>
      </c>
      <c r="H148" s="64">
        <f t="shared" si="43"/>
        <v>0</v>
      </c>
      <c r="I148" s="64">
        <f t="shared" si="43"/>
        <v>2750</v>
      </c>
      <c r="J148" s="212"/>
    </row>
    <row r="149" spans="1:16" s="20" customFormat="1">
      <c r="A149" s="10"/>
      <c r="B149" s="26" t="s">
        <v>30</v>
      </c>
      <c r="C149" s="64">
        <f t="shared" si="33"/>
        <v>15201.815000000001</v>
      </c>
      <c r="D149" s="64">
        <f>D151+D153+D155</f>
        <v>4512.8150000000005</v>
      </c>
      <c r="E149" s="64">
        <f t="shared" si="43"/>
        <v>7939</v>
      </c>
      <c r="F149" s="64">
        <f t="shared" si="43"/>
        <v>0</v>
      </c>
      <c r="G149" s="64">
        <f t="shared" si="43"/>
        <v>0</v>
      </c>
      <c r="H149" s="64">
        <f t="shared" si="43"/>
        <v>0</v>
      </c>
      <c r="I149" s="64">
        <f t="shared" si="43"/>
        <v>2750</v>
      </c>
      <c r="J149" s="213"/>
    </row>
    <row r="150" spans="1:16" s="253" customFormat="1" ht="66.75" customHeight="1">
      <c r="A150" s="349" t="s">
        <v>80</v>
      </c>
      <c r="B150" s="216" t="s">
        <v>29</v>
      </c>
      <c r="C150" s="203">
        <f>D150+E150+F150+G150+H150+I150</f>
        <v>4170.8149999999996</v>
      </c>
      <c r="D150" s="203">
        <f>97.122+0.563+1.701+159.429</f>
        <v>258.815</v>
      </c>
      <c r="E150" s="203">
        <f>3833+79</f>
        <v>3912</v>
      </c>
      <c r="F150" s="203">
        <v>0</v>
      </c>
      <c r="G150" s="203">
        <v>0</v>
      </c>
      <c r="H150" s="203">
        <v>0</v>
      </c>
      <c r="I150" s="203">
        <v>0</v>
      </c>
      <c r="J150" s="701" t="s">
        <v>81</v>
      </c>
      <c r="K150" s="711"/>
      <c r="L150" s="711"/>
      <c r="M150" s="711"/>
      <c r="N150" s="711"/>
      <c r="O150" s="711"/>
      <c r="P150" s="711"/>
    </row>
    <row r="151" spans="1:16" s="212" customFormat="1" ht="12.95">
      <c r="A151" s="354"/>
      <c r="B151" s="217" t="s">
        <v>30</v>
      </c>
      <c r="C151" s="203">
        <f>D151+E151+F151+G151+H151+I151</f>
        <v>4170.8149999999996</v>
      </c>
      <c r="D151" s="203">
        <f>97.122+0.563+1.701+159.429</f>
        <v>258.815</v>
      </c>
      <c r="E151" s="203">
        <f>3833+79</f>
        <v>3912</v>
      </c>
      <c r="F151" s="203">
        <v>0</v>
      </c>
      <c r="G151" s="203">
        <v>0</v>
      </c>
      <c r="H151" s="203">
        <v>0</v>
      </c>
      <c r="I151" s="203">
        <v>0</v>
      </c>
      <c r="J151" s="701"/>
      <c r="K151" s="711"/>
      <c r="L151" s="711"/>
      <c r="M151" s="711"/>
      <c r="N151" s="711"/>
      <c r="O151" s="711"/>
      <c r="P151" s="711"/>
    </row>
    <row r="152" spans="1:16" s="212" customFormat="1" ht="40.5" customHeight="1">
      <c r="A152" s="353" t="s">
        <v>82</v>
      </c>
      <c r="B152" s="216" t="s">
        <v>29</v>
      </c>
      <c r="C152" s="203">
        <f t="shared" ref="C152:C155" si="44">D152+E152+F152+G152+H152+I152</f>
        <v>1855</v>
      </c>
      <c r="D152" s="203">
        <f>212+383+983</f>
        <v>1578</v>
      </c>
      <c r="E152" s="203">
        <v>277</v>
      </c>
      <c r="F152" s="203">
        <v>0</v>
      </c>
      <c r="G152" s="203">
        <v>0</v>
      </c>
      <c r="H152" s="203">
        <v>0</v>
      </c>
      <c r="I152" s="203">
        <v>0</v>
      </c>
      <c r="J152" s="592" t="s">
        <v>83</v>
      </c>
      <c r="K152" s="551"/>
      <c r="L152" s="551"/>
      <c r="M152" s="551"/>
      <c r="N152" s="551"/>
      <c r="O152" s="551"/>
    </row>
    <row r="153" spans="1:16">
      <c r="A153" s="215"/>
      <c r="B153" s="226" t="s">
        <v>30</v>
      </c>
      <c r="C153" s="240">
        <f t="shared" si="44"/>
        <v>1855</v>
      </c>
      <c r="D153" s="240">
        <f>212+383+983</f>
        <v>1578</v>
      </c>
      <c r="E153" s="240">
        <v>277</v>
      </c>
      <c r="F153" s="240">
        <v>0</v>
      </c>
      <c r="G153" s="240">
        <v>0</v>
      </c>
      <c r="H153" s="240">
        <v>0</v>
      </c>
      <c r="I153" s="240">
        <v>0</v>
      </c>
      <c r="J153" s="552"/>
      <c r="K153" s="551"/>
      <c r="L153" s="551"/>
      <c r="M153" s="551"/>
      <c r="N153" s="551"/>
      <c r="O153" s="551"/>
    </row>
    <row r="154" spans="1:16" s="213" customFormat="1" ht="16.5" customHeight="1">
      <c r="A154" s="415" t="s">
        <v>84</v>
      </c>
      <c r="B154" s="237" t="s">
        <v>29</v>
      </c>
      <c r="C154" s="417">
        <f t="shared" si="44"/>
        <v>9176</v>
      </c>
      <c r="D154" s="417">
        <f>72+2604</f>
        <v>2676</v>
      </c>
      <c r="E154" s="417">
        <v>3750</v>
      </c>
      <c r="F154" s="417">
        <v>0</v>
      </c>
      <c r="G154" s="417">
        <v>0</v>
      </c>
      <c r="H154" s="417">
        <v>0</v>
      </c>
      <c r="I154" s="417">
        <v>2750</v>
      </c>
    </row>
    <row r="155" spans="1:16" s="212" customFormat="1" ht="12.95">
      <c r="A155" s="319"/>
      <c r="B155" s="226" t="s">
        <v>30</v>
      </c>
      <c r="C155" s="417">
        <f t="shared" si="44"/>
        <v>9176</v>
      </c>
      <c r="D155" s="417">
        <f>72+2604</f>
        <v>2676</v>
      </c>
      <c r="E155" s="417">
        <v>3750</v>
      </c>
      <c r="F155" s="417">
        <v>0</v>
      </c>
      <c r="G155" s="417">
        <v>0</v>
      </c>
      <c r="H155" s="417">
        <v>0</v>
      </c>
      <c r="I155" s="417">
        <v>2750</v>
      </c>
    </row>
    <row r="156" spans="1:16" s="248" customFormat="1">
      <c r="A156" s="275" t="s">
        <v>44</v>
      </c>
      <c r="B156" s="218" t="s">
        <v>29</v>
      </c>
      <c r="C156" s="246">
        <f>C158</f>
        <v>52489</v>
      </c>
      <c r="D156" s="203">
        <f>D158</f>
        <v>52435</v>
      </c>
      <c r="E156" s="203">
        <f t="shared" ref="E156:I157" si="45">E158</f>
        <v>0</v>
      </c>
      <c r="F156" s="203">
        <f t="shared" si="45"/>
        <v>0</v>
      </c>
      <c r="G156" s="203">
        <f t="shared" si="45"/>
        <v>0</v>
      </c>
      <c r="H156" s="203">
        <f t="shared" si="45"/>
        <v>0</v>
      </c>
      <c r="I156" s="203">
        <f t="shared" si="45"/>
        <v>54</v>
      </c>
    </row>
    <row r="157" spans="1:16" s="248" customFormat="1">
      <c r="A157" s="202" t="s">
        <v>45</v>
      </c>
      <c r="B157" s="218" t="s">
        <v>30</v>
      </c>
      <c r="C157" s="246">
        <f>C159</f>
        <v>52489</v>
      </c>
      <c r="D157" s="203">
        <f>D159</f>
        <v>52435</v>
      </c>
      <c r="E157" s="203">
        <f t="shared" si="45"/>
        <v>0</v>
      </c>
      <c r="F157" s="203">
        <f t="shared" si="45"/>
        <v>0</v>
      </c>
      <c r="G157" s="203">
        <f t="shared" si="45"/>
        <v>0</v>
      </c>
      <c r="H157" s="203">
        <f t="shared" si="45"/>
        <v>0</v>
      </c>
      <c r="I157" s="203">
        <f t="shared" si="45"/>
        <v>54</v>
      </c>
    </row>
    <row r="158" spans="1:16" s="46" customFormat="1" ht="25.5" customHeight="1">
      <c r="A158" s="214" t="s">
        <v>46</v>
      </c>
      <c r="B158" s="24" t="s">
        <v>29</v>
      </c>
      <c r="C158" s="52">
        <f t="shared" ref="C158:C175" si="46">D158+E158+F158+G158+H158+I158</f>
        <v>52489</v>
      </c>
      <c r="D158" s="72">
        <f>D160+D162+D164+D166+D168+D170+D172+D174</f>
        <v>52435</v>
      </c>
      <c r="E158" s="72">
        <f t="shared" ref="E158:I159" si="47">E160+E162+E164+E166+E168+E170+E172+E174</f>
        <v>0</v>
      </c>
      <c r="F158" s="72">
        <f t="shared" si="47"/>
        <v>0</v>
      </c>
      <c r="G158" s="72">
        <f t="shared" si="47"/>
        <v>0</v>
      </c>
      <c r="H158" s="72">
        <f t="shared" si="47"/>
        <v>0</v>
      </c>
      <c r="I158" s="72">
        <f t="shared" si="47"/>
        <v>54</v>
      </c>
      <c r="J158" s="248"/>
    </row>
    <row r="159" spans="1:16" s="46" customFormat="1" ht="12.95">
      <c r="A159" s="67"/>
      <c r="B159" s="26" t="s">
        <v>30</v>
      </c>
      <c r="C159" s="52">
        <f t="shared" si="46"/>
        <v>52489</v>
      </c>
      <c r="D159" s="72">
        <f>D161+D163+D165+D167+D169+D171+D173+D175</f>
        <v>52435</v>
      </c>
      <c r="E159" s="72">
        <f t="shared" si="47"/>
        <v>0</v>
      </c>
      <c r="F159" s="72">
        <f t="shared" si="47"/>
        <v>0</v>
      </c>
      <c r="G159" s="72">
        <f t="shared" si="47"/>
        <v>0</v>
      </c>
      <c r="H159" s="72">
        <f t="shared" si="47"/>
        <v>0</v>
      </c>
      <c r="I159" s="72">
        <f t="shared" si="47"/>
        <v>54</v>
      </c>
      <c r="J159" s="248"/>
    </row>
    <row r="160" spans="1:16" s="253" customFormat="1" ht="24.95">
      <c r="A160" s="210" t="s">
        <v>63</v>
      </c>
      <c r="B160" s="216" t="s">
        <v>29</v>
      </c>
      <c r="C160" s="203">
        <f t="shared" si="46"/>
        <v>3695</v>
      </c>
      <c r="D160" s="203">
        <f>42+267+3386</f>
        <v>3695</v>
      </c>
      <c r="E160" s="203">
        <v>0</v>
      </c>
      <c r="F160" s="203">
        <v>0</v>
      </c>
      <c r="G160" s="203">
        <v>0</v>
      </c>
      <c r="H160" s="203">
        <v>0</v>
      </c>
      <c r="I160" s="203">
        <v>0</v>
      </c>
    </row>
    <row r="161" spans="1:14" s="249" customFormat="1" ht="12.95">
      <c r="A161" s="269"/>
      <c r="B161" s="217" t="s">
        <v>30</v>
      </c>
      <c r="C161" s="203">
        <f t="shared" si="46"/>
        <v>3695</v>
      </c>
      <c r="D161" s="203">
        <f>42+267+3386</f>
        <v>3695</v>
      </c>
      <c r="E161" s="203">
        <v>0</v>
      </c>
      <c r="F161" s="203">
        <v>0</v>
      </c>
      <c r="G161" s="203">
        <v>0</v>
      </c>
      <c r="H161" s="203">
        <v>0</v>
      </c>
      <c r="I161" s="203">
        <v>0</v>
      </c>
    </row>
    <row r="162" spans="1:14" s="253" customFormat="1" ht="28.5" customHeight="1">
      <c r="A162" s="353" t="s">
        <v>65</v>
      </c>
      <c r="B162" s="216" t="s">
        <v>29</v>
      </c>
      <c r="C162" s="203">
        <f t="shared" si="46"/>
        <v>3841</v>
      </c>
      <c r="D162" s="203">
        <f>205+183+2957+496</f>
        <v>3841</v>
      </c>
      <c r="E162" s="203">
        <v>0</v>
      </c>
      <c r="F162" s="203">
        <v>0</v>
      </c>
      <c r="G162" s="203">
        <v>0</v>
      </c>
      <c r="H162" s="203">
        <v>0</v>
      </c>
      <c r="I162" s="203">
        <v>0</v>
      </c>
    </row>
    <row r="163" spans="1:14" s="249" customFormat="1" ht="12.95">
      <c r="A163" s="269"/>
      <c r="B163" s="217" t="s">
        <v>30</v>
      </c>
      <c r="C163" s="203">
        <f t="shared" si="46"/>
        <v>3841</v>
      </c>
      <c r="D163" s="203">
        <f>205+183+2957+496</f>
        <v>3841</v>
      </c>
      <c r="E163" s="203">
        <v>0</v>
      </c>
      <c r="F163" s="203">
        <v>0</v>
      </c>
      <c r="G163" s="203">
        <v>0</v>
      </c>
      <c r="H163" s="203">
        <v>0</v>
      </c>
      <c r="I163" s="203">
        <v>0</v>
      </c>
    </row>
    <row r="164" spans="1:14" s="253" customFormat="1">
      <c r="A164" s="210" t="s">
        <v>67</v>
      </c>
      <c r="B164" s="216" t="s">
        <v>29</v>
      </c>
      <c r="C164" s="203">
        <f t="shared" si="46"/>
        <v>11241</v>
      </c>
      <c r="D164" s="203">
        <f>525+4291+2726+3699</f>
        <v>11241</v>
      </c>
      <c r="E164" s="203">
        <v>0</v>
      </c>
      <c r="F164" s="203">
        <v>0</v>
      </c>
      <c r="G164" s="203">
        <v>0</v>
      </c>
      <c r="H164" s="203">
        <v>0</v>
      </c>
      <c r="I164" s="203">
        <v>0</v>
      </c>
    </row>
    <row r="165" spans="1:14" s="249" customFormat="1" ht="12.95">
      <c r="A165" s="269"/>
      <c r="B165" s="217" t="s">
        <v>30</v>
      </c>
      <c r="C165" s="203">
        <f t="shared" si="46"/>
        <v>11241</v>
      </c>
      <c r="D165" s="203">
        <f>525+4291+2726+3699</f>
        <v>11241</v>
      </c>
      <c r="E165" s="203">
        <v>0</v>
      </c>
      <c r="F165" s="203">
        <v>0</v>
      </c>
      <c r="G165" s="203">
        <v>0</v>
      </c>
      <c r="H165" s="203">
        <v>0</v>
      </c>
      <c r="I165" s="203">
        <v>0</v>
      </c>
    </row>
    <row r="166" spans="1:14" s="253" customFormat="1" ht="24.95">
      <c r="A166" s="210" t="s">
        <v>68</v>
      </c>
      <c r="B166" s="216" t="s">
        <v>29</v>
      </c>
      <c r="C166" s="203">
        <f t="shared" si="46"/>
        <v>14299</v>
      </c>
      <c r="D166" s="203">
        <f>4486+9813</f>
        <v>14299</v>
      </c>
      <c r="E166" s="203">
        <v>0</v>
      </c>
      <c r="F166" s="203">
        <v>0</v>
      </c>
      <c r="G166" s="203">
        <v>0</v>
      </c>
      <c r="H166" s="203">
        <v>0</v>
      </c>
      <c r="I166" s="203">
        <v>0</v>
      </c>
      <c r="J166" s="712" t="s">
        <v>85</v>
      </c>
      <c r="K166" s="648"/>
      <c r="L166" s="648"/>
      <c r="M166" s="648"/>
      <c r="N166" s="648"/>
    </row>
    <row r="167" spans="1:14" s="249" customFormat="1" ht="12.95">
      <c r="A167" s="269"/>
      <c r="B167" s="217" t="s">
        <v>30</v>
      </c>
      <c r="C167" s="203">
        <f t="shared" si="46"/>
        <v>14299</v>
      </c>
      <c r="D167" s="203">
        <f>4486+9813</f>
        <v>14299</v>
      </c>
      <c r="E167" s="203">
        <v>0</v>
      </c>
      <c r="F167" s="203">
        <v>0</v>
      </c>
      <c r="G167" s="203">
        <v>0</v>
      </c>
      <c r="H167" s="203">
        <v>0</v>
      </c>
      <c r="I167" s="203">
        <v>0</v>
      </c>
      <c r="J167" s="649"/>
      <c r="K167" s="648"/>
      <c r="L167" s="648"/>
      <c r="M167" s="648"/>
      <c r="N167" s="648"/>
    </row>
    <row r="168" spans="1:14" s="253" customFormat="1" ht="24.95">
      <c r="A168" s="210" t="s">
        <v>70</v>
      </c>
      <c r="B168" s="216" t="s">
        <v>29</v>
      </c>
      <c r="C168" s="203">
        <f t="shared" si="46"/>
        <v>209</v>
      </c>
      <c r="D168" s="203">
        <v>155</v>
      </c>
      <c r="E168" s="203">
        <v>0</v>
      </c>
      <c r="F168" s="203">
        <v>0</v>
      </c>
      <c r="G168" s="203">
        <v>0</v>
      </c>
      <c r="H168" s="203">
        <v>0</v>
      </c>
      <c r="I168" s="203">
        <f>209-155</f>
        <v>54</v>
      </c>
    </row>
    <row r="169" spans="1:14" s="249" customFormat="1">
      <c r="A169" s="202"/>
      <c r="B169" s="217" t="s">
        <v>30</v>
      </c>
      <c r="C169" s="203">
        <f t="shared" si="46"/>
        <v>209</v>
      </c>
      <c r="D169" s="203">
        <v>155</v>
      </c>
      <c r="E169" s="203">
        <v>0</v>
      </c>
      <c r="F169" s="203">
        <v>0</v>
      </c>
      <c r="G169" s="203">
        <v>0</v>
      </c>
      <c r="H169" s="203">
        <v>0</v>
      </c>
      <c r="I169" s="203">
        <f>209-155</f>
        <v>54</v>
      </c>
    </row>
    <row r="170" spans="1:14" s="212" customFormat="1" ht="24.95">
      <c r="A170" s="339" t="s">
        <v>71</v>
      </c>
      <c r="B170" s="237" t="s">
        <v>29</v>
      </c>
      <c r="C170" s="240">
        <f t="shared" si="46"/>
        <v>8394</v>
      </c>
      <c r="D170" s="240">
        <f>21+5803+2570</f>
        <v>8394</v>
      </c>
      <c r="E170" s="240">
        <v>0</v>
      </c>
      <c r="F170" s="240">
        <v>0</v>
      </c>
      <c r="G170" s="240">
        <v>0</v>
      </c>
      <c r="H170" s="240">
        <v>0</v>
      </c>
      <c r="I170" s="240">
        <v>0</v>
      </c>
      <c r="J170" s="647"/>
      <c r="K170" s="648"/>
      <c r="L170" s="648"/>
      <c r="M170" s="648"/>
      <c r="N170" s="648"/>
    </row>
    <row r="171" spans="1:14" s="213" customFormat="1">
      <c r="A171" s="215"/>
      <c r="B171" s="226" t="s">
        <v>30</v>
      </c>
      <c r="C171" s="240">
        <f t="shared" si="46"/>
        <v>8394</v>
      </c>
      <c r="D171" s="240">
        <f>21+5803+2570</f>
        <v>8394</v>
      </c>
      <c r="E171" s="240">
        <v>0</v>
      </c>
      <c r="F171" s="240">
        <v>0</v>
      </c>
      <c r="G171" s="240">
        <v>0</v>
      </c>
      <c r="H171" s="240">
        <v>0</v>
      </c>
      <c r="I171" s="240">
        <v>0</v>
      </c>
      <c r="J171" s="649"/>
      <c r="K171" s="648"/>
      <c r="L171" s="648"/>
      <c r="M171" s="648"/>
      <c r="N171" s="648"/>
    </row>
    <row r="172" spans="1:14" s="212" customFormat="1" ht="24.95">
      <c r="A172" s="339" t="s">
        <v>72</v>
      </c>
      <c r="B172" s="237" t="s">
        <v>29</v>
      </c>
      <c r="C172" s="240">
        <f t="shared" si="46"/>
        <v>5258</v>
      </c>
      <c r="D172" s="240">
        <f>6+4909+343</f>
        <v>5258</v>
      </c>
      <c r="E172" s="240">
        <v>0</v>
      </c>
      <c r="F172" s="240">
        <v>0</v>
      </c>
      <c r="G172" s="240">
        <v>0</v>
      </c>
      <c r="H172" s="240">
        <v>0</v>
      </c>
      <c r="I172" s="240">
        <v>0</v>
      </c>
      <c r="J172" s="647"/>
      <c r="K172" s="648"/>
      <c r="L172" s="648"/>
      <c r="M172" s="648"/>
      <c r="N172" s="648"/>
    </row>
    <row r="173" spans="1:14" s="213" customFormat="1" ht="12.95">
      <c r="A173" s="297"/>
      <c r="B173" s="226" t="s">
        <v>30</v>
      </c>
      <c r="C173" s="240">
        <f t="shared" si="46"/>
        <v>5258</v>
      </c>
      <c r="D173" s="240">
        <f>6+4909+343</f>
        <v>5258</v>
      </c>
      <c r="E173" s="240">
        <v>0</v>
      </c>
      <c r="F173" s="240">
        <v>0</v>
      </c>
      <c r="G173" s="240">
        <v>0</v>
      </c>
      <c r="H173" s="240">
        <v>0</v>
      </c>
      <c r="I173" s="240">
        <v>0</v>
      </c>
      <c r="J173" s="649"/>
      <c r="K173" s="648"/>
      <c r="L173" s="648"/>
      <c r="M173" s="648"/>
      <c r="N173" s="648"/>
    </row>
    <row r="174" spans="1:14" s="212" customFormat="1" ht="24.95">
      <c r="A174" s="339" t="s">
        <v>74</v>
      </c>
      <c r="B174" s="237" t="s">
        <v>29</v>
      </c>
      <c r="C174" s="240">
        <f t="shared" si="46"/>
        <v>5552</v>
      </c>
      <c r="D174" s="240">
        <f>16+3023+2513</f>
        <v>5552</v>
      </c>
      <c r="E174" s="240">
        <v>0</v>
      </c>
      <c r="F174" s="240">
        <v>0</v>
      </c>
      <c r="G174" s="240">
        <v>0</v>
      </c>
      <c r="H174" s="240">
        <v>0</v>
      </c>
      <c r="I174" s="240">
        <v>0</v>
      </c>
      <c r="J174" s="647"/>
      <c r="K174" s="648"/>
      <c r="L174" s="648"/>
      <c r="M174" s="648"/>
      <c r="N174" s="648"/>
    </row>
    <row r="175" spans="1:14" s="213" customFormat="1" ht="12.95">
      <c r="A175" s="297"/>
      <c r="B175" s="226" t="s">
        <v>30</v>
      </c>
      <c r="C175" s="240">
        <f t="shared" si="46"/>
        <v>5552</v>
      </c>
      <c r="D175" s="240">
        <f>16+3023+2513</f>
        <v>5552</v>
      </c>
      <c r="E175" s="240">
        <v>0</v>
      </c>
      <c r="F175" s="240">
        <v>0</v>
      </c>
      <c r="G175" s="240">
        <v>0</v>
      </c>
      <c r="H175" s="240">
        <v>0</v>
      </c>
      <c r="I175" s="240">
        <v>0</v>
      </c>
      <c r="J175" s="649"/>
      <c r="K175" s="648"/>
      <c r="L175" s="648"/>
      <c r="M175" s="648"/>
      <c r="N175" s="648"/>
    </row>
    <row r="176" spans="1:14" ht="12.75" customHeight="1">
      <c r="A176" s="662" t="s">
        <v>86</v>
      </c>
      <c r="B176" s="645"/>
      <c r="C176" s="645"/>
      <c r="D176" s="645"/>
      <c r="E176" s="645"/>
      <c r="F176" s="645"/>
      <c r="G176" s="645"/>
      <c r="H176" s="645"/>
      <c r="I176" s="646"/>
      <c r="J176" s="211"/>
    </row>
    <row r="177" spans="1:15" ht="12.75" customHeight="1">
      <c r="A177" s="79" t="s">
        <v>54</v>
      </c>
      <c r="B177" s="160" t="s">
        <v>29</v>
      </c>
      <c r="C177" s="125">
        <f t="shared" ref="C177:C198" si="48">D177+E177+F177+G177+H177+I177</f>
        <v>87384.72</v>
      </c>
      <c r="D177" s="52">
        <f t="shared" ref="D177:I184" si="49">D179</f>
        <v>68638.820000000007</v>
      </c>
      <c r="E177" s="52">
        <f t="shared" si="49"/>
        <v>1503</v>
      </c>
      <c r="F177" s="52">
        <f t="shared" si="49"/>
        <v>0</v>
      </c>
      <c r="G177" s="52">
        <f t="shared" si="49"/>
        <v>0</v>
      </c>
      <c r="H177" s="52">
        <f t="shared" si="49"/>
        <v>0</v>
      </c>
      <c r="I177" s="52">
        <f t="shared" si="49"/>
        <v>17242.899999999994</v>
      </c>
    </row>
    <row r="178" spans="1:15" ht="12.75" customHeight="1">
      <c r="A178" s="21" t="s">
        <v>87</v>
      </c>
      <c r="B178" s="4" t="s">
        <v>30</v>
      </c>
      <c r="C178" s="125">
        <f t="shared" si="48"/>
        <v>87384.72</v>
      </c>
      <c r="D178" s="52">
        <f t="shared" si="49"/>
        <v>68638.820000000007</v>
      </c>
      <c r="E178" s="52">
        <f t="shared" si="49"/>
        <v>1503</v>
      </c>
      <c r="F178" s="52">
        <f t="shared" si="49"/>
        <v>0</v>
      </c>
      <c r="G178" s="52">
        <f t="shared" si="49"/>
        <v>0</v>
      </c>
      <c r="H178" s="52">
        <f t="shared" si="49"/>
        <v>0</v>
      </c>
      <c r="I178" s="52">
        <f t="shared" si="49"/>
        <v>17242.899999999994</v>
      </c>
    </row>
    <row r="179" spans="1:15" s="95" customFormat="1" ht="12.75" customHeight="1">
      <c r="A179" s="47" t="s">
        <v>88</v>
      </c>
      <c r="B179" s="129" t="s">
        <v>29</v>
      </c>
      <c r="C179" s="125">
        <f t="shared" si="48"/>
        <v>87384.72</v>
      </c>
      <c r="D179" s="130">
        <f>D181</f>
        <v>68638.820000000007</v>
      </c>
      <c r="E179" s="130">
        <f t="shared" si="49"/>
        <v>1503</v>
      </c>
      <c r="F179" s="130">
        <f t="shared" si="49"/>
        <v>0</v>
      </c>
      <c r="G179" s="130">
        <f t="shared" si="49"/>
        <v>0</v>
      </c>
      <c r="H179" s="130">
        <f t="shared" si="49"/>
        <v>0</v>
      </c>
      <c r="I179" s="130">
        <f t="shared" si="49"/>
        <v>17242.899999999994</v>
      </c>
    </row>
    <row r="180" spans="1:15" s="95" customFormat="1" ht="12.75" customHeight="1">
      <c r="A180" s="131" t="s">
        <v>89</v>
      </c>
      <c r="B180" s="132" t="s">
        <v>30</v>
      </c>
      <c r="C180" s="125">
        <f t="shared" si="48"/>
        <v>87384.72</v>
      </c>
      <c r="D180" s="130">
        <f>D182</f>
        <v>68638.820000000007</v>
      </c>
      <c r="E180" s="130">
        <f t="shared" si="49"/>
        <v>1503</v>
      </c>
      <c r="F180" s="130">
        <f t="shared" si="49"/>
        <v>0</v>
      </c>
      <c r="G180" s="130">
        <f t="shared" si="49"/>
        <v>0</v>
      </c>
      <c r="H180" s="130">
        <f t="shared" si="49"/>
        <v>0</v>
      </c>
      <c r="I180" s="130">
        <f t="shared" si="49"/>
        <v>17242.899999999994</v>
      </c>
    </row>
    <row r="181" spans="1:15" ht="12.75" customHeight="1">
      <c r="A181" s="19" t="s">
        <v>37</v>
      </c>
      <c r="B181" s="3" t="s">
        <v>29</v>
      </c>
      <c r="C181" s="125">
        <f t="shared" si="48"/>
        <v>87384.72</v>
      </c>
      <c r="D181" s="52">
        <f t="shared" si="49"/>
        <v>68638.820000000007</v>
      </c>
      <c r="E181" s="52">
        <f t="shared" si="49"/>
        <v>1503</v>
      </c>
      <c r="F181" s="52">
        <f t="shared" si="49"/>
        <v>0</v>
      </c>
      <c r="G181" s="52">
        <f t="shared" si="49"/>
        <v>0</v>
      </c>
      <c r="H181" s="52">
        <f t="shared" si="49"/>
        <v>0</v>
      </c>
      <c r="I181" s="52">
        <f t="shared" si="49"/>
        <v>17242.899999999994</v>
      </c>
    </row>
    <row r="182" spans="1:15" ht="12.75" customHeight="1">
      <c r="A182" s="16"/>
      <c r="B182" s="4" t="s">
        <v>30</v>
      </c>
      <c r="C182" s="125">
        <f t="shared" si="48"/>
        <v>87384.72</v>
      </c>
      <c r="D182" s="52">
        <f t="shared" si="49"/>
        <v>68638.820000000007</v>
      </c>
      <c r="E182" s="52">
        <f t="shared" si="49"/>
        <v>1503</v>
      </c>
      <c r="F182" s="52">
        <f t="shared" si="49"/>
        <v>0</v>
      </c>
      <c r="G182" s="52">
        <f t="shared" si="49"/>
        <v>0</v>
      </c>
      <c r="H182" s="52">
        <f t="shared" si="49"/>
        <v>0</v>
      </c>
      <c r="I182" s="52">
        <f t="shared" si="49"/>
        <v>17242.899999999994</v>
      </c>
    </row>
    <row r="183" spans="1:15" ht="12.75" customHeight="1">
      <c r="A183" s="31" t="s">
        <v>50</v>
      </c>
      <c r="B183" s="160" t="s">
        <v>29</v>
      </c>
      <c r="C183" s="125">
        <f t="shared" si="48"/>
        <v>87384.72</v>
      </c>
      <c r="D183" s="52">
        <f t="shared" si="49"/>
        <v>68638.820000000007</v>
      </c>
      <c r="E183" s="52">
        <f t="shared" si="49"/>
        <v>1503</v>
      </c>
      <c r="F183" s="52">
        <f t="shared" si="49"/>
        <v>0</v>
      </c>
      <c r="G183" s="52">
        <f t="shared" si="49"/>
        <v>0</v>
      </c>
      <c r="H183" s="52">
        <f t="shared" si="49"/>
        <v>0</v>
      </c>
      <c r="I183" s="52">
        <f t="shared" si="49"/>
        <v>17242.899999999994</v>
      </c>
    </row>
    <row r="184" spans="1:15" ht="12.75" customHeight="1">
      <c r="A184" s="12"/>
      <c r="B184" s="4" t="s">
        <v>30</v>
      </c>
      <c r="C184" s="125">
        <f t="shared" si="48"/>
        <v>87384.72</v>
      </c>
      <c r="D184" s="52">
        <f t="shared" si="49"/>
        <v>68638.820000000007</v>
      </c>
      <c r="E184" s="52">
        <f t="shared" si="49"/>
        <v>1503</v>
      </c>
      <c r="F184" s="52">
        <f t="shared" si="49"/>
        <v>0</v>
      </c>
      <c r="G184" s="52">
        <f t="shared" si="49"/>
        <v>0</v>
      </c>
      <c r="H184" s="52">
        <f t="shared" si="49"/>
        <v>0</v>
      </c>
      <c r="I184" s="52">
        <f t="shared" si="49"/>
        <v>17242.899999999994</v>
      </c>
    </row>
    <row r="185" spans="1:15" s="95" customFormat="1">
      <c r="A185" s="128" t="s">
        <v>58</v>
      </c>
      <c r="B185" s="129" t="s">
        <v>29</v>
      </c>
      <c r="C185" s="125">
        <f t="shared" si="48"/>
        <v>87384.72</v>
      </c>
      <c r="D185" s="130">
        <f>D187+D193</f>
        <v>68638.820000000007</v>
      </c>
      <c r="E185" s="130">
        <f t="shared" ref="E185:I186" si="50">E187+E193</f>
        <v>1503</v>
      </c>
      <c r="F185" s="130">
        <f t="shared" si="50"/>
        <v>0</v>
      </c>
      <c r="G185" s="130">
        <f t="shared" si="50"/>
        <v>0</v>
      </c>
      <c r="H185" s="130">
        <f t="shared" si="50"/>
        <v>0</v>
      </c>
      <c r="I185" s="130">
        <f t="shared" si="50"/>
        <v>17242.899999999994</v>
      </c>
    </row>
    <row r="186" spans="1:15" s="95" customFormat="1">
      <c r="A186" s="131"/>
      <c r="B186" s="132" t="s">
        <v>30</v>
      </c>
      <c r="C186" s="125">
        <f t="shared" si="48"/>
        <v>87384.72</v>
      </c>
      <c r="D186" s="130">
        <f>D188+D194</f>
        <v>68638.820000000007</v>
      </c>
      <c r="E186" s="130">
        <f t="shared" si="50"/>
        <v>1503</v>
      </c>
      <c r="F186" s="130">
        <f t="shared" si="50"/>
        <v>0</v>
      </c>
      <c r="G186" s="130">
        <f t="shared" si="50"/>
        <v>0</v>
      </c>
      <c r="H186" s="130">
        <f t="shared" si="50"/>
        <v>0</v>
      </c>
      <c r="I186" s="130">
        <f t="shared" si="50"/>
        <v>17242.899999999994</v>
      </c>
    </row>
    <row r="187" spans="1:15" s="126" customFormat="1">
      <c r="A187" s="147" t="s">
        <v>90</v>
      </c>
      <c r="B187" s="124" t="s">
        <v>29</v>
      </c>
      <c r="C187" s="125">
        <f t="shared" si="48"/>
        <v>85535.640000000014</v>
      </c>
      <c r="D187" s="125">
        <f>D189+D191</f>
        <v>68260.310000000012</v>
      </c>
      <c r="E187" s="125">
        <f t="shared" ref="E187:I188" si="51">E189+E191</f>
        <v>103</v>
      </c>
      <c r="F187" s="125">
        <f t="shared" si="51"/>
        <v>0</v>
      </c>
      <c r="G187" s="125">
        <f t="shared" si="51"/>
        <v>0</v>
      </c>
      <c r="H187" s="125">
        <f t="shared" si="51"/>
        <v>0</v>
      </c>
      <c r="I187" s="125">
        <f t="shared" si="51"/>
        <v>17172.329999999994</v>
      </c>
    </row>
    <row r="188" spans="1:15" s="126" customFormat="1">
      <c r="A188" s="146"/>
      <c r="B188" s="127" t="s">
        <v>30</v>
      </c>
      <c r="C188" s="125">
        <f t="shared" si="48"/>
        <v>85535.640000000014</v>
      </c>
      <c r="D188" s="125">
        <f>D190+D192</f>
        <v>68260.310000000012</v>
      </c>
      <c r="E188" s="125">
        <f t="shared" si="51"/>
        <v>103</v>
      </c>
      <c r="F188" s="125">
        <f t="shared" si="51"/>
        <v>0</v>
      </c>
      <c r="G188" s="125">
        <f t="shared" si="51"/>
        <v>0</v>
      </c>
      <c r="H188" s="125">
        <f t="shared" si="51"/>
        <v>0</v>
      </c>
      <c r="I188" s="125">
        <f t="shared" si="51"/>
        <v>17172.329999999994</v>
      </c>
    </row>
    <row r="189" spans="1:15" s="212" customFormat="1" ht="24.95">
      <c r="A189" s="339" t="s">
        <v>91</v>
      </c>
      <c r="B189" s="237" t="s">
        <v>29</v>
      </c>
      <c r="C189" s="240">
        <f t="shared" si="48"/>
        <v>85213</v>
      </c>
      <c r="D189" s="240">
        <f>377+10410+9225.21+24635.76+11945.29+11234.59+109.82</f>
        <v>67937.670000000013</v>
      </c>
      <c r="E189" s="264">
        <v>103</v>
      </c>
      <c r="F189" s="240">
        <v>0</v>
      </c>
      <c r="G189" s="240">
        <v>0</v>
      </c>
      <c r="H189" s="240">
        <v>0</v>
      </c>
      <c r="I189" s="240">
        <f>85213-67827.85-7029+6894+25-4026+3923.18</f>
        <v>17172.329999999994</v>
      </c>
      <c r="J189" s="585" t="s">
        <v>92</v>
      </c>
      <c r="K189" s="627"/>
      <c r="L189" s="627"/>
      <c r="M189" s="627"/>
      <c r="N189" s="627"/>
      <c r="O189" s="627"/>
    </row>
    <row r="190" spans="1:15" s="213" customFormat="1">
      <c r="A190" s="340"/>
      <c r="B190" s="226" t="s">
        <v>30</v>
      </c>
      <c r="C190" s="240">
        <f t="shared" si="48"/>
        <v>85213</v>
      </c>
      <c r="D190" s="240">
        <f>377+10410+9225.21+24635.76+11945.29+11234.59+109.82</f>
        <v>67937.670000000013</v>
      </c>
      <c r="E190" s="264">
        <v>103</v>
      </c>
      <c r="F190" s="240">
        <v>0</v>
      </c>
      <c r="G190" s="240">
        <v>0</v>
      </c>
      <c r="H190" s="240">
        <v>0</v>
      </c>
      <c r="I190" s="240">
        <f>85213-67827.85-7029+6894+25-4026+3923.18</f>
        <v>17172.329999999994</v>
      </c>
      <c r="J190" s="669"/>
      <c r="K190" s="627"/>
      <c r="L190" s="627"/>
      <c r="M190" s="627"/>
      <c r="N190" s="627"/>
      <c r="O190" s="627"/>
    </row>
    <row r="191" spans="1:15" s="206" customFormat="1" ht="15.75" customHeight="1">
      <c r="A191" s="332" t="s">
        <v>77</v>
      </c>
      <c r="B191" s="122" t="s">
        <v>29</v>
      </c>
      <c r="C191" s="78">
        <f t="shared" si="48"/>
        <v>322.64</v>
      </c>
      <c r="D191" s="78">
        <f>118+39.4+165.24</f>
        <v>322.64</v>
      </c>
      <c r="E191" s="260">
        <v>0</v>
      </c>
      <c r="F191" s="78">
        <v>0</v>
      </c>
      <c r="G191" s="78">
        <v>0</v>
      </c>
      <c r="H191" s="78">
        <v>0</v>
      </c>
      <c r="I191" s="78">
        <v>0</v>
      </c>
      <c r="J191" s="212"/>
    </row>
    <row r="192" spans="1:15" s="206" customFormat="1">
      <c r="A192" s="116"/>
      <c r="B192" s="123" t="s">
        <v>30</v>
      </c>
      <c r="C192" s="78">
        <f t="shared" si="48"/>
        <v>322.64</v>
      </c>
      <c r="D192" s="78">
        <f>118+39.4+165.24</f>
        <v>322.64</v>
      </c>
      <c r="E192" s="260">
        <v>0</v>
      </c>
      <c r="F192" s="78">
        <v>0</v>
      </c>
      <c r="G192" s="78">
        <v>0</v>
      </c>
      <c r="H192" s="78">
        <v>0</v>
      </c>
      <c r="I192" s="78">
        <v>0</v>
      </c>
      <c r="J192" s="212"/>
    </row>
    <row r="193" spans="1:16" s="126" customFormat="1">
      <c r="A193" s="147" t="s">
        <v>93</v>
      </c>
      <c r="B193" s="124" t="s">
        <v>29</v>
      </c>
      <c r="C193" s="125">
        <f t="shared" si="48"/>
        <v>1849.08</v>
      </c>
      <c r="D193" s="125">
        <f>D195+D197</f>
        <v>378.51</v>
      </c>
      <c r="E193" s="125">
        <f t="shared" ref="E193:I194" si="52">E195+E197</f>
        <v>1400</v>
      </c>
      <c r="F193" s="125">
        <f t="shared" si="52"/>
        <v>0</v>
      </c>
      <c r="G193" s="125">
        <f t="shared" si="52"/>
        <v>0</v>
      </c>
      <c r="H193" s="125">
        <f t="shared" si="52"/>
        <v>0</v>
      </c>
      <c r="I193" s="125">
        <f t="shared" si="52"/>
        <v>70.569999999999936</v>
      </c>
      <c r="J193" s="247"/>
    </row>
    <row r="194" spans="1:16" s="126" customFormat="1">
      <c r="A194" s="134"/>
      <c r="B194" s="127" t="s">
        <v>30</v>
      </c>
      <c r="C194" s="125">
        <f t="shared" si="48"/>
        <v>1849.08</v>
      </c>
      <c r="D194" s="125">
        <f>D196+D198</f>
        <v>378.51</v>
      </c>
      <c r="E194" s="125">
        <f t="shared" si="52"/>
        <v>1400</v>
      </c>
      <c r="F194" s="125">
        <f t="shared" si="52"/>
        <v>0</v>
      </c>
      <c r="G194" s="125">
        <f t="shared" si="52"/>
        <v>0</v>
      </c>
      <c r="H194" s="125">
        <f t="shared" si="52"/>
        <v>0</v>
      </c>
      <c r="I194" s="125">
        <f t="shared" si="52"/>
        <v>70.569999999999936</v>
      </c>
      <c r="J194" s="247"/>
    </row>
    <row r="195" spans="1:16" s="405" customFormat="1" ht="14.25" customHeight="1">
      <c r="A195" s="418" t="s">
        <v>94</v>
      </c>
      <c r="B195" s="237" t="s">
        <v>29</v>
      </c>
      <c r="C195" s="240">
        <f t="shared" si="48"/>
        <v>1471.08</v>
      </c>
      <c r="D195" s="240">
        <v>0.51</v>
      </c>
      <c r="E195" s="240">
        <f>1496-96</f>
        <v>1400</v>
      </c>
      <c r="F195" s="240">
        <v>0</v>
      </c>
      <c r="G195" s="240">
        <v>0</v>
      </c>
      <c r="H195" s="240">
        <v>0</v>
      </c>
      <c r="I195" s="240">
        <f>1471.08-0.51-1400</f>
        <v>70.569999999999936</v>
      </c>
      <c r="J195" s="618" t="s">
        <v>95</v>
      </c>
      <c r="K195" s="551"/>
      <c r="L195" s="551"/>
      <c r="M195" s="551"/>
      <c r="N195" s="551"/>
      <c r="O195" s="551"/>
      <c r="P195" s="551"/>
    </row>
    <row r="196" spans="1:16" s="207" customFormat="1">
      <c r="A196" s="215"/>
      <c r="B196" s="226" t="s">
        <v>30</v>
      </c>
      <c r="C196" s="240">
        <f t="shared" si="48"/>
        <v>1471.08</v>
      </c>
      <c r="D196" s="240">
        <v>0.51</v>
      </c>
      <c r="E196" s="240">
        <f>1496-96</f>
        <v>1400</v>
      </c>
      <c r="F196" s="240">
        <v>0</v>
      </c>
      <c r="G196" s="240">
        <v>0</v>
      </c>
      <c r="H196" s="240">
        <v>0</v>
      </c>
      <c r="I196" s="240">
        <f>1471.08-0.51-1400</f>
        <v>70.569999999999936</v>
      </c>
      <c r="J196" s="552"/>
      <c r="K196" s="551"/>
      <c r="L196" s="551"/>
      <c r="M196" s="551"/>
      <c r="N196" s="551"/>
      <c r="O196" s="551"/>
      <c r="P196" s="551"/>
    </row>
    <row r="197" spans="1:16" s="212" customFormat="1" ht="25.5" customHeight="1">
      <c r="A197" s="339" t="s">
        <v>96</v>
      </c>
      <c r="B197" s="237" t="s">
        <v>29</v>
      </c>
      <c r="C197" s="240">
        <f t="shared" si="48"/>
        <v>378</v>
      </c>
      <c r="D197" s="240">
        <v>378</v>
      </c>
      <c r="E197" s="240">
        <v>0</v>
      </c>
      <c r="F197" s="240">
        <v>0</v>
      </c>
      <c r="G197" s="240">
        <v>0</v>
      </c>
      <c r="H197" s="240">
        <v>0</v>
      </c>
      <c r="I197" s="285">
        <v>0</v>
      </c>
      <c r="J197" s="594" t="s">
        <v>97</v>
      </c>
      <c r="K197" s="738"/>
      <c r="L197" s="738"/>
      <c r="M197" s="738"/>
      <c r="N197" s="738"/>
      <c r="O197" s="738"/>
      <c r="P197" s="738"/>
    </row>
    <row r="198" spans="1:16" s="207" customFormat="1">
      <c r="A198" s="108"/>
      <c r="B198" s="86" t="s">
        <v>30</v>
      </c>
      <c r="C198" s="84">
        <f t="shared" si="48"/>
        <v>378</v>
      </c>
      <c r="D198" s="84">
        <v>378</v>
      </c>
      <c r="E198" s="240">
        <v>0</v>
      </c>
      <c r="F198" s="240">
        <v>0</v>
      </c>
      <c r="G198" s="84">
        <v>0</v>
      </c>
      <c r="H198" s="84">
        <v>0</v>
      </c>
      <c r="I198" s="84">
        <v>0</v>
      </c>
      <c r="J198" s="739"/>
      <c r="K198" s="738"/>
      <c r="L198" s="738"/>
      <c r="M198" s="738"/>
      <c r="N198" s="738"/>
      <c r="O198" s="738"/>
      <c r="P198" s="738"/>
    </row>
    <row r="199" spans="1:16" ht="12.75" customHeight="1">
      <c r="A199" s="634" t="s">
        <v>98</v>
      </c>
      <c r="B199" s="689"/>
      <c r="C199" s="689"/>
      <c r="D199" s="697"/>
      <c r="E199" s="697"/>
      <c r="F199" s="697"/>
      <c r="G199" s="697"/>
      <c r="H199" s="697"/>
      <c r="I199" s="698"/>
      <c r="J199" s="211"/>
    </row>
    <row r="200" spans="1:16" ht="12.75" customHeight="1">
      <c r="A200" s="79" t="s">
        <v>54</v>
      </c>
      <c r="B200" s="160" t="s">
        <v>29</v>
      </c>
      <c r="C200" s="78">
        <f t="shared" ref="C200:C213" si="53">D200+E200+F200+G200+H200+I200</f>
        <v>19267.5</v>
      </c>
      <c r="D200" s="52">
        <f t="shared" ref="D200:I211" si="54">D202</f>
        <v>4426.6500000000005</v>
      </c>
      <c r="E200" s="52">
        <f t="shared" si="54"/>
        <v>12679</v>
      </c>
      <c r="F200" s="52">
        <f t="shared" si="54"/>
        <v>2161.85</v>
      </c>
      <c r="G200" s="52">
        <f t="shared" si="54"/>
        <v>0</v>
      </c>
      <c r="H200" s="52">
        <f t="shared" si="54"/>
        <v>0</v>
      </c>
      <c r="I200" s="52">
        <f t="shared" si="54"/>
        <v>0</v>
      </c>
    </row>
    <row r="201" spans="1:16" ht="12.75" customHeight="1">
      <c r="A201" s="21" t="s">
        <v>87</v>
      </c>
      <c r="B201" s="4" t="s">
        <v>30</v>
      </c>
      <c r="C201" s="78">
        <f t="shared" si="53"/>
        <v>19267.5</v>
      </c>
      <c r="D201" s="52">
        <f t="shared" si="54"/>
        <v>4426.6500000000005</v>
      </c>
      <c r="E201" s="52">
        <f t="shared" si="54"/>
        <v>12679</v>
      </c>
      <c r="F201" s="52">
        <f t="shared" si="54"/>
        <v>2161.85</v>
      </c>
      <c r="G201" s="52">
        <f t="shared" si="54"/>
        <v>0</v>
      </c>
      <c r="H201" s="52">
        <f t="shared" si="54"/>
        <v>0</v>
      </c>
      <c r="I201" s="52">
        <f t="shared" si="54"/>
        <v>0</v>
      </c>
    </row>
    <row r="202" spans="1:16" s="95" customFormat="1" ht="12.75" customHeight="1">
      <c r="A202" s="47" t="s">
        <v>88</v>
      </c>
      <c r="B202" s="129" t="s">
        <v>29</v>
      </c>
      <c r="C202" s="78">
        <f t="shared" si="53"/>
        <v>19267.5</v>
      </c>
      <c r="D202" s="130">
        <f t="shared" si="54"/>
        <v>4426.6500000000005</v>
      </c>
      <c r="E202" s="130">
        <f t="shared" si="54"/>
        <v>12679</v>
      </c>
      <c r="F202" s="130">
        <f t="shared" si="54"/>
        <v>2161.85</v>
      </c>
      <c r="G202" s="130">
        <f t="shared" si="54"/>
        <v>0</v>
      </c>
      <c r="H202" s="130">
        <f t="shared" si="54"/>
        <v>0</v>
      </c>
      <c r="I202" s="130">
        <f t="shared" si="54"/>
        <v>0</v>
      </c>
    </row>
    <row r="203" spans="1:16" s="95" customFormat="1" ht="12.75" customHeight="1">
      <c r="A203" s="131" t="s">
        <v>89</v>
      </c>
      <c r="B203" s="132" t="s">
        <v>30</v>
      </c>
      <c r="C203" s="78">
        <f t="shared" si="53"/>
        <v>19267.5</v>
      </c>
      <c r="D203" s="130">
        <f t="shared" si="54"/>
        <v>4426.6500000000005</v>
      </c>
      <c r="E203" s="130">
        <f t="shared" si="54"/>
        <v>12679</v>
      </c>
      <c r="F203" s="130">
        <f t="shared" si="54"/>
        <v>2161.85</v>
      </c>
      <c r="G203" s="130">
        <f t="shared" si="54"/>
        <v>0</v>
      </c>
      <c r="H203" s="130">
        <f t="shared" si="54"/>
        <v>0</v>
      </c>
      <c r="I203" s="130">
        <f t="shared" si="54"/>
        <v>0</v>
      </c>
    </row>
    <row r="204" spans="1:16" ht="12.75" customHeight="1">
      <c r="A204" s="19" t="s">
        <v>37</v>
      </c>
      <c r="B204" s="3" t="s">
        <v>29</v>
      </c>
      <c r="C204" s="78">
        <f t="shared" si="53"/>
        <v>19267.5</v>
      </c>
      <c r="D204" s="52">
        <f t="shared" si="54"/>
        <v>4426.6500000000005</v>
      </c>
      <c r="E204" s="52">
        <f t="shared" si="54"/>
        <v>12679</v>
      </c>
      <c r="F204" s="52">
        <f t="shared" si="54"/>
        <v>2161.85</v>
      </c>
      <c r="G204" s="52">
        <f t="shared" si="54"/>
        <v>0</v>
      </c>
      <c r="H204" s="52">
        <f t="shared" si="54"/>
        <v>0</v>
      </c>
      <c r="I204" s="52">
        <f t="shared" si="54"/>
        <v>0</v>
      </c>
    </row>
    <row r="205" spans="1:16" ht="12.75" customHeight="1">
      <c r="A205" s="16"/>
      <c r="B205" s="4" t="s">
        <v>30</v>
      </c>
      <c r="C205" s="78">
        <f t="shared" si="53"/>
        <v>19267.5</v>
      </c>
      <c r="D205" s="52">
        <f t="shared" si="54"/>
        <v>4426.6500000000005</v>
      </c>
      <c r="E205" s="52">
        <f t="shared" si="54"/>
        <v>12679</v>
      </c>
      <c r="F205" s="52">
        <f t="shared" si="54"/>
        <v>2161.85</v>
      </c>
      <c r="G205" s="52">
        <f t="shared" si="54"/>
        <v>0</v>
      </c>
      <c r="H205" s="52">
        <f t="shared" si="54"/>
        <v>0</v>
      </c>
      <c r="I205" s="52">
        <f t="shared" si="54"/>
        <v>0</v>
      </c>
    </row>
    <row r="206" spans="1:16" ht="12.75" customHeight="1">
      <c r="A206" s="31" t="s">
        <v>50</v>
      </c>
      <c r="B206" s="160" t="s">
        <v>29</v>
      </c>
      <c r="C206" s="78">
        <f t="shared" si="53"/>
        <v>19267.5</v>
      </c>
      <c r="D206" s="52">
        <f t="shared" si="54"/>
        <v>4426.6500000000005</v>
      </c>
      <c r="E206" s="52">
        <f t="shared" si="54"/>
        <v>12679</v>
      </c>
      <c r="F206" s="52">
        <f t="shared" si="54"/>
        <v>2161.85</v>
      </c>
      <c r="G206" s="52">
        <f t="shared" si="54"/>
        <v>0</v>
      </c>
      <c r="H206" s="52">
        <f t="shared" si="54"/>
        <v>0</v>
      </c>
      <c r="I206" s="52">
        <f t="shared" si="54"/>
        <v>0</v>
      </c>
    </row>
    <row r="207" spans="1:16" ht="12.75" customHeight="1">
      <c r="A207" s="12"/>
      <c r="B207" s="4" t="s">
        <v>30</v>
      </c>
      <c r="C207" s="78">
        <f t="shared" si="53"/>
        <v>19267.5</v>
      </c>
      <c r="D207" s="52">
        <f t="shared" si="54"/>
        <v>4426.6500000000005</v>
      </c>
      <c r="E207" s="52">
        <f t="shared" si="54"/>
        <v>12679</v>
      </c>
      <c r="F207" s="52">
        <f t="shared" si="54"/>
        <v>2161.85</v>
      </c>
      <c r="G207" s="52">
        <f t="shared" si="54"/>
        <v>0</v>
      </c>
      <c r="H207" s="52">
        <f t="shared" si="54"/>
        <v>0</v>
      </c>
      <c r="I207" s="52">
        <f t="shared" si="54"/>
        <v>0</v>
      </c>
    </row>
    <row r="208" spans="1:16" s="95" customFormat="1">
      <c r="A208" s="128" t="s">
        <v>58</v>
      </c>
      <c r="B208" s="129" t="s">
        <v>29</v>
      </c>
      <c r="C208" s="125">
        <f t="shared" si="53"/>
        <v>19267.5</v>
      </c>
      <c r="D208" s="130">
        <f t="shared" si="54"/>
        <v>4426.6500000000005</v>
      </c>
      <c r="E208" s="130">
        <f t="shared" si="54"/>
        <v>12679</v>
      </c>
      <c r="F208" s="130">
        <f t="shared" si="54"/>
        <v>2161.85</v>
      </c>
      <c r="G208" s="130">
        <f t="shared" si="54"/>
        <v>0</v>
      </c>
      <c r="H208" s="130">
        <f t="shared" si="54"/>
        <v>0</v>
      </c>
      <c r="I208" s="130">
        <f t="shared" si="54"/>
        <v>0</v>
      </c>
    </row>
    <row r="209" spans="1:17" s="95" customFormat="1">
      <c r="A209" s="131"/>
      <c r="B209" s="132" t="s">
        <v>30</v>
      </c>
      <c r="C209" s="125">
        <f t="shared" si="53"/>
        <v>19267.5</v>
      </c>
      <c r="D209" s="130">
        <f t="shared" si="54"/>
        <v>4426.6500000000005</v>
      </c>
      <c r="E209" s="130">
        <f t="shared" si="54"/>
        <v>12679</v>
      </c>
      <c r="F209" s="130">
        <f t="shared" si="54"/>
        <v>2161.85</v>
      </c>
      <c r="G209" s="130">
        <f t="shared" si="54"/>
        <v>0</v>
      </c>
      <c r="H209" s="130">
        <f t="shared" si="54"/>
        <v>0</v>
      </c>
      <c r="I209" s="130">
        <f t="shared" si="54"/>
        <v>0</v>
      </c>
    </row>
    <row r="210" spans="1:17" s="126" customFormat="1">
      <c r="A210" s="278" t="s">
        <v>99</v>
      </c>
      <c r="B210" s="124" t="s">
        <v>29</v>
      </c>
      <c r="C210" s="125">
        <f t="shared" si="53"/>
        <v>19267.5</v>
      </c>
      <c r="D210" s="125">
        <f>D212</f>
        <v>4426.6500000000005</v>
      </c>
      <c r="E210" s="125">
        <f t="shared" si="54"/>
        <v>12679</v>
      </c>
      <c r="F210" s="125">
        <f t="shared" si="54"/>
        <v>2161.85</v>
      </c>
      <c r="G210" s="125">
        <f t="shared" si="54"/>
        <v>0</v>
      </c>
      <c r="H210" s="125">
        <f t="shared" si="54"/>
        <v>0</v>
      </c>
      <c r="I210" s="125">
        <f t="shared" si="54"/>
        <v>0</v>
      </c>
      <c r="J210" s="247"/>
    </row>
    <row r="211" spans="1:17" s="126" customFormat="1">
      <c r="A211" s="134"/>
      <c r="B211" s="127" t="s">
        <v>30</v>
      </c>
      <c r="C211" s="125">
        <f t="shared" si="53"/>
        <v>19267.5</v>
      </c>
      <c r="D211" s="125">
        <f>D213</f>
        <v>4426.6500000000005</v>
      </c>
      <c r="E211" s="125">
        <f t="shared" si="54"/>
        <v>12679</v>
      </c>
      <c r="F211" s="125">
        <f t="shared" si="54"/>
        <v>2161.85</v>
      </c>
      <c r="G211" s="125">
        <f t="shared" si="54"/>
        <v>0</v>
      </c>
      <c r="H211" s="125">
        <f t="shared" si="54"/>
        <v>0</v>
      </c>
      <c r="I211" s="125">
        <f t="shared" si="54"/>
        <v>0</v>
      </c>
      <c r="J211" s="247"/>
    </row>
    <row r="212" spans="1:17" s="212" customFormat="1" ht="40.5" customHeight="1">
      <c r="A212" s="349" t="s">
        <v>100</v>
      </c>
      <c r="B212" s="216" t="s">
        <v>29</v>
      </c>
      <c r="C212" s="203">
        <f t="shared" si="53"/>
        <v>19267.5</v>
      </c>
      <c r="D212" s="203">
        <f>151+1548.39+2727.26</f>
        <v>4426.6500000000005</v>
      </c>
      <c r="E212" s="203">
        <v>12679</v>
      </c>
      <c r="F212" s="203">
        <f>2162.11-0.26</f>
        <v>2161.85</v>
      </c>
      <c r="G212" s="203">
        <v>0</v>
      </c>
      <c r="H212" s="203">
        <v>0</v>
      </c>
      <c r="I212" s="203">
        <v>0</v>
      </c>
      <c r="J212" s="618" t="s">
        <v>101</v>
      </c>
      <c r="K212" s="627"/>
      <c r="L212" s="627"/>
      <c r="M212" s="627"/>
      <c r="N212" s="627"/>
      <c r="O212" s="627"/>
      <c r="P212" s="627"/>
    </row>
    <row r="213" spans="1:17" s="207" customFormat="1">
      <c r="A213" s="202"/>
      <c r="B213" s="217" t="s">
        <v>30</v>
      </c>
      <c r="C213" s="203">
        <f t="shared" si="53"/>
        <v>19267.5</v>
      </c>
      <c r="D213" s="203">
        <f>151+1548.39+2727.26</f>
        <v>4426.6500000000005</v>
      </c>
      <c r="E213" s="203">
        <v>12679</v>
      </c>
      <c r="F213" s="203">
        <f>2162.11-0.26</f>
        <v>2161.85</v>
      </c>
      <c r="G213" s="203">
        <v>0</v>
      </c>
      <c r="H213" s="203">
        <v>0</v>
      </c>
      <c r="I213" s="203">
        <v>0</v>
      </c>
      <c r="J213" s="669"/>
      <c r="K213" s="627"/>
      <c r="L213" s="627"/>
      <c r="M213" s="627"/>
      <c r="N213" s="627"/>
      <c r="O213" s="627"/>
      <c r="P213" s="627"/>
    </row>
    <row r="214" spans="1:17">
      <c r="A214" s="733" t="s">
        <v>102</v>
      </c>
      <c r="B214" s="633"/>
      <c r="C214" s="633"/>
      <c r="D214" s="633"/>
      <c r="E214" s="633"/>
      <c r="F214" s="633"/>
      <c r="G214" s="633"/>
      <c r="H214" s="633"/>
      <c r="I214" s="670"/>
    </row>
    <row r="215" spans="1:17">
      <c r="A215" s="96" t="s">
        <v>54</v>
      </c>
      <c r="B215" s="24" t="s">
        <v>29</v>
      </c>
      <c r="C215" s="52">
        <f t="shared" ref="C215:C254" si="55">D215+E215+F215+G215+H215+I215</f>
        <v>28349.309999999998</v>
      </c>
      <c r="D215" s="72">
        <f t="shared" ref="D215:I216" si="56">D217+D247</f>
        <v>20991.949999999997</v>
      </c>
      <c r="E215" s="72">
        <f t="shared" si="56"/>
        <v>1872</v>
      </c>
      <c r="F215" s="72">
        <f t="shared" si="56"/>
        <v>0</v>
      </c>
      <c r="G215" s="72">
        <f t="shared" si="56"/>
        <v>0</v>
      </c>
      <c r="H215" s="72">
        <f t="shared" si="56"/>
        <v>0</v>
      </c>
      <c r="I215" s="72">
        <f t="shared" si="56"/>
        <v>5485.3600000000006</v>
      </c>
    </row>
    <row r="216" spans="1:17">
      <c r="A216" s="21" t="s">
        <v>87</v>
      </c>
      <c r="B216" s="26" t="s">
        <v>30</v>
      </c>
      <c r="C216" s="52">
        <f t="shared" si="55"/>
        <v>28349.309999999998</v>
      </c>
      <c r="D216" s="72">
        <f t="shared" si="56"/>
        <v>20991.949999999997</v>
      </c>
      <c r="E216" s="72">
        <f t="shared" si="56"/>
        <v>1872</v>
      </c>
      <c r="F216" s="72">
        <f t="shared" si="56"/>
        <v>0</v>
      </c>
      <c r="G216" s="72">
        <f t="shared" si="56"/>
        <v>0</v>
      </c>
      <c r="H216" s="72">
        <f t="shared" si="56"/>
        <v>0</v>
      </c>
      <c r="I216" s="72">
        <f t="shared" si="56"/>
        <v>5485.3600000000006</v>
      </c>
    </row>
    <row r="217" spans="1:17">
      <c r="A217" s="47" t="s">
        <v>60</v>
      </c>
      <c r="B217" s="160" t="s">
        <v>29</v>
      </c>
      <c r="C217" s="52">
        <f t="shared" si="55"/>
        <v>22036.04</v>
      </c>
      <c r="D217" s="72">
        <f t="shared" ref="D217:I218" si="57">D219+D229+D237</f>
        <v>15174.509999999998</v>
      </c>
      <c r="E217" s="72">
        <f t="shared" si="57"/>
        <v>1522</v>
      </c>
      <c r="F217" s="72">
        <f t="shared" si="57"/>
        <v>0</v>
      </c>
      <c r="G217" s="72">
        <f t="shared" si="57"/>
        <v>0</v>
      </c>
      <c r="H217" s="72">
        <f t="shared" si="57"/>
        <v>0</v>
      </c>
      <c r="I217" s="72">
        <f t="shared" si="57"/>
        <v>5339.5300000000007</v>
      </c>
    </row>
    <row r="218" spans="1:17">
      <c r="A218" s="12" t="s">
        <v>48</v>
      </c>
      <c r="B218" s="4" t="s">
        <v>30</v>
      </c>
      <c r="C218" s="52">
        <f t="shared" si="55"/>
        <v>22036.04</v>
      </c>
      <c r="D218" s="72">
        <f t="shared" si="57"/>
        <v>15174.509999999998</v>
      </c>
      <c r="E218" s="72">
        <f t="shared" si="57"/>
        <v>1522</v>
      </c>
      <c r="F218" s="72">
        <f t="shared" si="57"/>
        <v>0</v>
      </c>
      <c r="G218" s="72">
        <f t="shared" si="57"/>
        <v>0</v>
      </c>
      <c r="H218" s="72">
        <f t="shared" si="57"/>
        <v>0</v>
      </c>
      <c r="I218" s="72">
        <f t="shared" si="57"/>
        <v>5339.5300000000007</v>
      </c>
    </row>
    <row r="219" spans="1:17" s="145" customFormat="1" ht="27" customHeight="1">
      <c r="A219" s="534" t="s">
        <v>103</v>
      </c>
      <c r="B219" s="82" t="s">
        <v>29</v>
      </c>
      <c r="C219" s="78">
        <f t="shared" si="55"/>
        <v>18383.349999999999</v>
      </c>
      <c r="D219" s="84">
        <f t="shared" ref="D219:I220" si="58">D221</f>
        <v>13131.669999999998</v>
      </c>
      <c r="E219" s="84">
        <f t="shared" si="58"/>
        <v>0</v>
      </c>
      <c r="F219" s="84">
        <f t="shared" si="58"/>
        <v>0</v>
      </c>
      <c r="G219" s="84">
        <f t="shared" si="58"/>
        <v>0</v>
      </c>
      <c r="H219" s="84">
        <f t="shared" si="58"/>
        <v>0</v>
      </c>
      <c r="I219" s="84">
        <f t="shared" si="58"/>
        <v>5251.68</v>
      </c>
    </row>
    <row r="220" spans="1:17" s="145" customFormat="1">
      <c r="A220" s="108"/>
      <c r="B220" s="86" t="s">
        <v>30</v>
      </c>
      <c r="C220" s="78">
        <f t="shared" si="55"/>
        <v>18383.349999999999</v>
      </c>
      <c r="D220" s="84">
        <f t="shared" si="58"/>
        <v>13131.669999999998</v>
      </c>
      <c r="E220" s="84">
        <f t="shared" si="58"/>
        <v>0</v>
      </c>
      <c r="F220" s="84">
        <f t="shared" si="58"/>
        <v>0</v>
      </c>
      <c r="G220" s="84">
        <f t="shared" si="58"/>
        <v>0</v>
      </c>
      <c r="H220" s="84">
        <f t="shared" si="58"/>
        <v>0</v>
      </c>
      <c r="I220" s="84">
        <f t="shared" si="58"/>
        <v>5251.68</v>
      </c>
    </row>
    <row r="221" spans="1:17" s="126" customFormat="1" ht="24.95">
      <c r="A221" s="147" t="s">
        <v>104</v>
      </c>
      <c r="B221" s="124" t="s">
        <v>29</v>
      </c>
      <c r="C221" s="125">
        <f t="shared" si="55"/>
        <v>18383.349999999999</v>
      </c>
      <c r="D221" s="125">
        <f>D223+D225+D227</f>
        <v>13131.669999999998</v>
      </c>
      <c r="E221" s="125">
        <f t="shared" ref="E221:I222" si="59">E223+E225+E227</f>
        <v>0</v>
      </c>
      <c r="F221" s="125">
        <f t="shared" si="59"/>
        <v>0</v>
      </c>
      <c r="G221" s="125">
        <f t="shared" si="59"/>
        <v>0</v>
      </c>
      <c r="H221" s="125">
        <f t="shared" si="59"/>
        <v>0</v>
      </c>
      <c r="I221" s="125">
        <f t="shared" si="59"/>
        <v>5251.68</v>
      </c>
      <c r="J221" s="247"/>
    </row>
    <row r="222" spans="1:17" s="126" customFormat="1">
      <c r="A222" s="134"/>
      <c r="B222" s="127" t="s">
        <v>30</v>
      </c>
      <c r="C222" s="125">
        <f t="shared" si="55"/>
        <v>18383.349999999999</v>
      </c>
      <c r="D222" s="125">
        <f>D224+D226+D228</f>
        <v>13131.669999999998</v>
      </c>
      <c r="E222" s="125">
        <f t="shared" si="59"/>
        <v>0</v>
      </c>
      <c r="F222" s="125">
        <f t="shared" si="59"/>
        <v>0</v>
      </c>
      <c r="G222" s="125">
        <f t="shared" si="59"/>
        <v>0</v>
      </c>
      <c r="H222" s="125">
        <f t="shared" si="59"/>
        <v>0</v>
      </c>
      <c r="I222" s="125">
        <f t="shared" si="59"/>
        <v>5251.68</v>
      </c>
      <c r="J222" s="247"/>
    </row>
    <row r="223" spans="1:17" s="212" customFormat="1" ht="25.5" customHeight="1">
      <c r="A223" s="339" t="s">
        <v>105</v>
      </c>
      <c r="B223" s="281" t="s">
        <v>29</v>
      </c>
      <c r="C223" s="240">
        <f t="shared" si="55"/>
        <v>5678.15</v>
      </c>
      <c r="D223" s="240">
        <f>948.08+716.82+900.35+2110.15+890.24+112.51</f>
        <v>5678.15</v>
      </c>
      <c r="E223" s="240">
        <v>0</v>
      </c>
      <c r="F223" s="240">
        <v>0</v>
      </c>
      <c r="G223" s="240">
        <v>0</v>
      </c>
      <c r="H223" s="240">
        <v>0</v>
      </c>
      <c r="I223" s="240">
        <v>0</v>
      </c>
      <c r="J223" s="592" t="s">
        <v>106</v>
      </c>
      <c r="K223" s="616"/>
      <c r="L223" s="616"/>
      <c r="M223" s="616"/>
      <c r="N223" s="616"/>
      <c r="O223" s="616"/>
      <c r="P223" s="616"/>
      <c r="Q223" s="616"/>
    </row>
    <row r="224" spans="1:17" s="20" customFormat="1">
      <c r="A224" s="215"/>
      <c r="B224" s="226" t="s">
        <v>30</v>
      </c>
      <c r="C224" s="240">
        <f t="shared" si="55"/>
        <v>5678.15</v>
      </c>
      <c r="D224" s="240">
        <f>948.08+716.82+900.35+2110.15+890.24+112.51</f>
        <v>5678.15</v>
      </c>
      <c r="E224" s="240">
        <v>0</v>
      </c>
      <c r="F224" s="240">
        <v>0</v>
      </c>
      <c r="G224" s="240">
        <v>0</v>
      </c>
      <c r="H224" s="240">
        <v>0</v>
      </c>
      <c r="I224" s="240">
        <v>0</v>
      </c>
      <c r="J224" s="617"/>
      <c r="K224" s="616"/>
      <c r="L224" s="616"/>
      <c r="M224" s="616"/>
      <c r="N224" s="616"/>
      <c r="O224" s="616"/>
      <c r="P224" s="616"/>
      <c r="Q224" s="616"/>
    </row>
    <row r="225" spans="1:18" s="209" customFormat="1" ht="24.95">
      <c r="A225" s="263" t="s">
        <v>107</v>
      </c>
      <c r="B225" s="281" t="s">
        <v>29</v>
      </c>
      <c r="C225" s="240">
        <f t="shared" si="55"/>
        <v>5306.18</v>
      </c>
      <c r="D225" s="240">
        <f>14.46+33.22+6.82</f>
        <v>54.5</v>
      </c>
      <c r="E225" s="240">
        <v>0</v>
      </c>
      <c r="F225" s="240">
        <v>0</v>
      </c>
      <c r="G225" s="240">
        <v>0</v>
      </c>
      <c r="H225" s="240">
        <v>0</v>
      </c>
      <c r="I225" s="240">
        <f>5306.18-54.5</f>
        <v>5251.68</v>
      </c>
      <c r="J225" s="734" t="s">
        <v>108</v>
      </c>
      <c r="K225" s="562"/>
      <c r="L225" s="562"/>
      <c r="M225" s="562"/>
    </row>
    <row r="226" spans="1:18" s="20" customFormat="1">
      <c r="A226" s="12"/>
      <c r="B226" s="62" t="s">
        <v>30</v>
      </c>
      <c r="C226" s="64">
        <f t="shared" si="55"/>
        <v>5306.18</v>
      </c>
      <c r="D226" s="64">
        <f>14.46+33.22+6.82</f>
        <v>54.5</v>
      </c>
      <c r="E226" s="64">
        <v>0</v>
      </c>
      <c r="F226" s="64">
        <v>0</v>
      </c>
      <c r="G226" s="64">
        <v>0</v>
      </c>
      <c r="H226" s="64">
        <v>0</v>
      </c>
      <c r="I226" s="64">
        <f>5306.18-54.5</f>
        <v>5251.68</v>
      </c>
      <c r="J226" s="758" t="s">
        <v>109</v>
      </c>
      <c r="K226" s="759"/>
      <c r="L226" s="759"/>
      <c r="M226" s="759"/>
    </row>
    <row r="227" spans="1:18" s="212" customFormat="1" ht="24.95">
      <c r="A227" s="263" t="s">
        <v>110</v>
      </c>
      <c r="B227" s="281" t="s">
        <v>29</v>
      </c>
      <c r="C227" s="240">
        <f t="shared" si="55"/>
        <v>7399.0199999999995</v>
      </c>
      <c r="D227" s="240">
        <f>14.05+39.3+160.09+5494.21+1611.4+79.97</f>
        <v>7399.0199999999995</v>
      </c>
      <c r="E227" s="240">
        <v>0</v>
      </c>
      <c r="F227" s="240">
        <v>0</v>
      </c>
      <c r="G227" s="240">
        <v>0</v>
      </c>
      <c r="H227" s="240">
        <v>0</v>
      </c>
      <c r="I227" s="240">
        <v>0</v>
      </c>
      <c r="J227" s="735" t="s">
        <v>111</v>
      </c>
      <c r="K227" s="736"/>
      <c r="L227" s="736"/>
      <c r="M227" s="736"/>
      <c r="N227" s="736"/>
      <c r="O227" s="736"/>
      <c r="P227" s="736"/>
      <c r="Q227" s="736"/>
      <c r="R227" s="736"/>
    </row>
    <row r="228" spans="1:18" s="213" customFormat="1">
      <c r="A228" s="215"/>
      <c r="B228" s="226" t="s">
        <v>30</v>
      </c>
      <c r="C228" s="240">
        <f t="shared" si="55"/>
        <v>7399.0199999999995</v>
      </c>
      <c r="D228" s="240">
        <f>14.05+39.3+160.09+5494.21+1611.4+79.97</f>
        <v>7399.0199999999995</v>
      </c>
      <c r="E228" s="240">
        <v>0</v>
      </c>
      <c r="F228" s="240">
        <v>0</v>
      </c>
      <c r="G228" s="240">
        <v>0</v>
      </c>
      <c r="H228" s="240">
        <v>0</v>
      </c>
      <c r="I228" s="240">
        <v>0</v>
      </c>
      <c r="J228" s="737"/>
      <c r="K228" s="736"/>
      <c r="L228" s="736"/>
      <c r="M228" s="736"/>
      <c r="N228" s="736"/>
      <c r="O228" s="736"/>
      <c r="P228" s="736"/>
      <c r="Q228" s="736"/>
      <c r="R228" s="736"/>
    </row>
    <row r="229" spans="1:18" s="46" customFormat="1" ht="25.5" customHeight="1">
      <c r="A229" s="533" t="s">
        <v>36</v>
      </c>
      <c r="B229" s="24" t="s">
        <v>29</v>
      </c>
      <c r="C229" s="52">
        <f t="shared" si="55"/>
        <v>2040.69</v>
      </c>
      <c r="D229" s="72">
        <f>D231</f>
        <v>2040.69</v>
      </c>
      <c r="E229" s="72">
        <f t="shared" ref="E229:I230" si="60">E231</f>
        <v>0</v>
      </c>
      <c r="F229" s="72">
        <f t="shared" si="60"/>
        <v>0</v>
      </c>
      <c r="G229" s="72">
        <f t="shared" si="60"/>
        <v>0</v>
      </c>
      <c r="H229" s="72">
        <f t="shared" si="60"/>
        <v>0</v>
      </c>
      <c r="I229" s="72">
        <f t="shared" si="60"/>
        <v>0</v>
      </c>
      <c r="J229" s="248"/>
    </row>
    <row r="230" spans="1:18" s="46" customFormat="1" ht="12.95">
      <c r="A230" s="67"/>
      <c r="B230" s="26" t="s">
        <v>30</v>
      </c>
      <c r="C230" s="52">
        <f t="shared" si="55"/>
        <v>2040.69</v>
      </c>
      <c r="D230" s="72">
        <f>D232</f>
        <v>2040.69</v>
      </c>
      <c r="E230" s="72">
        <f t="shared" si="60"/>
        <v>0</v>
      </c>
      <c r="F230" s="72">
        <f t="shared" si="60"/>
        <v>0</v>
      </c>
      <c r="G230" s="72">
        <f t="shared" si="60"/>
        <v>0</v>
      </c>
      <c r="H230" s="72">
        <f t="shared" si="60"/>
        <v>0</v>
      </c>
      <c r="I230" s="72">
        <f t="shared" si="60"/>
        <v>0</v>
      </c>
      <c r="J230" s="248"/>
    </row>
    <row r="231" spans="1:18" s="126" customFormat="1" ht="28.35">
      <c r="A231" s="496" t="s">
        <v>112</v>
      </c>
      <c r="B231" s="124" t="s">
        <v>29</v>
      </c>
      <c r="C231" s="78">
        <f t="shared" si="55"/>
        <v>2040.69</v>
      </c>
      <c r="D231" s="125">
        <f>D233+D235</f>
        <v>2040.69</v>
      </c>
      <c r="E231" s="125">
        <f t="shared" ref="E231:I232" si="61">E233+E235</f>
        <v>0</v>
      </c>
      <c r="F231" s="125">
        <f t="shared" si="61"/>
        <v>0</v>
      </c>
      <c r="G231" s="125">
        <f t="shared" si="61"/>
        <v>0</v>
      </c>
      <c r="H231" s="125">
        <f t="shared" si="61"/>
        <v>0</v>
      </c>
      <c r="I231" s="125">
        <f t="shared" si="61"/>
        <v>0</v>
      </c>
    </row>
    <row r="232" spans="1:18" s="126" customFormat="1">
      <c r="A232" s="134"/>
      <c r="B232" s="127" t="s">
        <v>30</v>
      </c>
      <c r="C232" s="78">
        <f t="shared" si="55"/>
        <v>2040.69</v>
      </c>
      <c r="D232" s="125">
        <f>D234+D236</f>
        <v>2040.69</v>
      </c>
      <c r="E232" s="125">
        <f t="shared" si="61"/>
        <v>0</v>
      </c>
      <c r="F232" s="125">
        <f>F234+F236</f>
        <v>0</v>
      </c>
      <c r="G232" s="125">
        <f t="shared" si="61"/>
        <v>0</v>
      </c>
      <c r="H232" s="125">
        <f t="shared" si="61"/>
        <v>0</v>
      </c>
      <c r="I232" s="125">
        <f t="shared" si="61"/>
        <v>0</v>
      </c>
    </row>
    <row r="233" spans="1:18" s="212" customFormat="1" ht="27.75" customHeight="1">
      <c r="A233" s="418" t="s">
        <v>113</v>
      </c>
      <c r="B233" s="216" t="s">
        <v>29</v>
      </c>
      <c r="C233" s="240">
        <f t="shared" si="55"/>
        <v>788.15</v>
      </c>
      <c r="D233" s="203">
        <v>788.15</v>
      </c>
      <c r="E233" s="203">
        <v>0</v>
      </c>
      <c r="F233" s="203">
        <v>0</v>
      </c>
      <c r="G233" s="203">
        <v>0</v>
      </c>
      <c r="H233" s="203">
        <v>0</v>
      </c>
      <c r="I233" s="203">
        <v>0</v>
      </c>
      <c r="J233" s="594" t="s">
        <v>114</v>
      </c>
      <c r="K233" s="728"/>
      <c r="L233" s="728"/>
      <c r="M233" s="728"/>
      <c r="N233" s="728"/>
    </row>
    <row r="234" spans="1:18" s="211" customFormat="1" ht="12" customHeight="1">
      <c r="A234" s="215"/>
      <c r="B234" s="217" t="s">
        <v>30</v>
      </c>
      <c r="C234" s="240">
        <f t="shared" si="55"/>
        <v>788.15</v>
      </c>
      <c r="D234" s="203">
        <v>788.15</v>
      </c>
      <c r="E234" s="203">
        <v>0</v>
      </c>
      <c r="F234" s="203">
        <v>0</v>
      </c>
      <c r="G234" s="203">
        <v>0</v>
      </c>
      <c r="H234" s="203">
        <v>0</v>
      </c>
      <c r="I234" s="203">
        <v>0</v>
      </c>
      <c r="J234" s="729"/>
      <c r="K234" s="728"/>
      <c r="L234" s="728"/>
      <c r="M234" s="728"/>
      <c r="N234" s="728"/>
    </row>
    <row r="235" spans="1:18" s="212" customFormat="1" ht="28.5" customHeight="1">
      <c r="A235" s="418" t="s">
        <v>115</v>
      </c>
      <c r="B235" s="237" t="s">
        <v>29</v>
      </c>
      <c r="C235" s="240">
        <f t="shared" si="55"/>
        <v>1252.54</v>
      </c>
      <c r="D235" s="240">
        <f>390.79+861.75</f>
        <v>1252.54</v>
      </c>
      <c r="E235" s="240">
        <v>0</v>
      </c>
      <c r="F235" s="240">
        <v>0</v>
      </c>
      <c r="G235" s="240">
        <v>0</v>
      </c>
      <c r="H235" s="240">
        <v>0</v>
      </c>
      <c r="I235" s="240">
        <v>0</v>
      </c>
      <c r="J235" s="647" t="s">
        <v>116</v>
      </c>
      <c r="K235" s="730"/>
      <c r="L235" s="730"/>
      <c r="M235" s="730"/>
      <c r="N235" s="730"/>
    </row>
    <row r="236" spans="1:18" s="211" customFormat="1" ht="12" customHeight="1">
      <c r="A236" s="215"/>
      <c r="B236" s="226" t="s">
        <v>30</v>
      </c>
      <c r="C236" s="240">
        <f t="shared" si="55"/>
        <v>1252.54</v>
      </c>
      <c r="D236" s="240">
        <f>390.79+861.75</f>
        <v>1252.54</v>
      </c>
      <c r="E236" s="240">
        <v>0</v>
      </c>
      <c r="F236" s="240">
        <v>0</v>
      </c>
      <c r="G236" s="240">
        <v>0</v>
      </c>
      <c r="H236" s="240">
        <v>0</v>
      </c>
      <c r="I236" s="240">
        <v>0</v>
      </c>
      <c r="J236" s="731"/>
      <c r="K236" s="730"/>
      <c r="L236" s="730"/>
      <c r="M236" s="730"/>
      <c r="N236" s="730"/>
    </row>
    <row r="237" spans="1:18" ht="12.95">
      <c r="A237" s="19" t="s">
        <v>37</v>
      </c>
      <c r="B237" s="59" t="s">
        <v>29</v>
      </c>
      <c r="C237" s="64">
        <f t="shared" si="55"/>
        <v>1612</v>
      </c>
      <c r="D237" s="64">
        <f t="shared" ref="D237:I244" si="62">D239</f>
        <v>2.15</v>
      </c>
      <c r="E237" s="64">
        <f t="shared" si="62"/>
        <v>1522</v>
      </c>
      <c r="F237" s="64">
        <f t="shared" si="62"/>
        <v>0</v>
      </c>
      <c r="G237" s="64">
        <f t="shared" si="62"/>
        <v>0</v>
      </c>
      <c r="H237" s="64">
        <f t="shared" si="62"/>
        <v>0</v>
      </c>
      <c r="I237" s="64">
        <f t="shared" si="62"/>
        <v>87.849999999999909</v>
      </c>
    </row>
    <row r="238" spans="1:18" ht="12.95">
      <c r="A238" s="16"/>
      <c r="B238" s="4" t="s">
        <v>30</v>
      </c>
      <c r="C238" s="52">
        <f t="shared" si="55"/>
        <v>1612</v>
      </c>
      <c r="D238" s="72">
        <f t="shared" si="62"/>
        <v>2.15</v>
      </c>
      <c r="E238" s="72">
        <f t="shared" si="62"/>
        <v>1522</v>
      </c>
      <c r="F238" s="72">
        <f t="shared" si="62"/>
        <v>0</v>
      </c>
      <c r="G238" s="72">
        <f t="shared" si="62"/>
        <v>0</v>
      </c>
      <c r="H238" s="72">
        <f t="shared" si="62"/>
        <v>0</v>
      </c>
      <c r="I238" s="72">
        <f t="shared" si="62"/>
        <v>87.849999999999909</v>
      </c>
    </row>
    <row r="239" spans="1:18" ht="12.95">
      <c r="A239" s="19" t="s">
        <v>50</v>
      </c>
      <c r="B239" s="160" t="s">
        <v>29</v>
      </c>
      <c r="C239" s="52">
        <f t="shared" si="55"/>
        <v>1612</v>
      </c>
      <c r="D239" s="72">
        <f t="shared" si="62"/>
        <v>2.15</v>
      </c>
      <c r="E239" s="72">
        <f t="shared" si="62"/>
        <v>1522</v>
      </c>
      <c r="F239" s="72">
        <f t="shared" si="62"/>
        <v>0</v>
      </c>
      <c r="G239" s="72">
        <f t="shared" si="62"/>
        <v>0</v>
      </c>
      <c r="H239" s="72">
        <f t="shared" si="62"/>
        <v>0</v>
      </c>
      <c r="I239" s="72">
        <f t="shared" si="62"/>
        <v>87.849999999999909</v>
      </c>
    </row>
    <row r="240" spans="1:18">
      <c r="A240" s="10"/>
      <c r="B240" s="4" t="s">
        <v>30</v>
      </c>
      <c r="C240" s="52">
        <f t="shared" si="55"/>
        <v>1612</v>
      </c>
      <c r="D240" s="72">
        <f t="shared" si="62"/>
        <v>2.15</v>
      </c>
      <c r="E240" s="72">
        <f t="shared" si="62"/>
        <v>1522</v>
      </c>
      <c r="F240" s="72">
        <f t="shared" si="62"/>
        <v>0</v>
      </c>
      <c r="G240" s="72">
        <f t="shared" si="62"/>
        <v>0</v>
      </c>
      <c r="H240" s="72">
        <f t="shared" si="62"/>
        <v>0</v>
      </c>
      <c r="I240" s="72">
        <f t="shared" si="62"/>
        <v>87.849999999999909</v>
      </c>
    </row>
    <row r="241" spans="1:16" s="95" customFormat="1">
      <c r="A241" s="128" t="s">
        <v>58</v>
      </c>
      <c r="B241" s="129" t="s">
        <v>29</v>
      </c>
      <c r="C241" s="130">
        <f t="shared" si="55"/>
        <v>1612</v>
      </c>
      <c r="D241" s="130">
        <f>D243</f>
        <v>2.15</v>
      </c>
      <c r="E241" s="130">
        <f t="shared" si="62"/>
        <v>1522</v>
      </c>
      <c r="F241" s="130">
        <f t="shared" si="62"/>
        <v>0</v>
      </c>
      <c r="G241" s="130">
        <f t="shared" si="62"/>
        <v>0</v>
      </c>
      <c r="H241" s="130">
        <f t="shared" si="62"/>
        <v>0</v>
      </c>
      <c r="I241" s="130">
        <f t="shared" si="62"/>
        <v>87.849999999999909</v>
      </c>
    </row>
    <row r="242" spans="1:16" s="95" customFormat="1">
      <c r="A242" s="131"/>
      <c r="B242" s="132" t="s">
        <v>30</v>
      </c>
      <c r="C242" s="130">
        <f t="shared" si="55"/>
        <v>1612</v>
      </c>
      <c r="D242" s="130">
        <f>D244</f>
        <v>2.15</v>
      </c>
      <c r="E242" s="130">
        <f t="shared" si="62"/>
        <v>1522</v>
      </c>
      <c r="F242" s="130">
        <f t="shared" si="62"/>
        <v>0</v>
      </c>
      <c r="G242" s="130">
        <f t="shared" si="62"/>
        <v>0</v>
      </c>
      <c r="H242" s="130">
        <f t="shared" si="62"/>
        <v>0</v>
      </c>
      <c r="I242" s="130">
        <f t="shared" si="62"/>
        <v>87.849999999999909</v>
      </c>
    </row>
    <row r="243" spans="1:16" s="126" customFormat="1" ht="24.95">
      <c r="A243" s="147" t="s">
        <v>104</v>
      </c>
      <c r="B243" s="124" t="s">
        <v>29</v>
      </c>
      <c r="C243" s="125">
        <f t="shared" si="55"/>
        <v>1612</v>
      </c>
      <c r="D243" s="125">
        <f>D245</f>
        <v>2.15</v>
      </c>
      <c r="E243" s="125">
        <f t="shared" si="62"/>
        <v>1522</v>
      </c>
      <c r="F243" s="125">
        <f t="shared" si="62"/>
        <v>0</v>
      </c>
      <c r="G243" s="125">
        <f t="shared" si="62"/>
        <v>0</v>
      </c>
      <c r="H243" s="125">
        <f t="shared" si="62"/>
        <v>0</v>
      </c>
      <c r="I243" s="125">
        <f t="shared" si="62"/>
        <v>87.849999999999909</v>
      </c>
      <c r="J243" s="247"/>
    </row>
    <row r="244" spans="1:16" s="126" customFormat="1">
      <c r="A244" s="134"/>
      <c r="B244" s="127" t="s">
        <v>30</v>
      </c>
      <c r="C244" s="125">
        <f t="shared" si="55"/>
        <v>1612</v>
      </c>
      <c r="D244" s="125">
        <f>D246</f>
        <v>2.15</v>
      </c>
      <c r="E244" s="125">
        <f t="shared" si="62"/>
        <v>1522</v>
      </c>
      <c r="F244" s="125">
        <f t="shared" si="62"/>
        <v>0</v>
      </c>
      <c r="G244" s="125">
        <f t="shared" si="62"/>
        <v>0</v>
      </c>
      <c r="H244" s="125">
        <f t="shared" si="62"/>
        <v>0</v>
      </c>
      <c r="I244" s="125">
        <f t="shared" si="62"/>
        <v>87.849999999999909</v>
      </c>
      <c r="J244" s="247"/>
    </row>
    <row r="245" spans="1:16" s="209" customFormat="1" ht="27.75" customHeight="1">
      <c r="A245" s="333" t="s">
        <v>117</v>
      </c>
      <c r="B245" s="63" t="s">
        <v>29</v>
      </c>
      <c r="C245" s="64">
        <f t="shared" si="55"/>
        <v>1612</v>
      </c>
      <c r="D245" s="240">
        <v>2.15</v>
      </c>
      <c r="E245" s="240">
        <f>235+1287</f>
        <v>1522</v>
      </c>
      <c r="F245" s="64">
        <v>0</v>
      </c>
      <c r="G245" s="64">
        <v>0</v>
      </c>
      <c r="H245" s="64">
        <v>0</v>
      </c>
      <c r="I245" s="240">
        <f>1374.85-1287</f>
        <v>87.849999999999909</v>
      </c>
      <c r="J245" s="647" t="s">
        <v>118</v>
      </c>
      <c r="K245" s="730"/>
      <c r="L245" s="730"/>
      <c r="M245" s="730"/>
      <c r="N245" s="730"/>
      <c r="O245" s="732"/>
      <c r="P245" s="732"/>
    </row>
    <row r="246" spans="1:16" s="211" customFormat="1" ht="12" customHeight="1">
      <c r="A246" s="215"/>
      <c r="B246" s="226" t="s">
        <v>30</v>
      </c>
      <c r="C246" s="240">
        <f t="shared" si="55"/>
        <v>1612</v>
      </c>
      <c r="D246" s="240">
        <v>2.15</v>
      </c>
      <c r="E246" s="240">
        <f>235+1287</f>
        <v>1522</v>
      </c>
      <c r="F246" s="240">
        <v>0</v>
      </c>
      <c r="G246" s="240">
        <v>0</v>
      </c>
      <c r="H246" s="240">
        <v>0</v>
      </c>
      <c r="I246" s="240">
        <f>1374.85-1287</f>
        <v>87.849999999999909</v>
      </c>
      <c r="J246" s="731"/>
      <c r="K246" s="730"/>
      <c r="L246" s="730"/>
      <c r="M246" s="730"/>
      <c r="N246" s="730"/>
      <c r="O246" s="732"/>
      <c r="P246" s="732"/>
    </row>
    <row r="247" spans="1:16" s="95" customFormat="1" ht="12.75" customHeight="1">
      <c r="A247" s="47" t="s">
        <v>88</v>
      </c>
      <c r="B247" s="129" t="s">
        <v>29</v>
      </c>
      <c r="C247" s="78">
        <f t="shared" si="55"/>
        <v>6313.27</v>
      </c>
      <c r="D247" s="130">
        <f t="shared" ref="D247:I256" si="63">D249</f>
        <v>5817.4400000000005</v>
      </c>
      <c r="E247" s="130">
        <f t="shared" si="63"/>
        <v>350</v>
      </c>
      <c r="F247" s="130">
        <f t="shared" si="63"/>
        <v>0</v>
      </c>
      <c r="G247" s="130">
        <f t="shared" si="63"/>
        <v>0</v>
      </c>
      <c r="H247" s="130">
        <f t="shared" si="63"/>
        <v>0</v>
      </c>
      <c r="I247" s="130">
        <f t="shared" si="63"/>
        <v>145.83000000000001</v>
      </c>
    </row>
    <row r="248" spans="1:16" s="95" customFormat="1" ht="12.75" customHeight="1">
      <c r="A248" s="131" t="s">
        <v>89</v>
      </c>
      <c r="B248" s="132" t="s">
        <v>30</v>
      </c>
      <c r="C248" s="78">
        <f t="shared" si="55"/>
        <v>6313.27</v>
      </c>
      <c r="D248" s="130">
        <f t="shared" si="63"/>
        <v>5817.4400000000005</v>
      </c>
      <c r="E248" s="130">
        <f t="shared" si="63"/>
        <v>350</v>
      </c>
      <c r="F248" s="130">
        <f t="shared" si="63"/>
        <v>0</v>
      </c>
      <c r="G248" s="130">
        <f t="shared" si="63"/>
        <v>0</v>
      </c>
      <c r="H248" s="130">
        <f t="shared" si="63"/>
        <v>0</v>
      </c>
      <c r="I248" s="130">
        <f t="shared" si="63"/>
        <v>145.83000000000001</v>
      </c>
    </row>
    <row r="249" spans="1:16" ht="12.95">
      <c r="A249" s="19" t="s">
        <v>37</v>
      </c>
      <c r="B249" s="3" t="s">
        <v>29</v>
      </c>
      <c r="C249" s="52">
        <f t="shared" si="55"/>
        <v>6313.27</v>
      </c>
      <c r="D249" s="72">
        <f t="shared" si="63"/>
        <v>5817.4400000000005</v>
      </c>
      <c r="E249" s="72">
        <f t="shared" si="63"/>
        <v>350</v>
      </c>
      <c r="F249" s="72">
        <f t="shared" si="63"/>
        <v>0</v>
      </c>
      <c r="G249" s="72">
        <f t="shared" si="63"/>
        <v>0</v>
      </c>
      <c r="H249" s="72">
        <f t="shared" si="63"/>
        <v>0</v>
      </c>
      <c r="I249" s="72">
        <f t="shared" si="63"/>
        <v>145.83000000000001</v>
      </c>
    </row>
    <row r="250" spans="1:16" ht="12.95">
      <c r="A250" s="16"/>
      <c r="B250" s="4" t="s">
        <v>30</v>
      </c>
      <c r="C250" s="52">
        <f t="shared" si="55"/>
        <v>6313.27</v>
      </c>
      <c r="D250" s="72">
        <f t="shared" si="63"/>
        <v>5817.4400000000005</v>
      </c>
      <c r="E250" s="72">
        <f t="shared" si="63"/>
        <v>350</v>
      </c>
      <c r="F250" s="72">
        <f t="shared" si="63"/>
        <v>0</v>
      </c>
      <c r="G250" s="72">
        <f t="shared" si="63"/>
        <v>0</v>
      </c>
      <c r="H250" s="72">
        <f t="shared" si="63"/>
        <v>0</v>
      </c>
      <c r="I250" s="72">
        <f t="shared" si="63"/>
        <v>145.83000000000001</v>
      </c>
    </row>
    <row r="251" spans="1:16" ht="12.95">
      <c r="A251" s="19" t="s">
        <v>50</v>
      </c>
      <c r="B251" s="160" t="s">
        <v>29</v>
      </c>
      <c r="C251" s="52">
        <f t="shared" si="55"/>
        <v>6313.27</v>
      </c>
      <c r="D251" s="72">
        <f t="shared" si="63"/>
        <v>5817.4400000000005</v>
      </c>
      <c r="E251" s="72">
        <f t="shared" si="63"/>
        <v>350</v>
      </c>
      <c r="F251" s="72">
        <f t="shared" si="63"/>
        <v>0</v>
      </c>
      <c r="G251" s="72">
        <f t="shared" si="63"/>
        <v>0</v>
      </c>
      <c r="H251" s="72">
        <f t="shared" si="63"/>
        <v>0</v>
      </c>
      <c r="I251" s="72">
        <f t="shared" si="63"/>
        <v>145.83000000000001</v>
      </c>
    </row>
    <row r="252" spans="1:16">
      <c r="A252" s="10"/>
      <c r="B252" s="4" t="s">
        <v>30</v>
      </c>
      <c r="C252" s="52">
        <f t="shared" si="55"/>
        <v>6313.27</v>
      </c>
      <c r="D252" s="72">
        <f t="shared" si="63"/>
        <v>5817.4400000000005</v>
      </c>
      <c r="E252" s="72">
        <f t="shared" si="63"/>
        <v>350</v>
      </c>
      <c r="F252" s="72">
        <f t="shared" si="63"/>
        <v>0</v>
      </c>
      <c r="G252" s="72">
        <f t="shared" si="63"/>
        <v>0</v>
      </c>
      <c r="H252" s="72">
        <f t="shared" si="63"/>
        <v>0</v>
      </c>
      <c r="I252" s="72">
        <f t="shared" si="63"/>
        <v>145.83000000000001</v>
      </c>
    </row>
    <row r="253" spans="1:16" s="95" customFormat="1">
      <c r="A253" s="128" t="s">
        <v>58</v>
      </c>
      <c r="B253" s="129" t="s">
        <v>29</v>
      </c>
      <c r="C253" s="130">
        <f t="shared" si="55"/>
        <v>6313.27</v>
      </c>
      <c r="D253" s="130">
        <f>D255</f>
        <v>5817.4400000000005</v>
      </c>
      <c r="E253" s="130">
        <f t="shared" si="63"/>
        <v>350</v>
      </c>
      <c r="F253" s="130">
        <f t="shared" si="63"/>
        <v>0</v>
      </c>
      <c r="G253" s="130">
        <f t="shared" si="63"/>
        <v>0</v>
      </c>
      <c r="H253" s="130">
        <f t="shared" si="63"/>
        <v>0</v>
      </c>
      <c r="I253" s="130">
        <f t="shared" si="63"/>
        <v>145.83000000000001</v>
      </c>
    </row>
    <row r="254" spans="1:16" s="95" customFormat="1">
      <c r="A254" s="131"/>
      <c r="B254" s="132" t="s">
        <v>30</v>
      </c>
      <c r="C254" s="130">
        <f t="shared" si="55"/>
        <v>6313.27</v>
      </c>
      <c r="D254" s="130">
        <f>D256</f>
        <v>5817.4400000000005</v>
      </c>
      <c r="E254" s="130">
        <f t="shared" si="63"/>
        <v>350</v>
      </c>
      <c r="F254" s="130">
        <f t="shared" si="63"/>
        <v>0</v>
      </c>
      <c r="G254" s="130">
        <f t="shared" si="63"/>
        <v>0</v>
      </c>
      <c r="H254" s="130">
        <f t="shared" si="63"/>
        <v>0</v>
      </c>
      <c r="I254" s="130">
        <f t="shared" si="63"/>
        <v>145.83000000000001</v>
      </c>
    </row>
    <row r="255" spans="1:16" s="126" customFormat="1" ht="15">
      <c r="A255" s="379" t="s">
        <v>119</v>
      </c>
      <c r="B255" s="124" t="s">
        <v>29</v>
      </c>
      <c r="C255" s="78">
        <f>D255+E255+F255+G255+H255+I255</f>
        <v>6313.27</v>
      </c>
      <c r="D255" s="125">
        <f>D257</f>
        <v>5817.4400000000005</v>
      </c>
      <c r="E255" s="125">
        <f t="shared" si="63"/>
        <v>350</v>
      </c>
      <c r="F255" s="125">
        <f t="shared" si="63"/>
        <v>0</v>
      </c>
      <c r="G255" s="125">
        <f t="shared" si="63"/>
        <v>0</v>
      </c>
      <c r="H255" s="125">
        <f t="shared" si="63"/>
        <v>0</v>
      </c>
      <c r="I255" s="125">
        <f t="shared" si="63"/>
        <v>145.83000000000001</v>
      </c>
    </row>
    <row r="256" spans="1:16" s="126" customFormat="1">
      <c r="A256" s="134"/>
      <c r="B256" s="127" t="s">
        <v>30</v>
      </c>
      <c r="C256" s="78">
        <f>D256+E256+F256+G256+H256+I256</f>
        <v>6313.27</v>
      </c>
      <c r="D256" s="125">
        <f>D258</f>
        <v>5817.4400000000005</v>
      </c>
      <c r="E256" s="125">
        <f t="shared" si="63"/>
        <v>350</v>
      </c>
      <c r="F256" s="125">
        <f t="shared" si="63"/>
        <v>0</v>
      </c>
      <c r="G256" s="125">
        <f t="shared" si="63"/>
        <v>0</v>
      </c>
      <c r="H256" s="125">
        <f t="shared" si="63"/>
        <v>0</v>
      </c>
      <c r="I256" s="125">
        <f t="shared" si="63"/>
        <v>145.83000000000001</v>
      </c>
    </row>
    <row r="257" spans="1:14" s="212" customFormat="1" ht="28.35">
      <c r="A257" s="418" t="s">
        <v>120</v>
      </c>
      <c r="B257" s="237" t="s">
        <v>29</v>
      </c>
      <c r="C257" s="240">
        <f>D257+E257+F257+G257+H257+I257</f>
        <v>6313.27</v>
      </c>
      <c r="D257" s="240">
        <f>2498.6+3318.84</f>
        <v>5817.4400000000005</v>
      </c>
      <c r="E257" s="240">
        <v>350</v>
      </c>
      <c r="F257" s="240">
        <v>0</v>
      </c>
      <c r="G257" s="240">
        <v>0</v>
      </c>
      <c r="H257" s="240">
        <v>0</v>
      </c>
      <c r="I257" s="240">
        <v>145.83000000000001</v>
      </c>
      <c r="J257" s="647" t="s">
        <v>121</v>
      </c>
      <c r="K257" s="648"/>
      <c r="L257" s="648"/>
      <c r="M257" s="648"/>
      <c r="N257" s="648"/>
    </row>
    <row r="258" spans="1:14" s="211" customFormat="1" ht="12" customHeight="1">
      <c r="A258" s="215"/>
      <c r="B258" s="226" t="s">
        <v>30</v>
      </c>
      <c r="C258" s="240">
        <f>D258+E258+F258+G258+H258+I258</f>
        <v>6313.27</v>
      </c>
      <c r="D258" s="240">
        <f>2498.6+3318.84</f>
        <v>5817.4400000000005</v>
      </c>
      <c r="E258" s="240">
        <v>350</v>
      </c>
      <c r="F258" s="240">
        <v>0</v>
      </c>
      <c r="G258" s="240">
        <v>0</v>
      </c>
      <c r="H258" s="240">
        <v>0</v>
      </c>
      <c r="I258" s="240">
        <v>145.83000000000001</v>
      </c>
      <c r="J258" s="649"/>
      <c r="K258" s="648"/>
      <c r="L258" s="648"/>
      <c r="M258" s="648"/>
      <c r="N258" s="648"/>
    </row>
    <row r="259" spans="1:14" s="95" customFormat="1">
      <c r="A259" s="760" t="s">
        <v>122</v>
      </c>
      <c r="B259" s="761"/>
      <c r="C259" s="761"/>
      <c r="D259" s="761"/>
      <c r="E259" s="761"/>
      <c r="F259" s="761"/>
      <c r="G259" s="761"/>
      <c r="H259" s="761"/>
      <c r="I259" s="762"/>
    </row>
    <row r="260" spans="1:14" s="172" customFormat="1">
      <c r="A260" s="31" t="s">
        <v>54</v>
      </c>
      <c r="B260" s="87" t="s">
        <v>29</v>
      </c>
      <c r="C260" s="277">
        <f t="shared" ref="C260:C275" si="64">D260+E260+F260+G260+H260+I260</f>
        <v>563.98500000000001</v>
      </c>
      <c r="D260" s="277">
        <f t="shared" ref="D260:I261" si="65">D262</f>
        <v>67.984999999999999</v>
      </c>
      <c r="E260" s="277">
        <f t="shared" si="65"/>
        <v>496</v>
      </c>
      <c r="F260" s="277">
        <f t="shared" si="65"/>
        <v>0</v>
      </c>
      <c r="G260" s="277">
        <f t="shared" si="65"/>
        <v>0</v>
      </c>
      <c r="H260" s="277">
        <f t="shared" si="65"/>
        <v>0</v>
      </c>
      <c r="I260" s="277">
        <f t="shared" si="65"/>
        <v>0</v>
      </c>
    </row>
    <row r="261" spans="1:14" s="172" customFormat="1">
      <c r="A261" s="21" t="s">
        <v>87</v>
      </c>
      <c r="B261" s="86" t="s">
        <v>30</v>
      </c>
      <c r="C261" s="171">
        <f t="shared" si="64"/>
        <v>563.98500000000001</v>
      </c>
      <c r="D261" s="171">
        <f t="shared" si="65"/>
        <v>67.984999999999999</v>
      </c>
      <c r="E261" s="171">
        <f t="shared" si="65"/>
        <v>496</v>
      </c>
      <c r="F261" s="171">
        <f t="shared" si="65"/>
        <v>0</v>
      </c>
      <c r="G261" s="171">
        <f t="shared" si="65"/>
        <v>0</v>
      </c>
      <c r="H261" s="171">
        <f t="shared" si="65"/>
        <v>0</v>
      </c>
      <c r="I261" s="171">
        <f t="shared" si="65"/>
        <v>0</v>
      </c>
    </row>
    <row r="262" spans="1:14" s="145" customFormat="1">
      <c r="A262" s="184" t="s">
        <v>123</v>
      </c>
      <c r="B262" s="82" t="s">
        <v>29</v>
      </c>
      <c r="C262" s="84">
        <f t="shared" si="64"/>
        <v>563.98500000000001</v>
      </c>
      <c r="D262" s="84">
        <f>D264+D268</f>
        <v>67.984999999999999</v>
      </c>
      <c r="E262" s="84">
        <f t="shared" ref="E262:I263" si="66">E264+E268</f>
        <v>496</v>
      </c>
      <c r="F262" s="84">
        <f t="shared" si="66"/>
        <v>0</v>
      </c>
      <c r="G262" s="84">
        <f t="shared" si="66"/>
        <v>0</v>
      </c>
      <c r="H262" s="84">
        <f t="shared" si="66"/>
        <v>0</v>
      </c>
      <c r="I262" s="84">
        <f t="shared" si="66"/>
        <v>0</v>
      </c>
    </row>
    <row r="263" spans="1:14" s="145" customFormat="1">
      <c r="A263" s="21" t="s">
        <v>124</v>
      </c>
      <c r="B263" s="86" t="s">
        <v>30</v>
      </c>
      <c r="C263" s="84">
        <f t="shared" si="64"/>
        <v>563.98500000000001</v>
      </c>
      <c r="D263" s="84">
        <f>D265+D269</f>
        <v>67.984999999999999</v>
      </c>
      <c r="E263" s="84">
        <f t="shared" si="66"/>
        <v>496</v>
      </c>
      <c r="F263" s="84">
        <f t="shared" si="66"/>
        <v>0</v>
      </c>
      <c r="G263" s="84">
        <f t="shared" si="66"/>
        <v>0</v>
      </c>
      <c r="H263" s="84">
        <f t="shared" si="66"/>
        <v>0</v>
      </c>
      <c r="I263" s="84">
        <f t="shared" si="66"/>
        <v>0</v>
      </c>
    </row>
    <row r="264" spans="1:14" s="172" customFormat="1" ht="25.7">
      <c r="A264" s="181" t="s">
        <v>49</v>
      </c>
      <c r="B264" s="82" t="s">
        <v>29</v>
      </c>
      <c r="C264" s="78">
        <f t="shared" si="64"/>
        <v>487.02</v>
      </c>
      <c r="D264" s="78">
        <f>D266</f>
        <v>4.0199999999999996</v>
      </c>
      <c r="E264" s="78">
        <f t="shared" ref="E264:I265" si="67">E266</f>
        <v>483</v>
      </c>
      <c r="F264" s="78">
        <f t="shared" si="67"/>
        <v>0</v>
      </c>
      <c r="G264" s="78">
        <f t="shared" si="67"/>
        <v>0</v>
      </c>
      <c r="H264" s="78">
        <f t="shared" si="67"/>
        <v>0</v>
      </c>
      <c r="I264" s="78">
        <f t="shared" si="67"/>
        <v>0</v>
      </c>
    </row>
    <row r="265" spans="1:14" s="172" customFormat="1" ht="12.95">
      <c r="A265" s="67"/>
      <c r="B265" s="86" t="s">
        <v>30</v>
      </c>
      <c r="C265" s="78">
        <f t="shared" si="64"/>
        <v>487.02</v>
      </c>
      <c r="D265" s="78">
        <f>D267</f>
        <v>4.0199999999999996</v>
      </c>
      <c r="E265" s="78">
        <f t="shared" si="67"/>
        <v>483</v>
      </c>
      <c r="F265" s="78">
        <f t="shared" si="67"/>
        <v>0</v>
      </c>
      <c r="G265" s="78">
        <f t="shared" si="67"/>
        <v>0</v>
      </c>
      <c r="H265" s="78">
        <f t="shared" si="67"/>
        <v>0</v>
      </c>
      <c r="I265" s="78">
        <f t="shared" si="67"/>
        <v>0</v>
      </c>
    </row>
    <row r="266" spans="1:14" s="253" customFormat="1" ht="38.25" customHeight="1">
      <c r="A266" s="419" t="s">
        <v>125</v>
      </c>
      <c r="B266" s="237" t="s">
        <v>29</v>
      </c>
      <c r="C266" s="240">
        <f t="shared" si="64"/>
        <v>487.02</v>
      </c>
      <c r="D266" s="240">
        <v>4.0199999999999996</v>
      </c>
      <c r="E266" s="240">
        <v>483</v>
      </c>
      <c r="F266" s="240">
        <f>F267</f>
        <v>0</v>
      </c>
      <c r="G266" s="240">
        <f>G267</f>
        <v>0</v>
      </c>
      <c r="H266" s="240">
        <f>H267</f>
        <v>0</v>
      </c>
      <c r="I266" s="240">
        <v>0</v>
      </c>
    </row>
    <row r="267" spans="1:14" s="249" customFormat="1">
      <c r="A267" s="215"/>
      <c r="B267" s="226" t="s">
        <v>30</v>
      </c>
      <c r="C267" s="240">
        <f t="shared" si="64"/>
        <v>487.02</v>
      </c>
      <c r="D267" s="240">
        <v>4.0199999999999996</v>
      </c>
      <c r="E267" s="240">
        <v>483</v>
      </c>
      <c r="F267" s="240">
        <v>0</v>
      </c>
      <c r="G267" s="240">
        <v>0</v>
      </c>
      <c r="H267" s="240">
        <v>0</v>
      </c>
      <c r="I267" s="240">
        <v>0</v>
      </c>
    </row>
    <row r="268" spans="1:14" ht="12.95">
      <c r="A268" s="19" t="s">
        <v>37</v>
      </c>
      <c r="B268" s="54" t="s">
        <v>29</v>
      </c>
      <c r="C268" s="64">
        <f t="shared" si="64"/>
        <v>76.965000000000003</v>
      </c>
      <c r="D268" s="64">
        <f>D272</f>
        <v>63.965000000000003</v>
      </c>
      <c r="E268" s="64">
        <f t="shared" ref="E268:I269" si="68">E272</f>
        <v>13</v>
      </c>
      <c r="F268" s="64">
        <f t="shared" si="68"/>
        <v>0</v>
      </c>
      <c r="G268" s="64">
        <f t="shared" si="68"/>
        <v>0</v>
      </c>
      <c r="H268" s="64">
        <f t="shared" si="68"/>
        <v>0</v>
      </c>
      <c r="I268" s="64">
        <f t="shared" si="68"/>
        <v>0</v>
      </c>
    </row>
    <row r="269" spans="1:14" ht="12.95">
      <c r="A269" s="16"/>
      <c r="B269" s="40" t="s">
        <v>30</v>
      </c>
      <c r="C269" s="72">
        <f t="shared" si="64"/>
        <v>76.965000000000003</v>
      </c>
      <c r="D269" s="72">
        <f>D273</f>
        <v>63.965000000000003</v>
      </c>
      <c r="E269" s="72">
        <f t="shared" si="68"/>
        <v>13</v>
      </c>
      <c r="F269" s="72">
        <f t="shared" si="68"/>
        <v>0</v>
      </c>
      <c r="G269" s="72">
        <f t="shared" si="68"/>
        <v>0</v>
      </c>
      <c r="H269" s="72">
        <f t="shared" si="68"/>
        <v>0</v>
      </c>
      <c r="I269" s="72">
        <f t="shared" si="68"/>
        <v>0</v>
      </c>
    </row>
    <row r="270" spans="1:14">
      <c r="A270" s="31" t="s">
        <v>57</v>
      </c>
      <c r="B270" s="24" t="s">
        <v>29</v>
      </c>
      <c r="C270" s="72">
        <f t="shared" si="64"/>
        <v>76.965000000000003</v>
      </c>
      <c r="D270" s="72">
        <f>D272</f>
        <v>63.965000000000003</v>
      </c>
      <c r="E270" s="72">
        <f t="shared" ref="E270:I273" si="69">E272</f>
        <v>13</v>
      </c>
      <c r="F270" s="72">
        <f t="shared" si="69"/>
        <v>0</v>
      </c>
      <c r="G270" s="72">
        <f t="shared" si="69"/>
        <v>0</v>
      </c>
      <c r="H270" s="72">
        <f t="shared" si="69"/>
        <v>0</v>
      </c>
      <c r="I270" s="72">
        <f t="shared" si="69"/>
        <v>0</v>
      </c>
    </row>
    <row r="271" spans="1:14">
      <c r="A271" s="31"/>
      <c r="B271" s="26" t="s">
        <v>30</v>
      </c>
      <c r="C271" s="72">
        <f t="shared" si="64"/>
        <v>76.965000000000003</v>
      </c>
      <c r="D271" s="72">
        <f>D273</f>
        <v>63.965000000000003</v>
      </c>
      <c r="E271" s="72">
        <f t="shared" si="69"/>
        <v>13</v>
      </c>
      <c r="F271" s="72">
        <f t="shared" si="69"/>
        <v>0</v>
      </c>
      <c r="G271" s="72">
        <f t="shared" si="69"/>
        <v>0</v>
      </c>
      <c r="H271" s="72">
        <f t="shared" si="69"/>
        <v>0</v>
      </c>
      <c r="I271" s="72">
        <f t="shared" si="69"/>
        <v>0</v>
      </c>
    </row>
    <row r="272" spans="1:14">
      <c r="A272" s="75" t="s">
        <v>58</v>
      </c>
      <c r="B272" s="189" t="s">
        <v>29</v>
      </c>
      <c r="C272" s="190">
        <f t="shared" si="64"/>
        <v>76.965000000000003</v>
      </c>
      <c r="D272" s="190">
        <f>D274</f>
        <v>63.965000000000003</v>
      </c>
      <c r="E272" s="190">
        <f t="shared" si="69"/>
        <v>13</v>
      </c>
      <c r="F272" s="190">
        <f t="shared" si="69"/>
        <v>0</v>
      </c>
      <c r="G272" s="190">
        <f t="shared" si="69"/>
        <v>0</v>
      </c>
      <c r="H272" s="190">
        <f t="shared" si="69"/>
        <v>0</v>
      </c>
      <c r="I272" s="190">
        <f t="shared" si="69"/>
        <v>0</v>
      </c>
    </row>
    <row r="273" spans="1:16">
      <c r="A273" s="44"/>
      <c r="B273" s="191" t="s">
        <v>30</v>
      </c>
      <c r="C273" s="190">
        <f t="shared" si="64"/>
        <v>76.965000000000003</v>
      </c>
      <c r="D273" s="190">
        <f>D275</f>
        <v>63.965000000000003</v>
      </c>
      <c r="E273" s="190">
        <f t="shared" si="69"/>
        <v>13</v>
      </c>
      <c r="F273" s="190">
        <f t="shared" si="69"/>
        <v>0</v>
      </c>
      <c r="G273" s="190">
        <f t="shared" si="69"/>
        <v>0</v>
      </c>
      <c r="H273" s="190">
        <f t="shared" si="69"/>
        <v>0</v>
      </c>
      <c r="I273" s="190">
        <f t="shared" si="69"/>
        <v>0</v>
      </c>
    </row>
    <row r="274" spans="1:16" s="212" customFormat="1" ht="24.95">
      <c r="A274" s="349" t="s">
        <v>126</v>
      </c>
      <c r="B274" s="420" t="s">
        <v>29</v>
      </c>
      <c r="C274" s="203">
        <f t="shared" si="64"/>
        <v>76.965000000000003</v>
      </c>
      <c r="D274" s="203">
        <f>0.92+62.86+0.185</f>
        <v>63.965000000000003</v>
      </c>
      <c r="E274" s="203">
        <v>13</v>
      </c>
      <c r="F274" s="203">
        <v>0</v>
      </c>
      <c r="G274" s="203">
        <v>0</v>
      </c>
      <c r="H274" s="203">
        <v>0</v>
      </c>
      <c r="I274" s="203">
        <v>0</v>
      </c>
      <c r="J274" s="624" t="s">
        <v>127</v>
      </c>
      <c r="K274" s="551"/>
      <c r="L274" s="551"/>
      <c r="M274" s="551"/>
      <c r="N274" s="551"/>
    </row>
    <row r="275" spans="1:16">
      <c r="A275" s="202"/>
      <c r="B275" s="218" t="s">
        <v>30</v>
      </c>
      <c r="C275" s="203">
        <f t="shared" si="64"/>
        <v>76.965000000000003</v>
      </c>
      <c r="D275" s="203">
        <f>0.92+62.86+0.185</f>
        <v>63.965000000000003</v>
      </c>
      <c r="E275" s="203">
        <v>13</v>
      </c>
      <c r="F275" s="203">
        <v>0</v>
      </c>
      <c r="G275" s="203">
        <v>0</v>
      </c>
      <c r="H275" s="203">
        <v>0</v>
      </c>
      <c r="I275" s="203">
        <v>0</v>
      </c>
      <c r="J275" s="552"/>
      <c r="K275" s="551"/>
      <c r="L275" s="551"/>
      <c r="M275" s="551"/>
      <c r="N275" s="551"/>
    </row>
    <row r="276" spans="1:16">
      <c r="A276" s="632" t="s">
        <v>128</v>
      </c>
      <c r="B276" s="633"/>
      <c r="C276" s="633"/>
      <c r="D276" s="633"/>
      <c r="E276" s="633"/>
      <c r="F276" s="633"/>
      <c r="G276" s="633"/>
      <c r="H276" s="633"/>
      <c r="I276" s="670"/>
    </row>
    <row r="277" spans="1:16" s="46" customFormat="1">
      <c r="A277" s="553" t="s">
        <v>54</v>
      </c>
      <c r="B277" s="554"/>
      <c r="C277" s="554"/>
      <c r="D277" s="554"/>
      <c r="E277" s="554"/>
      <c r="F277" s="554"/>
      <c r="G277" s="554"/>
      <c r="H277" s="554"/>
      <c r="I277" s="555"/>
    </row>
    <row r="278" spans="1:16" s="46" customFormat="1">
      <c r="A278" s="81" t="s">
        <v>87</v>
      </c>
      <c r="B278" s="24" t="s">
        <v>29</v>
      </c>
      <c r="C278" s="52">
        <f t="shared" ref="C278:C308" si="70">D278+E278+F278+G278+H278+I278</f>
        <v>1708111.2039999999</v>
      </c>
      <c r="D278" s="72">
        <f t="shared" ref="D278:I279" si="71">D280+D294+D378</f>
        <v>511495.89399999997</v>
      </c>
      <c r="E278" s="72">
        <f t="shared" si="71"/>
        <v>317708</v>
      </c>
      <c r="F278" s="72">
        <f t="shared" si="71"/>
        <v>466677.98</v>
      </c>
      <c r="G278" s="72">
        <f t="shared" si="71"/>
        <v>289286.283</v>
      </c>
      <c r="H278" s="72">
        <f t="shared" si="71"/>
        <v>20067.32</v>
      </c>
      <c r="I278" s="72">
        <f t="shared" si="71"/>
        <v>102875.72700000001</v>
      </c>
    </row>
    <row r="279" spans="1:16" s="46" customFormat="1">
      <c r="A279" s="80"/>
      <c r="B279" s="26" t="s">
        <v>30</v>
      </c>
      <c r="C279" s="52">
        <f t="shared" si="70"/>
        <v>1708111.2039999999</v>
      </c>
      <c r="D279" s="72">
        <f t="shared" si="71"/>
        <v>511495.89399999997</v>
      </c>
      <c r="E279" s="72">
        <f t="shared" si="71"/>
        <v>317708</v>
      </c>
      <c r="F279" s="72">
        <f t="shared" si="71"/>
        <v>466677.98</v>
      </c>
      <c r="G279" s="72">
        <f t="shared" si="71"/>
        <v>289286.283</v>
      </c>
      <c r="H279" s="72">
        <f t="shared" si="71"/>
        <v>20067.32</v>
      </c>
      <c r="I279" s="72">
        <f t="shared" si="71"/>
        <v>102875.72700000001</v>
      </c>
    </row>
    <row r="280" spans="1:16" s="27" customFormat="1">
      <c r="A280" s="75" t="s">
        <v>60</v>
      </c>
      <c r="B280" s="24" t="s">
        <v>29</v>
      </c>
      <c r="C280" s="72">
        <f t="shared" si="70"/>
        <v>1646912.8540000001</v>
      </c>
      <c r="D280" s="72">
        <f>D282+D302+D288</f>
        <v>450909.451</v>
      </c>
      <c r="E280" s="72">
        <f t="shared" ref="E280:I281" si="72">E282+E302+E288</f>
        <v>317708</v>
      </c>
      <c r="F280" s="72">
        <f t="shared" si="72"/>
        <v>466677.98</v>
      </c>
      <c r="G280" s="72">
        <f t="shared" si="72"/>
        <v>289286.283</v>
      </c>
      <c r="H280" s="72">
        <f t="shared" si="72"/>
        <v>20067.32</v>
      </c>
      <c r="I280" s="72">
        <f t="shared" si="72"/>
        <v>102263.82</v>
      </c>
    </row>
    <row r="281" spans="1:16" s="27" customFormat="1">
      <c r="A281" s="80" t="s">
        <v>87</v>
      </c>
      <c r="B281" s="26" t="s">
        <v>30</v>
      </c>
      <c r="C281" s="72">
        <f t="shared" si="70"/>
        <v>1646912.8540000001</v>
      </c>
      <c r="D281" s="72">
        <f>D283+D303+D289</f>
        <v>450909.451</v>
      </c>
      <c r="E281" s="72">
        <f t="shared" si="72"/>
        <v>317708</v>
      </c>
      <c r="F281" s="72">
        <f t="shared" si="72"/>
        <v>466677.98</v>
      </c>
      <c r="G281" s="72">
        <f t="shared" si="72"/>
        <v>289286.283</v>
      </c>
      <c r="H281" s="72">
        <f t="shared" si="72"/>
        <v>20067.32</v>
      </c>
      <c r="I281" s="72">
        <f t="shared" si="72"/>
        <v>102263.82</v>
      </c>
    </row>
    <row r="282" spans="1:16" s="248" customFormat="1" ht="25.7">
      <c r="A282" s="334" t="s">
        <v>61</v>
      </c>
      <c r="B282" s="281" t="s">
        <v>29</v>
      </c>
      <c r="C282" s="240">
        <f t="shared" si="70"/>
        <v>741417</v>
      </c>
      <c r="D282" s="240">
        <f>D284+D286</f>
        <v>102613</v>
      </c>
      <c r="E282" s="240">
        <f t="shared" ref="E282:I283" si="73">E284+E286</f>
        <v>276537</v>
      </c>
      <c r="F282" s="240">
        <f t="shared" si="73"/>
        <v>239268</v>
      </c>
      <c r="G282" s="240">
        <f t="shared" si="73"/>
        <v>117999</v>
      </c>
      <c r="H282" s="240">
        <f t="shared" si="73"/>
        <v>5000</v>
      </c>
      <c r="I282" s="240">
        <f t="shared" si="73"/>
        <v>0</v>
      </c>
    </row>
    <row r="283" spans="1:16" s="248" customFormat="1">
      <c r="A283" s="335"/>
      <c r="B283" s="226" t="s">
        <v>30</v>
      </c>
      <c r="C283" s="240">
        <f t="shared" si="70"/>
        <v>741417</v>
      </c>
      <c r="D283" s="240">
        <f>D285+D287</f>
        <v>102613</v>
      </c>
      <c r="E283" s="240">
        <f t="shared" si="73"/>
        <v>276537</v>
      </c>
      <c r="F283" s="240">
        <f t="shared" si="73"/>
        <v>239268</v>
      </c>
      <c r="G283" s="240">
        <f t="shared" si="73"/>
        <v>117999</v>
      </c>
      <c r="H283" s="240">
        <f t="shared" si="73"/>
        <v>5000</v>
      </c>
      <c r="I283" s="240">
        <f t="shared" si="73"/>
        <v>0</v>
      </c>
    </row>
    <row r="284" spans="1:16" s="212" customFormat="1" ht="41.25" customHeight="1">
      <c r="A284" s="421" t="s">
        <v>129</v>
      </c>
      <c r="B284" s="281" t="s">
        <v>29</v>
      </c>
      <c r="C284" s="240">
        <f t="shared" si="70"/>
        <v>382066</v>
      </c>
      <c r="D284" s="240">
        <f>D285</f>
        <v>45046</v>
      </c>
      <c r="E284" s="240">
        <f t="shared" ref="E284:I284" si="74">E285</f>
        <v>146108</v>
      </c>
      <c r="F284" s="240">
        <f t="shared" si="74"/>
        <v>124945</v>
      </c>
      <c r="G284" s="240">
        <f t="shared" si="74"/>
        <v>65967</v>
      </c>
      <c r="H284" s="240">
        <f t="shared" si="74"/>
        <v>0</v>
      </c>
      <c r="I284" s="240">
        <f t="shared" si="74"/>
        <v>0</v>
      </c>
      <c r="J284" s="550" t="s">
        <v>130</v>
      </c>
      <c r="K284" s="584"/>
      <c r="L284" s="584"/>
      <c r="M284" s="584"/>
      <c r="N284" s="584"/>
      <c r="O284" s="584"/>
      <c r="P284" s="584"/>
    </row>
    <row r="285" spans="1:16" s="213" customFormat="1" ht="15" customHeight="1">
      <c r="A285" s="336" t="s">
        <v>131</v>
      </c>
      <c r="B285" s="226" t="s">
        <v>30</v>
      </c>
      <c r="C285" s="240">
        <f t="shared" si="70"/>
        <v>382066</v>
      </c>
      <c r="D285" s="240">
        <f>1648+43398</f>
        <v>45046</v>
      </c>
      <c r="E285" s="240">
        <f>125108+21000</f>
        <v>146108</v>
      </c>
      <c r="F285" s="240">
        <f>120105+4840</f>
        <v>124945</v>
      </c>
      <c r="G285" s="240">
        <f>96810-9843-21000</f>
        <v>65967</v>
      </c>
      <c r="H285" s="240">
        <v>0</v>
      </c>
      <c r="I285" s="240">
        <v>0</v>
      </c>
      <c r="J285" s="550"/>
      <c r="K285" s="584"/>
      <c r="L285" s="584"/>
      <c r="M285" s="584"/>
      <c r="N285" s="584"/>
      <c r="O285" s="584"/>
      <c r="P285" s="584"/>
    </row>
    <row r="286" spans="1:16" s="212" customFormat="1" ht="39.75" customHeight="1">
      <c r="A286" s="325" t="s">
        <v>132</v>
      </c>
      <c r="B286" s="281" t="s">
        <v>29</v>
      </c>
      <c r="C286" s="240">
        <f t="shared" si="70"/>
        <v>359351</v>
      </c>
      <c r="D286" s="240">
        <f>D287</f>
        <v>57567</v>
      </c>
      <c r="E286" s="240">
        <f>117929+12500</f>
        <v>130429</v>
      </c>
      <c r="F286" s="240">
        <v>114323</v>
      </c>
      <c r="G286" s="240">
        <f>67196-12507+9843-12500</f>
        <v>52032</v>
      </c>
      <c r="H286" s="240">
        <v>5000</v>
      </c>
      <c r="I286" s="240">
        <v>0</v>
      </c>
      <c r="J286" s="550" t="s">
        <v>133</v>
      </c>
      <c r="K286" s="584"/>
      <c r="L286" s="584"/>
      <c r="M286" s="584"/>
      <c r="N286" s="584"/>
      <c r="O286" s="584"/>
      <c r="P286" s="706"/>
    </row>
    <row r="287" spans="1:16" s="213" customFormat="1" ht="15" customHeight="1">
      <c r="A287" s="336" t="s">
        <v>131</v>
      </c>
      <c r="B287" s="226" t="s">
        <v>30</v>
      </c>
      <c r="C287" s="240">
        <f t="shared" si="70"/>
        <v>359351</v>
      </c>
      <c r="D287" s="240">
        <f>1116+56451</f>
        <v>57567</v>
      </c>
      <c r="E287" s="240">
        <f>117929+12500</f>
        <v>130429</v>
      </c>
      <c r="F287" s="240">
        <v>114323</v>
      </c>
      <c r="G287" s="240">
        <f>67196-12507+9843-12500</f>
        <v>52032</v>
      </c>
      <c r="H287" s="240">
        <v>5000</v>
      </c>
      <c r="I287" s="240">
        <v>0</v>
      </c>
      <c r="J287" s="550"/>
      <c r="K287" s="584"/>
      <c r="L287" s="584"/>
      <c r="M287" s="584"/>
      <c r="N287" s="584"/>
      <c r="O287" s="584"/>
      <c r="P287" s="706"/>
    </row>
    <row r="288" spans="1:16" s="46" customFormat="1" ht="25.7">
      <c r="A288" s="117" t="s">
        <v>134</v>
      </c>
      <c r="B288" s="178" t="s">
        <v>29</v>
      </c>
      <c r="C288" s="78">
        <f t="shared" si="70"/>
        <v>183767</v>
      </c>
      <c r="D288" s="78">
        <f>D290+D292</f>
        <v>183767</v>
      </c>
      <c r="E288" s="78">
        <f t="shared" ref="E288:I289" si="75">E290+E292</f>
        <v>0</v>
      </c>
      <c r="F288" s="78">
        <f t="shared" si="75"/>
        <v>0</v>
      </c>
      <c r="G288" s="78">
        <f t="shared" si="75"/>
        <v>0</v>
      </c>
      <c r="H288" s="78">
        <f t="shared" si="75"/>
        <v>0</v>
      </c>
      <c r="I288" s="78">
        <f t="shared" si="75"/>
        <v>0</v>
      </c>
      <c r="J288" s="248"/>
    </row>
    <row r="289" spans="1:15" s="46" customFormat="1">
      <c r="A289" s="187"/>
      <c r="B289" s="123" t="s">
        <v>30</v>
      </c>
      <c r="C289" s="78">
        <f t="shared" si="70"/>
        <v>183767</v>
      </c>
      <c r="D289" s="78">
        <f>D291+D293</f>
        <v>183767</v>
      </c>
      <c r="E289" s="78">
        <f t="shared" si="75"/>
        <v>0</v>
      </c>
      <c r="F289" s="78">
        <f t="shared" si="75"/>
        <v>0</v>
      </c>
      <c r="G289" s="78">
        <f t="shared" si="75"/>
        <v>0</v>
      </c>
      <c r="H289" s="78">
        <f t="shared" si="75"/>
        <v>0</v>
      </c>
      <c r="I289" s="78">
        <f t="shared" si="75"/>
        <v>0</v>
      </c>
      <c r="J289" s="248"/>
    </row>
    <row r="290" spans="1:15" s="213" customFormat="1" ht="15" customHeight="1">
      <c r="A290" s="726" t="s">
        <v>135</v>
      </c>
      <c r="B290" s="281" t="s">
        <v>29</v>
      </c>
      <c r="C290" s="240">
        <f t="shared" si="70"/>
        <v>83349</v>
      </c>
      <c r="D290" s="240">
        <f>5+24+13226+38753+31341</f>
        <v>83349</v>
      </c>
      <c r="E290" s="240">
        <v>0</v>
      </c>
      <c r="F290" s="240">
        <v>0</v>
      </c>
      <c r="G290" s="240">
        <v>0</v>
      </c>
      <c r="H290" s="240">
        <v>0</v>
      </c>
      <c r="I290" s="240">
        <v>0</v>
      </c>
      <c r="J290" s="585" t="s">
        <v>136</v>
      </c>
      <c r="K290" s="586"/>
      <c r="L290" s="586"/>
      <c r="M290" s="586"/>
      <c r="N290" s="586"/>
    </row>
    <row r="291" spans="1:15" s="213" customFormat="1" ht="38.25" customHeight="1">
      <c r="A291" s="727"/>
      <c r="B291" s="226" t="s">
        <v>30</v>
      </c>
      <c r="C291" s="240">
        <f t="shared" si="70"/>
        <v>83349</v>
      </c>
      <c r="D291" s="240">
        <f>5+24+13226+38753+31341</f>
        <v>83349</v>
      </c>
      <c r="E291" s="240">
        <v>0</v>
      </c>
      <c r="F291" s="240">
        <v>0</v>
      </c>
      <c r="G291" s="240">
        <v>0</v>
      </c>
      <c r="H291" s="240">
        <v>0</v>
      </c>
      <c r="I291" s="240">
        <v>0</v>
      </c>
      <c r="J291" s="585"/>
      <c r="K291" s="586"/>
      <c r="L291" s="586"/>
      <c r="M291" s="586"/>
      <c r="N291" s="586"/>
    </row>
    <row r="292" spans="1:15" s="212" customFormat="1" ht="37.35">
      <c r="A292" s="321" t="s">
        <v>137</v>
      </c>
      <c r="B292" s="281" t="s">
        <v>29</v>
      </c>
      <c r="C292" s="240">
        <f t="shared" si="70"/>
        <v>100418</v>
      </c>
      <c r="D292" s="240">
        <f>3+45+3677+40316+56311+66</f>
        <v>100418</v>
      </c>
      <c r="E292" s="240">
        <v>0</v>
      </c>
      <c r="F292" s="240">
        <f>97018-3725-63700-29593</f>
        <v>0</v>
      </c>
      <c r="G292" s="240">
        <v>0</v>
      </c>
      <c r="H292" s="240">
        <v>0</v>
      </c>
      <c r="I292" s="240">
        <v>0</v>
      </c>
      <c r="J292" s="585" t="s">
        <v>138</v>
      </c>
      <c r="K292" s="627"/>
      <c r="L292" s="627"/>
      <c r="M292" s="627"/>
      <c r="N292" s="627"/>
      <c r="O292" s="627"/>
    </row>
    <row r="293" spans="1:15" s="213" customFormat="1">
      <c r="A293" s="286"/>
      <c r="B293" s="226" t="s">
        <v>30</v>
      </c>
      <c r="C293" s="240">
        <f t="shared" si="70"/>
        <v>100418</v>
      </c>
      <c r="D293" s="240">
        <f>3+45+3677+40316+56311+66</f>
        <v>100418</v>
      </c>
      <c r="E293" s="240">
        <v>0</v>
      </c>
      <c r="F293" s="240">
        <f>97018-3725-63700-29593</f>
        <v>0</v>
      </c>
      <c r="G293" s="240">
        <v>0</v>
      </c>
      <c r="H293" s="240">
        <v>0</v>
      </c>
      <c r="I293" s="240">
        <v>0</v>
      </c>
      <c r="J293" s="669"/>
      <c r="K293" s="627"/>
      <c r="L293" s="627"/>
      <c r="M293" s="627"/>
      <c r="N293" s="627"/>
      <c r="O293" s="627"/>
    </row>
    <row r="294" spans="1:15" s="248" customFormat="1">
      <c r="A294" s="275" t="s">
        <v>44</v>
      </c>
      <c r="B294" s="237" t="s">
        <v>29</v>
      </c>
      <c r="C294" s="240">
        <f>C296</f>
        <v>30448</v>
      </c>
      <c r="D294" s="240">
        <f>D296</f>
        <v>30448</v>
      </c>
      <c r="E294" s="240">
        <f t="shared" ref="E294:I295" si="76">E296</f>
        <v>0</v>
      </c>
      <c r="F294" s="240">
        <f t="shared" si="76"/>
        <v>0</v>
      </c>
      <c r="G294" s="240">
        <f t="shared" si="76"/>
        <v>0</v>
      </c>
      <c r="H294" s="240">
        <f t="shared" si="76"/>
        <v>0</v>
      </c>
      <c r="I294" s="240">
        <f t="shared" si="76"/>
        <v>0</v>
      </c>
    </row>
    <row r="295" spans="1:15" s="248" customFormat="1">
      <c r="A295" s="202" t="s">
        <v>45</v>
      </c>
      <c r="B295" s="217" t="s">
        <v>30</v>
      </c>
      <c r="C295" s="246">
        <f>C297</f>
        <v>30448</v>
      </c>
      <c r="D295" s="203">
        <f>D297</f>
        <v>30448</v>
      </c>
      <c r="E295" s="203">
        <f t="shared" si="76"/>
        <v>0</v>
      </c>
      <c r="F295" s="203">
        <f t="shared" si="76"/>
        <v>0</v>
      </c>
      <c r="G295" s="203">
        <f t="shared" si="76"/>
        <v>0</v>
      </c>
      <c r="H295" s="203">
        <f t="shared" si="76"/>
        <v>0</v>
      </c>
      <c r="I295" s="203">
        <f t="shared" si="76"/>
        <v>0</v>
      </c>
    </row>
    <row r="296" spans="1:15" s="46" customFormat="1" ht="25.5" customHeight="1">
      <c r="A296" s="214" t="s">
        <v>46</v>
      </c>
      <c r="B296" s="24" t="s">
        <v>29</v>
      </c>
      <c r="C296" s="52">
        <f t="shared" ref="C296:C301" si="77">D296+E296+F296+G296+H296+I296</f>
        <v>30448</v>
      </c>
      <c r="D296" s="72">
        <f>D298+D300</f>
        <v>30448</v>
      </c>
      <c r="E296" s="72">
        <f t="shared" ref="E296:I297" si="78">E298+E300</f>
        <v>0</v>
      </c>
      <c r="F296" s="72">
        <f t="shared" si="78"/>
        <v>0</v>
      </c>
      <c r="G296" s="72">
        <f t="shared" si="78"/>
        <v>0</v>
      </c>
      <c r="H296" s="72">
        <f t="shared" si="78"/>
        <v>0</v>
      </c>
      <c r="I296" s="72">
        <f t="shared" si="78"/>
        <v>0</v>
      </c>
      <c r="J296" s="248"/>
    </row>
    <row r="297" spans="1:15" s="46" customFormat="1" ht="12.95">
      <c r="A297" s="67"/>
      <c r="B297" s="26" t="s">
        <v>30</v>
      </c>
      <c r="C297" s="52">
        <f t="shared" si="77"/>
        <v>30448</v>
      </c>
      <c r="D297" s="72">
        <f>D299+D301</f>
        <v>30448</v>
      </c>
      <c r="E297" s="72">
        <f t="shared" si="78"/>
        <v>0</v>
      </c>
      <c r="F297" s="72">
        <f t="shared" si="78"/>
        <v>0</v>
      </c>
      <c r="G297" s="72">
        <f t="shared" si="78"/>
        <v>0</v>
      </c>
      <c r="H297" s="72">
        <f t="shared" si="78"/>
        <v>0</v>
      </c>
      <c r="I297" s="72">
        <f t="shared" si="78"/>
        <v>0</v>
      </c>
      <c r="J297" s="248"/>
    </row>
    <row r="298" spans="1:15" s="213" customFormat="1" ht="15" customHeight="1">
      <c r="A298" s="724" t="s">
        <v>135</v>
      </c>
      <c r="B298" s="281" t="s">
        <v>29</v>
      </c>
      <c r="C298" s="240">
        <f t="shared" si="77"/>
        <v>3342</v>
      </c>
      <c r="D298" s="240">
        <v>3342</v>
      </c>
      <c r="E298" s="240">
        <v>0</v>
      </c>
      <c r="F298" s="240">
        <v>0</v>
      </c>
      <c r="G298" s="240">
        <v>0</v>
      </c>
      <c r="H298" s="240">
        <v>0</v>
      </c>
      <c r="I298" s="240">
        <v>0</v>
      </c>
      <c r="J298" s="647"/>
      <c r="K298" s="684"/>
      <c r="L298" s="684"/>
      <c r="M298" s="684"/>
      <c r="N298" s="684"/>
      <c r="O298" s="684"/>
    </row>
    <row r="299" spans="1:15" s="213" customFormat="1" ht="38.25" customHeight="1">
      <c r="A299" s="725"/>
      <c r="B299" s="226" t="s">
        <v>30</v>
      </c>
      <c r="C299" s="240">
        <f t="shared" si="77"/>
        <v>3342</v>
      </c>
      <c r="D299" s="240">
        <v>3342</v>
      </c>
      <c r="E299" s="240">
        <v>0</v>
      </c>
      <c r="F299" s="240">
        <v>0</v>
      </c>
      <c r="G299" s="240">
        <v>0</v>
      </c>
      <c r="H299" s="240">
        <v>0</v>
      </c>
      <c r="I299" s="240">
        <v>0</v>
      </c>
      <c r="J299" s="647"/>
      <c r="K299" s="684"/>
      <c r="L299" s="684"/>
      <c r="M299" s="684"/>
      <c r="N299" s="684"/>
      <c r="O299" s="684"/>
    </row>
    <row r="300" spans="1:15" s="212" customFormat="1" ht="39.75" customHeight="1">
      <c r="A300" s="321" t="s">
        <v>137</v>
      </c>
      <c r="B300" s="281" t="s">
        <v>29</v>
      </c>
      <c r="C300" s="240">
        <f t="shared" si="77"/>
        <v>27106</v>
      </c>
      <c r="D300" s="240">
        <f>823+26283</f>
        <v>27106</v>
      </c>
      <c r="E300" s="240">
        <v>0</v>
      </c>
      <c r="F300" s="240">
        <v>0</v>
      </c>
      <c r="G300" s="240">
        <v>0</v>
      </c>
      <c r="H300" s="240">
        <v>0</v>
      </c>
      <c r="I300" s="240">
        <v>0</v>
      </c>
      <c r="J300" s="585"/>
      <c r="K300" s="551"/>
      <c r="L300" s="551"/>
      <c r="M300" s="551"/>
      <c r="N300" s="551"/>
      <c r="O300" s="551"/>
    </row>
    <row r="301" spans="1:15" s="213" customFormat="1">
      <c r="A301" s="286"/>
      <c r="B301" s="226" t="s">
        <v>30</v>
      </c>
      <c r="C301" s="240">
        <f t="shared" si="77"/>
        <v>27106</v>
      </c>
      <c r="D301" s="240">
        <f>823+26283</f>
        <v>27106</v>
      </c>
      <c r="E301" s="240">
        <v>0</v>
      </c>
      <c r="F301" s="240">
        <v>0</v>
      </c>
      <c r="G301" s="240">
        <v>0</v>
      </c>
      <c r="H301" s="240">
        <v>0</v>
      </c>
      <c r="I301" s="240">
        <v>0</v>
      </c>
      <c r="J301" s="552"/>
      <c r="K301" s="551"/>
      <c r="L301" s="551"/>
      <c r="M301" s="551"/>
      <c r="N301" s="551"/>
      <c r="O301" s="551"/>
    </row>
    <row r="302" spans="1:15" s="46" customFormat="1">
      <c r="A302" s="185" t="s">
        <v>37</v>
      </c>
      <c r="B302" s="186" t="s">
        <v>29</v>
      </c>
      <c r="C302" s="171">
        <f t="shared" si="70"/>
        <v>721728.85399999982</v>
      </c>
      <c r="D302" s="171">
        <f t="shared" ref="D302:I305" si="79">D304</f>
        <v>164529.45100000003</v>
      </c>
      <c r="E302" s="171">
        <f t="shared" si="79"/>
        <v>41171</v>
      </c>
      <c r="F302" s="171">
        <f t="shared" si="79"/>
        <v>227409.97999999998</v>
      </c>
      <c r="G302" s="171">
        <f t="shared" si="79"/>
        <v>171287.283</v>
      </c>
      <c r="H302" s="171">
        <f t="shared" si="79"/>
        <v>15067.320000000002</v>
      </c>
      <c r="I302" s="171">
        <f t="shared" si="79"/>
        <v>102263.82</v>
      </c>
    </row>
    <row r="303" spans="1:15" s="46" customFormat="1">
      <c r="A303" s="187"/>
      <c r="B303" s="173" t="s">
        <v>30</v>
      </c>
      <c r="C303" s="171">
        <f t="shared" si="70"/>
        <v>721728.85399999982</v>
      </c>
      <c r="D303" s="171">
        <f t="shared" si="79"/>
        <v>164529.45100000003</v>
      </c>
      <c r="E303" s="171">
        <f t="shared" si="79"/>
        <v>41171</v>
      </c>
      <c r="F303" s="171">
        <f t="shared" si="79"/>
        <v>227409.97999999998</v>
      </c>
      <c r="G303" s="171">
        <f t="shared" si="79"/>
        <v>171287.283</v>
      </c>
      <c r="H303" s="171">
        <f t="shared" si="79"/>
        <v>15067.320000000002</v>
      </c>
      <c r="I303" s="171">
        <f t="shared" si="79"/>
        <v>102263.82</v>
      </c>
    </row>
    <row r="304" spans="1:15">
      <c r="A304" s="92" t="s">
        <v>57</v>
      </c>
      <c r="B304" s="82" t="s">
        <v>29</v>
      </c>
      <c r="C304" s="83">
        <f t="shared" si="70"/>
        <v>721728.85399999982</v>
      </c>
      <c r="D304" s="84">
        <f t="shared" si="79"/>
        <v>164529.45100000003</v>
      </c>
      <c r="E304" s="78">
        <f t="shared" si="79"/>
        <v>41171</v>
      </c>
      <c r="F304" s="78">
        <f t="shared" si="79"/>
        <v>227409.97999999998</v>
      </c>
      <c r="G304" s="84">
        <f t="shared" si="79"/>
        <v>171287.283</v>
      </c>
      <c r="H304" s="84">
        <f t="shared" si="79"/>
        <v>15067.320000000002</v>
      </c>
      <c r="I304" s="84">
        <f t="shared" si="79"/>
        <v>102263.82</v>
      </c>
      <c r="J304" s="68"/>
    </row>
    <row r="305" spans="1:17">
      <c r="A305" s="85"/>
      <c r="B305" s="86" t="s">
        <v>30</v>
      </c>
      <c r="C305" s="83">
        <f t="shared" si="70"/>
        <v>721728.85399999982</v>
      </c>
      <c r="D305" s="84">
        <f t="shared" si="79"/>
        <v>164529.45100000003</v>
      </c>
      <c r="E305" s="78">
        <f t="shared" si="79"/>
        <v>41171</v>
      </c>
      <c r="F305" s="78">
        <f t="shared" si="79"/>
        <v>227409.97999999998</v>
      </c>
      <c r="G305" s="84">
        <f t="shared" si="79"/>
        <v>171287.283</v>
      </c>
      <c r="H305" s="84">
        <f t="shared" si="79"/>
        <v>15067.320000000002</v>
      </c>
      <c r="I305" s="84">
        <f t="shared" si="79"/>
        <v>102263.82</v>
      </c>
    </row>
    <row r="306" spans="1:17">
      <c r="A306" s="188" t="s">
        <v>58</v>
      </c>
      <c r="B306" s="186" t="s">
        <v>29</v>
      </c>
      <c r="C306" s="171">
        <f t="shared" si="70"/>
        <v>721728.85399999982</v>
      </c>
      <c r="D306" s="171">
        <f>D308+D310+D312+D314+D316+D318+D320+D322+D324+D326+D328+D330+D332+D334+D336+D338+D340+D342+D344+D346+D348+D350+D352+D354+D356+D358+D360+D362+D364+D366+D368+D370+D372+D374+D376</f>
        <v>164529.45100000003</v>
      </c>
      <c r="E306" s="171">
        <f t="shared" ref="E306:I307" si="80">E308+E310+E312+E314+E316+E318+E320+E322+E324+E326+E328+E330+E332+E334+E336+E338+E340+E342+E344+E346+E348+E350+E352+E354+E356+E358+E360+E362+E364+E366+E368+E370+E372+E374+E376</f>
        <v>41171</v>
      </c>
      <c r="F306" s="171">
        <f t="shared" si="80"/>
        <v>227409.97999999998</v>
      </c>
      <c r="G306" s="171">
        <f t="shared" si="80"/>
        <v>171287.283</v>
      </c>
      <c r="H306" s="171">
        <f t="shared" si="80"/>
        <v>15067.320000000002</v>
      </c>
      <c r="I306" s="171">
        <f t="shared" si="80"/>
        <v>102263.82</v>
      </c>
    </row>
    <row r="307" spans="1:17">
      <c r="A307" s="188"/>
      <c r="B307" s="173" t="s">
        <v>30</v>
      </c>
      <c r="C307" s="171">
        <f t="shared" si="70"/>
        <v>721728.85399999982</v>
      </c>
      <c r="D307" s="171">
        <f>D309+D311+D313+D315+D317+D319+D321+D323+D325+D327+D329+D331+D333+D335+D337+D339+D341+D343+D345+D347+D349+D351+D353+D355+D357+D359+D361+D363+D365+D367+D369+D371+D373+D375+D377</f>
        <v>164529.45100000003</v>
      </c>
      <c r="E307" s="171">
        <f t="shared" si="80"/>
        <v>41171</v>
      </c>
      <c r="F307" s="171">
        <f t="shared" si="80"/>
        <v>227409.97999999998</v>
      </c>
      <c r="G307" s="171">
        <f t="shared" si="80"/>
        <v>171287.283</v>
      </c>
      <c r="H307" s="171">
        <f t="shared" si="80"/>
        <v>15067.320000000002</v>
      </c>
      <c r="I307" s="171">
        <f t="shared" si="80"/>
        <v>102263.82</v>
      </c>
    </row>
    <row r="308" spans="1:17" s="27" customFormat="1" ht="27.75" customHeight="1">
      <c r="A308" s="535" t="s">
        <v>139</v>
      </c>
      <c r="B308" s="24" t="s">
        <v>29</v>
      </c>
      <c r="C308" s="72">
        <f t="shared" si="70"/>
        <v>6479</v>
      </c>
      <c r="D308" s="72">
        <f>D309</f>
        <v>6449.36</v>
      </c>
      <c r="E308" s="72">
        <v>0</v>
      </c>
      <c r="F308" s="72">
        <v>0</v>
      </c>
      <c r="G308" s="72">
        <v>0</v>
      </c>
      <c r="H308" s="72">
        <v>0</v>
      </c>
      <c r="I308" s="72">
        <f>80-50.36</f>
        <v>29.64</v>
      </c>
      <c r="J308" s="624" t="s">
        <v>140</v>
      </c>
      <c r="K308" s="625"/>
      <c r="L308" s="625"/>
      <c r="M308" s="625"/>
      <c r="N308" s="625"/>
      <c r="O308" s="625"/>
    </row>
    <row r="309" spans="1:17" s="208" customFormat="1">
      <c r="A309" s="79"/>
      <c r="B309" s="26" t="s">
        <v>30</v>
      </c>
      <c r="C309" s="72">
        <f>D309+E309+F309+G309+H309+I309</f>
        <v>6479</v>
      </c>
      <c r="D309" s="72">
        <f>6399+50.36</f>
        <v>6449.36</v>
      </c>
      <c r="E309" s="72">
        <v>0</v>
      </c>
      <c r="F309" s="72">
        <v>0</v>
      </c>
      <c r="G309" s="72">
        <v>0</v>
      </c>
      <c r="H309" s="72">
        <v>0</v>
      </c>
      <c r="I309" s="72">
        <f>80-50.36</f>
        <v>29.64</v>
      </c>
      <c r="J309" s="624"/>
      <c r="K309" s="625"/>
      <c r="L309" s="625"/>
      <c r="M309" s="625"/>
      <c r="N309" s="625"/>
      <c r="O309" s="625"/>
    </row>
    <row r="310" spans="1:17" s="253" customFormat="1" ht="24.95">
      <c r="A310" s="353" t="s">
        <v>141</v>
      </c>
      <c r="B310" s="216" t="s">
        <v>29</v>
      </c>
      <c r="C310" s="203">
        <f t="shared" ref="C310:C315" si="81">D310+E310+F310+G310+H310+I310</f>
        <v>2305.5300000000002</v>
      </c>
      <c r="D310" s="203">
        <f>1692.22+595.25</f>
        <v>2287.4700000000003</v>
      </c>
      <c r="E310" s="203">
        <v>0</v>
      </c>
      <c r="F310" s="203">
        <v>17.22</v>
      </c>
      <c r="G310" s="203">
        <v>0</v>
      </c>
      <c r="H310" s="203">
        <v>0</v>
      </c>
      <c r="I310" s="203">
        <v>0.84</v>
      </c>
      <c r="J310" s="618" t="s">
        <v>142</v>
      </c>
      <c r="K310" s="619"/>
      <c r="L310" s="619"/>
      <c r="M310" s="619"/>
      <c r="N310" s="619"/>
      <c r="O310" s="619"/>
      <c r="P310" s="619"/>
      <c r="Q310" s="619"/>
    </row>
    <row r="311" spans="1:17" s="253" customFormat="1">
      <c r="A311" s="250"/>
      <c r="B311" s="217" t="s">
        <v>30</v>
      </c>
      <c r="C311" s="203">
        <f t="shared" si="81"/>
        <v>2305.5300000000002</v>
      </c>
      <c r="D311" s="203">
        <f>1692.22+595.25</f>
        <v>2287.4700000000003</v>
      </c>
      <c r="E311" s="203">
        <v>0</v>
      </c>
      <c r="F311" s="203">
        <v>17.22</v>
      </c>
      <c r="G311" s="203">
        <v>0</v>
      </c>
      <c r="H311" s="203">
        <v>0</v>
      </c>
      <c r="I311" s="203">
        <v>0.84</v>
      </c>
      <c r="J311" s="618"/>
      <c r="K311" s="619"/>
      <c r="L311" s="619"/>
      <c r="M311" s="619"/>
      <c r="N311" s="619"/>
      <c r="O311" s="619"/>
      <c r="P311" s="619"/>
      <c r="Q311" s="619"/>
    </row>
    <row r="312" spans="1:17" s="253" customFormat="1" ht="24.95">
      <c r="A312" s="353" t="s">
        <v>143</v>
      </c>
      <c r="B312" s="216" t="s">
        <v>29</v>
      </c>
      <c r="C312" s="203">
        <f t="shared" si="81"/>
        <v>4060.9</v>
      </c>
      <c r="D312" s="203">
        <f>D313</f>
        <v>3720.79</v>
      </c>
      <c r="E312" s="203">
        <v>0</v>
      </c>
      <c r="F312" s="203">
        <v>239.11</v>
      </c>
      <c r="G312" s="203">
        <v>0</v>
      </c>
      <c r="H312" s="203">
        <v>0</v>
      </c>
      <c r="I312" s="203">
        <v>101</v>
      </c>
      <c r="J312" s="618" t="s">
        <v>144</v>
      </c>
      <c r="K312" s="619"/>
      <c r="L312" s="619"/>
      <c r="M312" s="619"/>
      <c r="N312" s="619"/>
      <c r="O312" s="619"/>
    </row>
    <row r="313" spans="1:17" s="253" customFormat="1">
      <c r="A313" s="250"/>
      <c r="B313" s="217" t="s">
        <v>30</v>
      </c>
      <c r="C313" s="203">
        <f t="shared" si="81"/>
        <v>4060.9</v>
      </c>
      <c r="D313" s="203">
        <f>965.57+2241.48+513.74</f>
        <v>3720.79</v>
      </c>
      <c r="E313" s="203">
        <v>0</v>
      </c>
      <c r="F313" s="203">
        <v>239.11</v>
      </c>
      <c r="G313" s="203">
        <v>0</v>
      </c>
      <c r="H313" s="203">
        <v>0</v>
      </c>
      <c r="I313" s="203">
        <v>101</v>
      </c>
      <c r="J313" s="618"/>
      <c r="K313" s="619"/>
      <c r="L313" s="619"/>
      <c r="M313" s="619"/>
      <c r="N313" s="619"/>
      <c r="O313" s="619"/>
    </row>
    <row r="314" spans="1:17" s="253" customFormat="1" ht="24.95">
      <c r="A314" s="353" t="s">
        <v>145</v>
      </c>
      <c r="B314" s="216" t="s">
        <v>29</v>
      </c>
      <c r="C314" s="203">
        <f t="shared" si="81"/>
        <v>36170.402000000002</v>
      </c>
      <c r="D314" s="203">
        <f>2.964+0.5+1.119+7.14+92.12+0.184+37.095</f>
        <v>141.12200000000001</v>
      </c>
      <c r="E314" s="203">
        <f>30+470</f>
        <v>500</v>
      </c>
      <c r="F314" s="203">
        <f>5000+470</f>
        <v>5470</v>
      </c>
      <c r="G314" s="203">
        <v>15000</v>
      </c>
      <c r="H314" s="203">
        <f>16069.28-470-540</f>
        <v>15059.28</v>
      </c>
      <c r="I314" s="203">
        <v>0</v>
      </c>
      <c r="J314" s="701" t="s">
        <v>146</v>
      </c>
      <c r="K314" s="711"/>
      <c r="L314" s="711"/>
      <c r="M314" s="711"/>
      <c r="N314" s="711"/>
      <c r="O314" s="711"/>
      <c r="P314" s="711"/>
      <c r="Q314" s="711"/>
    </row>
    <row r="315" spans="1:17" s="253" customFormat="1">
      <c r="A315" s="250"/>
      <c r="B315" s="217" t="s">
        <v>30</v>
      </c>
      <c r="C315" s="203">
        <f t="shared" si="81"/>
        <v>36170.402000000002</v>
      </c>
      <c r="D315" s="203">
        <f>2.964+0.5+1.119+7.14+92.12+0.184+37.095</f>
        <v>141.12200000000001</v>
      </c>
      <c r="E315" s="203">
        <f>30+470</f>
        <v>500</v>
      </c>
      <c r="F315" s="203">
        <f>5000+470</f>
        <v>5470</v>
      </c>
      <c r="G315" s="203">
        <v>15000</v>
      </c>
      <c r="H315" s="203">
        <f>16069.28-470-540</f>
        <v>15059.28</v>
      </c>
      <c r="I315" s="203">
        <v>0</v>
      </c>
      <c r="J315" s="701"/>
      <c r="K315" s="711"/>
      <c r="L315" s="711"/>
      <c r="M315" s="711"/>
      <c r="N315" s="711"/>
      <c r="O315" s="711"/>
      <c r="P315" s="711"/>
      <c r="Q315" s="711"/>
    </row>
    <row r="316" spans="1:17" s="249" customFormat="1" ht="15.75" customHeight="1">
      <c r="A316" s="722" t="s">
        <v>147</v>
      </c>
      <c r="B316" s="216" t="s">
        <v>29</v>
      </c>
      <c r="C316" s="203">
        <f>D316+E316+F316+G316+H316+I316</f>
        <v>5267</v>
      </c>
      <c r="D316" s="203">
        <f>D317</f>
        <v>1684</v>
      </c>
      <c r="E316" s="203">
        <v>0</v>
      </c>
      <c r="F316" s="203">
        <v>0</v>
      </c>
      <c r="G316" s="203">
        <v>0</v>
      </c>
      <c r="H316" s="203">
        <v>0</v>
      </c>
      <c r="I316" s="203">
        <v>3583</v>
      </c>
    </row>
    <row r="317" spans="1:17" s="249" customFormat="1" ht="11.25" customHeight="1">
      <c r="A317" s="723"/>
      <c r="B317" s="217" t="s">
        <v>30</v>
      </c>
      <c r="C317" s="203">
        <f>D317+E317+F317+G317+H317+I317</f>
        <v>5267</v>
      </c>
      <c r="D317" s="203">
        <f>723+904+57</f>
        <v>1684</v>
      </c>
      <c r="E317" s="203">
        <v>0</v>
      </c>
      <c r="F317" s="203">
        <v>0</v>
      </c>
      <c r="G317" s="203">
        <v>0</v>
      </c>
      <c r="H317" s="203">
        <v>0</v>
      </c>
      <c r="I317" s="203">
        <v>3583</v>
      </c>
    </row>
    <row r="318" spans="1:17" s="253" customFormat="1" ht="18.75" customHeight="1">
      <c r="A318" s="722" t="s">
        <v>148</v>
      </c>
      <c r="B318" s="216" t="s">
        <v>29</v>
      </c>
      <c r="C318" s="203">
        <f>D318+E318+F318+G318+H318+I318</f>
        <v>31673.749999999996</v>
      </c>
      <c r="D318" s="203">
        <f>62.72+4840.96+3677.06+7615.77+15472.48</f>
        <v>31668.989999999998</v>
      </c>
      <c r="E318" s="203">
        <v>0</v>
      </c>
      <c r="F318" s="203">
        <v>4.76</v>
      </c>
      <c r="G318" s="203">
        <v>0</v>
      </c>
      <c r="H318" s="203">
        <v>0</v>
      </c>
      <c r="I318" s="203">
        <v>0</v>
      </c>
      <c r="J318" s="701" t="s">
        <v>149</v>
      </c>
      <c r="K318" s="711"/>
      <c r="L318" s="711"/>
      <c r="M318" s="711"/>
      <c r="N318" s="711"/>
      <c r="O318" s="711"/>
      <c r="P318" s="619"/>
      <c r="Q318" s="619"/>
    </row>
    <row r="319" spans="1:17" s="253" customFormat="1" ht="25.5" customHeight="1">
      <c r="A319" s="723"/>
      <c r="B319" s="217" t="s">
        <v>30</v>
      </c>
      <c r="C319" s="203">
        <f>D319+E319+F319+G319+H319+I319</f>
        <v>31673.749999999996</v>
      </c>
      <c r="D319" s="203">
        <f>62.72+4840.96+3677.06+7615.77+15472.48</f>
        <v>31668.989999999998</v>
      </c>
      <c r="E319" s="203">
        <v>0</v>
      </c>
      <c r="F319" s="203">
        <v>4.76</v>
      </c>
      <c r="G319" s="203">
        <v>0</v>
      </c>
      <c r="H319" s="203">
        <v>0</v>
      </c>
      <c r="I319" s="203">
        <v>0</v>
      </c>
      <c r="J319" s="701"/>
      <c r="K319" s="711"/>
      <c r="L319" s="711"/>
      <c r="M319" s="711"/>
      <c r="N319" s="711"/>
      <c r="O319" s="711"/>
      <c r="P319" s="619"/>
      <c r="Q319" s="619"/>
    </row>
    <row r="320" spans="1:17" s="253" customFormat="1" ht="25.5" customHeight="1">
      <c r="A320" s="353" t="s">
        <v>150</v>
      </c>
      <c r="B320" s="216" t="s">
        <v>29</v>
      </c>
      <c r="C320" s="203">
        <f t="shared" ref="C320:C385" si="82">D320+E320+F320+G320+H320+I320</f>
        <v>80005</v>
      </c>
      <c r="D320" s="203">
        <f>13+1212+1038+18.43</f>
        <v>2281.4299999999998</v>
      </c>
      <c r="E320" s="261">
        <v>0</v>
      </c>
      <c r="F320" s="203">
        <v>0</v>
      </c>
      <c r="G320" s="203">
        <v>0</v>
      </c>
      <c r="H320" s="203">
        <v>0</v>
      </c>
      <c r="I320" s="203">
        <v>77723.570000000007</v>
      </c>
    </row>
    <row r="321" spans="1:16" s="212" customFormat="1" ht="18" customHeight="1">
      <c r="A321" s="262"/>
      <c r="B321" s="217" t="s">
        <v>30</v>
      </c>
      <c r="C321" s="203">
        <f t="shared" si="82"/>
        <v>80005</v>
      </c>
      <c r="D321" s="203">
        <f>13+1212+1038+18.43</f>
        <v>2281.4299999999998</v>
      </c>
      <c r="E321" s="261">
        <v>0</v>
      </c>
      <c r="F321" s="203">
        <v>0</v>
      </c>
      <c r="G321" s="203">
        <v>0</v>
      </c>
      <c r="H321" s="203">
        <v>0</v>
      </c>
      <c r="I321" s="203">
        <v>77723.570000000007</v>
      </c>
    </row>
    <row r="322" spans="1:16" s="253" customFormat="1" ht="27" customHeight="1">
      <c r="A322" s="349" t="s">
        <v>151</v>
      </c>
      <c r="B322" s="216" t="s">
        <v>29</v>
      </c>
      <c r="C322" s="203">
        <f t="shared" si="82"/>
        <v>1938.1999999999998</v>
      </c>
      <c r="D322" s="203">
        <f>60.37+0.37+1.17</f>
        <v>61.91</v>
      </c>
      <c r="E322" s="203">
        <f>584+116</f>
        <v>700</v>
      </c>
      <c r="F322" s="203">
        <v>1176.29</v>
      </c>
      <c r="G322" s="203">
        <v>0</v>
      </c>
      <c r="H322" s="203">
        <v>0</v>
      </c>
      <c r="I322" s="203">
        <v>0</v>
      </c>
      <c r="J322" s="422"/>
    </row>
    <row r="323" spans="1:16" s="209" customFormat="1" ht="17.25" customHeight="1">
      <c r="A323" s="350"/>
      <c r="B323" s="217" t="s">
        <v>30</v>
      </c>
      <c r="C323" s="203">
        <f t="shared" si="82"/>
        <v>1938.1999999999998</v>
      </c>
      <c r="D323" s="203">
        <f>60.37+0.37+1.17</f>
        <v>61.91</v>
      </c>
      <c r="E323" s="203">
        <f>584+116</f>
        <v>700</v>
      </c>
      <c r="F323" s="203">
        <v>1176.29</v>
      </c>
      <c r="G323" s="203">
        <v>0</v>
      </c>
      <c r="H323" s="203">
        <v>0</v>
      </c>
      <c r="I323" s="203">
        <v>0</v>
      </c>
    </row>
    <row r="324" spans="1:16" s="212" customFormat="1" ht="39" customHeight="1">
      <c r="A324" s="352" t="s">
        <v>152</v>
      </c>
      <c r="B324" s="216" t="s">
        <v>29</v>
      </c>
      <c r="C324" s="203">
        <f t="shared" si="82"/>
        <v>14421.33</v>
      </c>
      <c r="D324" s="203">
        <f>245+5699.17+6343.72+2087.44+40.43</f>
        <v>14415.76</v>
      </c>
      <c r="E324" s="261">
        <v>0</v>
      </c>
      <c r="F324" s="203">
        <v>0</v>
      </c>
      <c r="G324" s="203">
        <v>0</v>
      </c>
      <c r="H324" s="203">
        <v>0</v>
      </c>
      <c r="I324" s="203">
        <f>46-40.43</f>
        <v>5.57</v>
      </c>
      <c r="J324" s="550" t="s">
        <v>153</v>
      </c>
      <c r="K324" s="584"/>
      <c r="L324" s="584"/>
      <c r="M324" s="584"/>
      <c r="N324" s="584"/>
      <c r="O324" s="584"/>
    </row>
    <row r="325" spans="1:16" s="213" customFormat="1" ht="18" customHeight="1">
      <c r="A325" s="265"/>
      <c r="B325" s="226" t="s">
        <v>30</v>
      </c>
      <c r="C325" s="240">
        <f t="shared" si="82"/>
        <v>14421.33</v>
      </c>
      <c r="D325" s="240">
        <f>245+5699.17+6343.72+2087.44+40.43</f>
        <v>14415.76</v>
      </c>
      <c r="E325" s="264">
        <v>0</v>
      </c>
      <c r="F325" s="240">
        <v>0</v>
      </c>
      <c r="G325" s="240">
        <v>0</v>
      </c>
      <c r="H325" s="240">
        <v>0</v>
      </c>
      <c r="I325" s="240">
        <f>46-40.43</f>
        <v>5.57</v>
      </c>
      <c r="J325" s="550"/>
      <c r="K325" s="584"/>
      <c r="L325" s="584"/>
      <c r="M325" s="584"/>
      <c r="N325" s="584"/>
      <c r="O325" s="584"/>
    </row>
    <row r="326" spans="1:16" s="253" customFormat="1" ht="38.25" customHeight="1">
      <c r="A326" s="352" t="s">
        <v>154</v>
      </c>
      <c r="B326" s="216" t="s">
        <v>29</v>
      </c>
      <c r="C326" s="203">
        <f t="shared" si="82"/>
        <v>15232.7</v>
      </c>
      <c r="D326" s="72">
        <f>248.2+4360.5+10624</f>
        <v>15232.7</v>
      </c>
      <c r="E326" s="266">
        <v>0</v>
      </c>
      <c r="F326" s="203">
        <v>0</v>
      </c>
      <c r="G326" s="203">
        <v>0</v>
      </c>
      <c r="H326" s="203">
        <v>0</v>
      </c>
      <c r="I326" s="72">
        <v>0</v>
      </c>
      <c r="J326" s="718" t="s">
        <v>155</v>
      </c>
      <c r="K326" s="551"/>
      <c r="L326" s="551"/>
      <c r="M326" s="551"/>
      <c r="N326" s="551"/>
      <c r="O326" s="551"/>
      <c r="P326" s="551"/>
    </row>
    <row r="327" spans="1:16" s="209" customFormat="1" ht="18" customHeight="1">
      <c r="A327" s="202"/>
      <c r="B327" s="217" t="s">
        <v>30</v>
      </c>
      <c r="C327" s="72">
        <f t="shared" si="82"/>
        <v>15232.7</v>
      </c>
      <c r="D327" s="72">
        <f>248.2+4360.5+10624</f>
        <v>15232.7</v>
      </c>
      <c r="E327" s="266">
        <v>0</v>
      </c>
      <c r="F327" s="72">
        <v>0</v>
      </c>
      <c r="G327" s="72">
        <v>0</v>
      </c>
      <c r="H327" s="72">
        <v>0</v>
      </c>
      <c r="I327" s="72">
        <v>0</v>
      </c>
      <c r="J327" s="552"/>
      <c r="K327" s="551"/>
      <c r="L327" s="551"/>
      <c r="M327" s="551"/>
      <c r="N327" s="551"/>
      <c r="O327" s="551"/>
      <c r="P327" s="551"/>
    </row>
    <row r="328" spans="1:16" s="253" customFormat="1" ht="40.5" customHeight="1">
      <c r="A328" s="352" t="s">
        <v>156</v>
      </c>
      <c r="B328" s="216" t="s">
        <v>29</v>
      </c>
      <c r="C328" s="203">
        <f t="shared" si="82"/>
        <v>8422</v>
      </c>
      <c r="D328" s="203">
        <f>139+2429+5854</f>
        <v>8422</v>
      </c>
      <c r="E328" s="261">
        <v>0</v>
      </c>
      <c r="F328" s="203">
        <v>0</v>
      </c>
      <c r="G328" s="203">
        <v>0</v>
      </c>
      <c r="H328" s="203">
        <v>0</v>
      </c>
      <c r="I328" s="203">
        <v>0</v>
      </c>
      <c r="J328" s="719" t="s">
        <v>157</v>
      </c>
      <c r="K328" s="627"/>
      <c r="L328" s="627"/>
      <c r="M328" s="627"/>
      <c r="N328" s="627"/>
      <c r="O328" s="627"/>
      <c r="P328" s="627"/>
    </row>
    <row r="329" spans="1:16" s="212" customFormat="1" ht="18" customHeight="1">
      <c r="A329" s="202"/>
      <c r="B329" s="217" t="s">
        <v>30</v>
      </c>
      <c r="C329" s="203">
        <f t="shared" si="82"/>
        <v>8422</v>
      </c>
      <c r="D329" s="203">
        <f>139+2429+5854</f>
        <v>8422</v>
      </c>
      <c r="E329" s="261">
        <v>0</v>
      </c>
      <c r="F329" s="203">
        <v>0</v>
      </c>
      <c r="G329" s="203">
        <v>0</v>
      </c>
      <c r="H329" s="203">
        <v>0</v>
      </c>
      <c r="I329" s="203">
        <v>0</v>
      </c>
      <c r="J329" s="669"/>
      <c r="K329" s="627"/>
      <c r="L329" s="627"/>
      <c r="M329" s="627"/>
      <c r="N329" s="627"/>
      <c r="O329" s="627"/>
      <c r="P329" s="627"/>
    </row>
    <row r="330" spans="1:16" s="212" customFormat="1" ht="26.25" customHeight="1">
      <c r="A330" s="263" t="s">
        <v>158</v>
      </c>
      <c r="B330" s="237" t="s">
        <v>29</v>
      </c>
      <c r="C330" s="240">
        <f t="shared" si="82"/>
        <v>11094.83</v>
      </c>
      <c r="D330" s="240">
        <f>8047+2030+999.07</f>
        <v>11076.07</v>
      </c>
      <c r="E330" s="264">
        <v>0</v>
      </c>
      <c r="F330" s="240">
        <v>0</v>
      </c>
      <c r="G330" s="240">
        <v>0</v>
      </c>
      <c r="H330" s="240">
        <v>0</v>
      </c>
      <c r="I330" s="240">
        <v>18.760000000000002</v>
      </c>
      <c r="J330" s="550" t="s">
        <v>159</v>
      </c>
      <c r="K330" s="627"/>
      <c r="L330" s="627"/>
      <c r="M330" s="627"/>
      <c r="N330" s="627"/>
      <c r="O330" s="627"/>
      <c r="P330" s="627"/>
    </row>
    <row r="331" spans="1:16" s="212" customFormat="1" ht="18" customHeight="1">
      <c r="A331" s="215"/>
      <c r="B331" s="226" t="s">
        <v>30</v>
      </c>
      <c r="C331" s="240">
        <f t="shared" si="82"/>
        <v>11094.83</v>
      </c>
      <c r="D331" s="240">
        <f>8047+2030+999.07</f>
        <v>11076.07</v>
      </c>
      <c r="E331" s="264">
        <v>0</v>
      </c>
      <c r="F331" s="240">
        <v>0</v>
      </c>
      <c r="G331" s="240">
        <v>0</v>
      </c>
      <c r="H331" s="240">
        <v>0</v>
      </c>
      <c r="I331" s="240">
        <v>18.760000000000002</v>
      </c>
      <c r="J331" s="669"/>
      <c r="K331" s="627"/>
      <c r="L331" s="627"/>
      <c r="M331" s="627"/>
      <c r="N331" s="627"/>
      <c r="O331" s="627"/>
      <c r="P331" s="627"/>
    </row>
    <row r="332" spans="1:16" s="253" customFormat="1" ht="26.25" customHeight="1">
      <c r="A332" s="423" t="s">
        <v>160</v>
      </c>
      <c r="B332" s="216" t="s">
        <v>29</v>
      </c>
      <c r="C332" s="203">
        <f t="shared" si="82"/>
        <v>9213.57</v>
      </c>
      <c r="D332" s="203">
        <f>22+4295.21+1194.6+37.95</f>
        <v>5549.7599999999993</v>
      </c>
      <c r="E332" s="261">
        <v>0</v>
      </c>
      <c r="F332" s="203">
        <v>0</v>
      </c>
      <c r="G332" s="203">
        <v>0</v>
      </c>
      <c r="H332" s="203">
        <v>0</v>
      </c>
      <c r="I332" s="203">
        <f>9213.57-5511.81-150+112.05</f>
        <v>3663.8099999999995</v>
      </c>
      <c r="J332" s="720" t="s">
        <v>161</v>
      </c>
      <c r="K332" s="721"/>
      <c r="L332" s="721"/>
      <c r="M332" s="721"/>
      <c r="N332" s="721"/>
      <c r="O332" s="721"/>
    </row>
    <row r="333" spans="1:16" s="253" customFormat="1" ht="15.75" customHeight="1">
      <c r="A333" s="202"/>
      <c r="B333" s="217" t="s">
        <v>30</v>
      </c>
      <c r="C333" s="203">
        <f t="shared" si="82"/>
        <v>9213.57</v>
      </c>
      <c r="D333" s="203">
        <f>22+4295.21+1194.6+37.95</f>
        <v>5549.7599999999993</v>
      </c>
      <c r="E333" s="261">
        <v>0</v>
      </c>
      <c r="F333" s="203">
        <v>0</v>
      </c>
      <c r="G333" s="203">
        <v>0</v>
      </c>
      <c r="H333" s="203">
        <v>0</v>
      </c>
      <c r="I333" s="203">
        <f>9213.57-5511.81-150+112.05</f>
        <v>3663.8099999999995</v>
      </c>
      <c r="J333" s="720"/>
      <c r="K333" s="721"/>
      <c r="L333" s="721"/>
      <c r="M333" s="721"/>
      <c r="N333" s="721"/>
      <c r="O333" s="721"/>
    </row>
    <row r="334" spans="1:16" s="212" customFormat="1" ht="28.5" customHeight="1">
      <c r="A334" s="349" t="s">
        <v>162</v>
      </c>
      <c r="B334" s="216" t="s">
        <v>29</v>
      </c>
      <c r="C334" s="203">
        <f t="shared" si="82"/>
        <v>15893.109</v>
      </c>
      <c r="D334" s="203">
        <f>0.1+1013.03+0.85-135.401</f>
        <v>878.57899999999995</v>
      </c>
      <c r="E334" s="261">
        <f>9050+2408</f>
        <v>11458</v>
      </c>
      <c r="F334" s="203">
        <f>15893.11-878.58-11458</f>
        <v>3556.5300000000007</v>
      </c>
      <c r="G334" s="203">
        <v>0</v>
      </c>
      <c r="H334" s="203">
        <v>0</v>
      </c>
      <c r="I334" s="203">
        <v>0</v>
      </c>
      <c r="J334" s="618" t="s">
        <v>163</v>
      </c>
      <c r="K334" s="627"/>
      <c r="L334" s="627"/>
      <c r="M334" s="627"/>
      <c r="N334" s="627"/>
      <c r="O334" s="627"/>
    </row>
    <row r="335" spans="1:16" s="253" customFormat="1" ht="15.75" customHeight="1">
      <c r="A335" s="202"/>
      <c r="B335" s="217" t="s">
        <v>30</v>
      </c>
      <c r="C335" s="203">
        <f t="shared" si="82"/>
        <v>15893.109</v>
      </c>
      <c r="D335" s="203">
        <f>0.1+1013.03+0.85-135.401</f>
        <v>878.57899999999995</v>
      </c>
      <c r="E335" s="261">
        <f>9050+2408</f>
        <v>11458</v>
      </c>
      <c r="F335" s="203">
        <f>15893.11-878.58-11458</f>
        <v>3556.5300000000007</v>
      </c>
      <c r="G335" s="203">
        <v>0</v>
      </c>
      <c r="H335" s="203">
        <v>0</v>
      </c>
      <c r="I335" s="203">
        <v>0</v>
      </c>
      <c r="J335" s="669"/>
      <c r="K335" s="627"/>
      <c r="L335" s="627"/>
      <c r="M335" s="627"/>
      <c r="N335" s="627"/>
      <c r="O335" s="627"/>
    </row>
    <row r="336" spans="1:16" s="212" customFormat="1" ht="27.75" customHeight="1">
      <c r="A336" s="349" t="s">
        <v>164</v>
      </c>
      <c r="B336" s="216" t="s">
        <v>29</v>
      </c>
      <c r="C336" s="203">
        <f t="shared" si="82"/>
        <v>10732.17</v>
      </c>
      <c r="D336" s="203">
        <f>0.1+1.63+24.76+1.307</f>
        <v>27.797000000000001</v>
      </c>
      <c r="E336" s="261">
        <v>200</v>
      </c>
      <c r="F336" s="203">
        <f>896.13+2000</f>
        <v>2896.13</v>
      </c>
      <c r="G336" s="203">
        <f>2000+5609.55-1.307</f>
        <v>7608.2430000000004</v>
      </c>
      <c r="H336" s="203">
        <v>0</v>
      </c>
      <c r="I336" s="203">
        <v>0</v>
      </c>
      <c r="J336" s="712" t="s">
        <v>165</v>
      </c>
      <c r="K336" s="713"/>
      <c r="L336" s="713"/>
      <c r="M336" s="713"/>
      <c r="N336" s="713"/>
      <c r="O336" s="713"/>
    </row>
    <row r="337" spans="1:17" s="253" customFormat="1" ht="15.75" customHeight="1">
      <c r="A337" s="202"/>
      <c r="B337" s="217" t="s">
        <v>30</v>
      </c>
      <c r="C337" s="203">
        <f t="shared" si="82"/>
        <v>10732.17</v>
      </c>
      <c r="D337" s="203">
        <f>0.1+1.63+24.76+1.307</f>
        <v>27.797000000000001</v>
      </c>
      <c r="E337" s="261">
        <v>200</v>
      </c>
      <c r="F337" s="203">
        <f>896.13+2000</f>
        <v>2896.13</v>
      </c>
      <c r="G337" s="203">
        <f>2000+5609.55-1.307</f>
        <v>7608.2430000000004</v>
      </c>
      <c r="H337" s="203">
        <v>0</v>
      </c>
      <c r="I337" s="203">
        <v>0</v>
      </c>
      <c r="J337" s="714"/>
      <c r="K337" s="713"/>
      <c r="L337" s="713"/>
      <c r="M337" s="713"/>
      <c r="N337" s="713"/>
      <c r="O337" s="713"/>
    </row>
    <row r="338" spans="1:17" s="253" customFormat="1" ht="27.75" customHeight="1">
      <c r="A338" s="349" t="s">
        <v>166</v>
      </c>
      <c r="B338" s="216" t="s">
        <v>29</v>
      </c>
      <c r="C338" s="203">
        <f t="shared" si="82"/>
        <v>8606.44</v>
      </c>
      <c r="D338" s="203">
        <f>0.1+13.92+17.18+30.39</f>
        <v>61.59</v>
      </c>
      <c r="E338" s="261">
        <f>4536+1165</f>
        <v>5701</v>
      </c>
      <c r="F338" s="203">
        <f>8606.44-61.59-4536-1165</f>
        <v>2843.8500000000004</v>
      </c>
      <c r="G338" s="203">
        <v>0</v>
      </c>
      <c r="H338" s="203">
        <v>0</v>
      </c>
      <c r="I338" s="203">
        <v>0</v>
      </c>
      <c r="J338" s="712" t="s">
        <v>167</v>
      </c>
      <c r="K338" s="717"/>
      <c r="L338" s="717"/>
      <c r="M338" s="717"/>
      <c r="N338" s="717"/>
    </row>
    <row r="339" spans="1:17" s="253" customFormat="1" ht="15.75" customHeight="1">
      <c r="A339" s="202"/>
      <c r="B339" s="217" t="s">
        <v>30</v>
      </c>
      <c r="C339" s="203">
        <f t="shared" si="82"/>
        <v>8606.44</v>
      </c>
      <c r="D339" s="203">
        <f>0.1+13.92+17.18+30.39</f>
        <v>61.59</v>
      </c>
      <c r="E339" s="261">
        <f>4536+1165</f>
        <v>5701</v>
      </c>
      <c r="F339" s="203">
        <f>8606.44-61.59-4536-1165</f>
        <v>2843.8500000000004</v>
      </c>
      <c r="G339" s="203">
        <v>0</v>
      </c>
      <c r="H339" s="203">
        <v>0</v>
      </c>
      <c r="I339" s="203">
        <v>0</v>
      </c>
    </row>
    <row r="340" spans="1:17" s="253" customFormat="1" ht="26.25" customHeight="1">
      <c r="A340" s="349" t="s">
        <v>168</v>
      </c>
      <c r="B340" s="216" t="s">
        <v>29</v>
      </c>
      <c r="C340" s="203">
        <f t="shared" si="82"/>
        <v>35841.879999999997</v>
      </c>
      <c r="D340" s="203">
        <f>0.1+26.92+58.77+0.4</f>
        <v>86.190000000000012</v>
      </c>
      <c r="E340" s="261">
        <v>570</v>
      </c>
      <c r="F340" s="203">
        <f>6182.15+8000</f>
        <v>14182.15</v>
      </c>
      <c r="G340" s="203">
        <f>20000+1023.94-21+0.6</f>
        <v>21003.539999999997</v>
      </c>
      <c r="H340" s="203">
        <v>0</v>
      </c>
      <c r="I340" s="203">
        <v>0</v>
      </c>
      <c r="J340" s="422"/>
      <c r="K340" s="619" t="s">
        <v>169</v>
      </c>
      <c r="L340" s="619"/>
      <c r="M340" s="619"/>
      <c r="N340" s="619"/>
      <c r="O340" s="619"/>
      <c r="P340" s="619"/>
    </row>
    <row r="341" spans="1:17" s="208" customFormat="1" ht="15.75" customHeight="1">
      <c r="A341" s="202"/>
      <c r="B341" s="217" t="s">
        <v>30</v>
      </c>
      <c r="C341" s="203">
        <f t="shared" si="82"/>
        <v>35841.879999999997</v>
      </c>
      <c r="D341" s="203">
        <f>0.1+26.92+58.77+0.4</f>
        <v>86.190000000000012</v>
      </c>
      <c r="E341" s="261">
        <v>570</v>
      </c>
      <c r="F341" s="203">
        <f>6182.15+8000</f>
        <v>14182.15</v>
      </c>
      <c r="G341" s="203">
        <f>20000+1023.94-21+0.6</f>
        <v>21003.539999999997</v>
      </c>
      <c r="H341" s="203">
        <v>0</v>
      </c>
      <c r="I341" s="203">
        <v>0</v>
      </c>
    </row>
    <row r="342" spans="1:17" s="212" customFormat="1" ht="27.75" customHeight="1">
      <c r="A342" s="349" t="s">
        <v>170</v>
      </c>
      <c r="B342" s="216" t="s">
        <v>29</v>
      </c>
      <c r="C342" s="203">
        <f t="shared" si="82"/>
        <v>6889.0529999999999</v>
      </c>
      <c r="D342" s="203">
        <f>0.1+30.969+36.076+136.078</f>
        <v>203.22300000000001</v>
      </c>
      <c r="E342" s="261">
        <f>4534+1232</f>
        <v>5766</v>
      </c>
      <c r="F342" s="203">
        <f>6779.55-203.22-4534-1232+109.5</f>
        <v>919.82999999999993</v>
      </c>
      <c r="G342" s="203">
        <v>0</v>
      </c>
      <c r="H342" s="203">
        <v>0</v>
      </c>
      <c r="I342" s="203">
        <v>0</v>
      </c>
      <c r="J342" s="712" t="s">
        <v>171</v>
      </c>
      <c r="K342" s="713"/>
      <c r="L342" s="713"/>
      <c r="M342" s="713"/>
      <c r="N342" s="713"/>
      <c r="O342" s="713"/>
      <c r="P342" s="713"/>
    </row>
    <row r="343" spans="1:17" s="249" customFormat="1" ht="15.75" customHeight="1">
      <c r="A343" s="202"/>
      <c r="B343" s="217" t="s">
        <v>30</v>
      </c>
      <c r="C343" s="203">
        <f t="shared" si="82"/>
        <v>6889.0529999999999</v>
      </c>
      <c r="D343" s="203">
        <f>0.1+30.969+36.076+136.078</f>
        <v>203.22300000000001</v>
      </c>
      <c r="E343" s="261">
        <f>4534+1232</f>
        <v>5766</v>
      </c>
      <c r="F343" s="203">
        <f>6779.55-203.22-4534-1232+109.5</f>
        <v>919.82999999999993</v>
      </c>
      <c r="G343" s="203">
        <v>0</v>
      </c>
      <c r="H343" s="203">
        <v>0</v>
      </c>
      <c r="I343" s="203">
        <v>0</v>
      </c>
      <c r="J343" s="714"/>
      <c r="K343" s="713"/>
      <c r="L343" s="713"/>
      <c r="M343" s="713"/>
      <c r="N343" s="713"/>
      <c r="O343" s="713"/>
      <c r="P343" s="713"/>
    </row>
    <row r="344" spans="1:17" s="253" customFormat="1" ht="26.25" customHeight="1">
      <c r="A344" s="349" t="s">
        <v>172</v>
      </c>
      <c r="B344" s="216" t="s">
        <v>29</v>
      </c>
      <c r="C344" s="203">
        <f t="shared" si="82"/>
        <v>19934.02</v>
      </c>
      <c r="D344" s="203">
        <f>23.84+50.35+1.86</f>
        <v>76.05</v>
      </c>
      <c r="E344" s="261">
        <f>10009+2283</f>
        <v>12292</v>
      </c>
      <c r="F344" s="203">
        <f>19934.02-76.05-10009-2283</f>
        <v>7565.9700000000012</v>
      </c>
      <c r="G344" s="203">
        <v>0</v>
      </c>
      <c r="H344" s="203">
        <v>0</v>
      </c>
      <c r="I344" s="203">
        <v>0</v>
      </c>
      <c r="K344" s="619" t="s">
        <v>173</v>
      </c>
      <c r="L344" s="619"/>
      <c r="M344" s="619"/>
      <c r="N344" s="619"/>
      <c r="O344" s="619"/>
      <c r="P344" s="619"/>
      <c r="Q344" s="619"/>
    </row>
    <row r="345" spans="1:17" s="253" customFormat="1" ht="15.75" customHeight="1">
      <c r="A345" s="202"/>
      <c r="B345" s="217" t="s">
        <v>30</v>
      </c>
      <c r="C345" s="203">
        <f t="shared" si="82"/>
        <v>19934.02</v>
      </c>
      <c r="D345" s="203">
        <f>23.84+50.35+1.86</f>
        <v>76.05</v>
      </c>
      <c r="E345" s="261">
        <f>10009+2283</f>
        <v>12292</v>
      </c>
      <c r="F345" s="203">
        <f>19934.02-76.05-10009-2283</f>
        <v>7565.9700000000012</v>
      </c>
      <c r="G345" s="203">
        <v>0</v>
      </c>
      <c r="H345" s="203">
        <v>0</v>
      </c>
      <c r="I345" s="203">
        <v>0</v>
      </c>
    </row>
    <row r="346" spans="1:17" s="253" customFormat="1" ht="39" customHeight="1">
      <c r="A346" s="349" t="s">
        <v>174</v>
      </c>
      <c r="B346" s="216" t="s">
        <v>29</v>
      </c>
      <c r="C346" s="203">
        <f t="shared" si="82"/>
        <v>33371.240000000005</v>
      </c>
      <c r="D346" s="203">
        <f>4.95+1.76+27.76</f>
        <v>34.47</v>
      </c>
      <c r="E346" s="261">
        <v>0</v>
      </c>
      <c r="F346" s="203">
        <v>24400</v>
      </c>
      <c r="G346" s="203">
        <f>8096.77+840</f>
        <v>8936.77</v>
      </c>
      <c r="H346" s="203">
        <v>0</v>
      </c>
      <c r="I346" s="203">
        <v>0</v>
      </c>
      <c r="J346" s="624" t="s">
        <v>175</v>
      </c>
      <c r="K346" s="625"/>
      <c r="L346" s="625"/>
      <c r="M346" s="625"/>
      <c r="N346" s="625"/>
      <c r="O346" s="625"/>
      <c r="P346" s="625"/>
    </row>
    <row r="347" spans="1:17" s="208" customFormat="1" ht="15.75" customHeight="1">
      <c r="A347" s="202"/>
      <c r="B347" s="217" t="s">
        <v>30</v>
      </c>
      <c r="C347" s="203">
        <f t="shared" si="82"/>
        <v>33371.240000000005</v>
      </c>
      <c r="D347" s="203">
        <f>4.95+1.76+27.76</f>
        <v>34.47</v>
      </c>
      <c r="E347" s="261">
        <v>0</v>
      </c>
      <c r="F347" s="203">
        <v>24400</v>
      </c>
      <c r="G347" s="203">
        <f>8096.77+840</f>
        <v>8936.77</v>
      </c>
      <c r="H347" s="203">
        <v>0</v>
      </c>
      <c r="I347" s="203">
        <v>0</v>
      </c>
      <c r="J347" s="624"/>
      <c r="K347" s="625"/>
      <c r="L347" s="625"/>
      <c r="M347" s="625"/>
      <c r="N347" s="625"/>
      <c r="O347" s="625"/>
      <c r="P347" s="625"/>
    </row>
    <row r="348" spans="1:17" s="212" customFormat="1" ht="27.75" customHeight="1">
      <c r="A348" s="349" t="s">
        <v>176</v>
      </c>
      <c r="B348" s="216" t="s">
        <v>29</v>
      </c>
      <c r="C348" s="203">
        <f t="shared" si="82"/>
        <v>66997.56</v>
      </c>
      <c r="D348" s="203">
        <f>3.6+40.1+113.12</f>
        <v>156.82</v>
      </c>
      <c r="E348" s="261">
        <v>0</v>
      </c>
      <c r="F348" s="203">
        <v>35000</v>
      </c>
      <c r="G348" s="203">
        <f>31100.74+740</f>
        <v>31840.74</v>
      </c>
      <c r="H348" s="203">
        <v>0</v>
      </c>
      <c r="I348" s="203">
        <v>0</v>
      </c>
      <c r="J348" s="618" t="s">
        <v>177</v>
      </c>
      <c r="K348" s="627"/>
      <c r="L348" s="627"/>
      <c r="M348" s="627"/>
      <c r="N348" s="627"/>
      <c r="O348" s="627"/>
      <c r="P348" s="627"/>
    </row>
    <row r="349" spans="1:17" s="249" customFormat="1" ht="15.75" customHeight="1">
      <c r="A349" s="202"/>
      <c r="B349" s="217" t="s">
        <v>30</v>
      </c>
      <c r="C349" s="203">
        <f t="shared" si="82"/>
        <v>66997.56</v>
      </c>
      <c r="D349" s="203">
        <f>3.6+40.1+113.12</f>
        <v>156.82</v>
      </c>
      <c r="E349" s="261">
        <v>0</v>
      </c>
      <c r="F349" s="203">
        <v>35000</v>
      </c>
      <c r="G349" s="203">
        <f>31100.74+740</f>
        <v>31840.74</v>
      </c>
      <c r="H349" s="203">
        <v>0</v>
      </c>
      <c r="I349" s="203">
        <v>0</v>
      </c>
      <c r="J349" s="669"/>
      <c r="K349" s="627"/>
      <c r="L349" s="627"/>
      <c r="M349" s="627"/>
      <c r="N349" s="627"/>
      <c r="O349" s="627"/>
      <c r="P349" s="627"/>
    </row>
    <row r="350" spans="1:17" s="253" customFormat="1" ht="41.25" customHeight="1">
      <c r="A350" s="349" t="s">
        <v>178</v>
      </c>
      <c r="B350" s="216" t="s">
        <v>29</v>
      </c>
      <c r="C350" s="203">
        <f t="shared" si="82"/>
        <v>9483.3100000000013</v>
      </c>
      <c r="D350" s="203">
        <f>157.87+0.03+30.02</f>
        <v>187.92000000000002</v>
      </c>
      <c r="E350" s="261">
        <f>1155+361</f>
        <v>1516</v>
      </c>
      <c r="F350" s="203">
        <f>168.67+7610.72</f>
        <v>7779.39</v>
      </c>
      <c r="G350" s="203">
        <v>0</v>
      </c>
      <c r="H350" s="203">
        <v>0</v>
      </c>
      <c r="I350" s="203">
        <v>0</v>
      </c>
      <c r="J350" s="701" t="s">
        <v>179</v>
      </c>
      <c r="K350" s="711"/>
      <c r="L350" s="711"/>
      <c r="M350" s="711"/>
      <c r="N350" s="711"/>
      <c r="O350" s="711"/>
    </row>
    <row r="351" spans="1:17" s="249" customFormat="1" ht="15.75" customHeight="1">
      <c r="A351" s="202"/>
      <c r="B351" s="217" t="s">
        <v>30</v>
      </c>
      <c r="C351" s="203">
        <f t="shared" si="82"/>
        <v>9483.3100000000013</v>
      </c>
      <c r="D351" s="203">
        <f>157.87+0.03+30.02</f>
        <v>187.92000000000002</v>
      </c>
      <c r="E351" s="261">
        <f>1155+361</f>
        <v>1516</v>
      </c>
      <c r="F351" s="203">
        <f>168.67+7610.72</f>
        <v>7779.39</v>
      </c>
      <c r="G351" s="203">
        <v>0</v>
      </c>
      <c r="H351" s="203">
        <v>0</v>
      </c>
      <c r="I351" s="203">
        <v>0</v>
      </c>
      <c r="J351" s="699"/>
      <c r="K351" s="700"/>
      <c r="L351" s="700"/>
      <c r="M351" s="700"/>
      <c r="N351" s="700"/>
      <c r="O351" s="700"/>
    </row>
    <row r="352" spans="1:17" s="212" customFormat="1" ht="39.75" customHeight="1">
      <c r="A352" s="210" t="s">
        <v>180</v>
      </c>
      <c r="B352" s="216" t="s">
        <v>29</v>
      </c>
      <c r="C352" s="203">
        <f t="shared" si="82"/>
        <v>33672.75</v>
      </c>
      <c r="D352" s="203">
        <f>2.57+28.08+81.07</f>
        <v>111.72</v>
      </c>
      <c r="E352" s="261">
        <v>0</v>
      </c>
      <c r="F352" s="203">
        <f>15572.84+100</f>
        <v>15672.84</v>
      </c>
      <c r="G352" s="203">
        <v>17888.189999999999</v>
      </c>
      <c r="H352" s="203">
        <v>0</v>
      </c>
      <c r="I352" s="203">
        <v>0</v>
      </c>
      <c r="J352" s="712" t="s">
        <v>181</v>
      </c>
      <c r="K352" s="713"/>
      <c r="L352" s="713"/>
      <c r="M352" s="713"/>
      <c r="N352" s="713"/>
      <c r="O352" s="713"/>
      <c r="P352" s="713"/>
    </row>
    <row r="353" spans="1:17" s="249" customFormat="1" ht="15.75" customHeight="1">
      <c r="A353" s="202"/>
      <c r="B353" s="217" t="s">
        <v>30</v>
      </c>
      <c r="C353" s="203">
        <f t="shared" si="82"/>
        <v>33672.75</v>
      </c>
      <c r="D353" s="203">
        <f>2.57+28.08+81.07</f>
        <v>111.72</v>
      </c>
      <c r="E353" s="261">
        <v>0</v>
      </c>
      <c r="F353" s="203">
        <f>15572.84+100</f>
        <v>15672.84</v>
      </c>
      <c r="G353" s="203">
        <v>17888.189999999999</v>
      </c>
      <c r="H353" s="203">
        <v>0</v>
      </c>
      <c r="I353" s="203">
        <v>0</v>
      </c>
      <c r="J353" s="714"/>
      <c r="K353" s="713"/>
      <c r="L353" s="713"/>
      <c r="M353" s="713"/>
      <c r="N353" s="713"/>
      <c r="O353" s="713"/>
      <c r="P353" s="713"/>
    </row>
    <row r="354" spans="1:17" s="253" customFormat="1" ht="28.5" customHeight="1">
      <c r="A354" s="349" t="s">
        <v>182</v>
      </c>
      <c r="B354" s="216" t="s">
        <v>29</v>
      </c>
      <c r="C354" s="203">
        <f t="shared" si="82"/>
        <v>25374.57</v>
      </c>
      <c r="D354" s="203">
        <f>1.05+200.69+0.58</f>
        <v>202.32000000000002</v>
      </c>
      <c r="E354" s="261">
        <v>400</v>
      </c>
      <c r="F354" s="203">
        <v>11699.76</v>
      </c>
      <c r="G354" s="203">
        <f>1098.74+11973.75</f>
        <v>13072.49</v>
      </c>
      <c r="H354" s="203">
        <v>0</v>
      </c>
      <c r="I354" s="203">
        <v>0</v>
      </c>
      <c r="K354" s="619" t="s">
        <v>183</v>
      </c>
      <c r="L354" s="619"/>
      <c r="M354" s="619"/>
      <c r="N354" s="619"/>
      <c r="O354" s="619"/>
      <c r="P354" s="619"/>
      <c r="Q354" s="619"/>
    </row>
    <row r="355" spans="1:17" s="249" customFormat="1" ht="15.75" customHeight="1">
      <c r="A355" s="202"/>
      <c r="B355" s="217" t="s">
        <v>30</v>
      </c>
      <c r="C355" s="203">
        <f t="shared" si="82"/>
        <v>25374.57</v>
      </c>
      <c r="D355" s="203">
        <f>1.05+200.69+0.58</f>
        <v>202.32000000000002</v>
      </c>
      <c r="E355" s="261">
        <v>400</v>
      </c>
      <c r="F355" s="203">
        <v>11699.76</v>
      </c>
      <c r="G355" s="203">
        <f>1098.74+11973.75</f>
        <v>13072.49</v>
      </c>
      <c r="H355" s="203">
        <v>0</v>
      </c>
      <c r="I355" s="203">
        <v>0</v>
      </c>
    </row>
    <row r="356" spans="1:17" s="253" customFormat="1" ht="27" customHeight="1">
      <c r="A356" s="349" t="s">
        <v>184</v>
      </c>
      <c r="B356" s="216" t="s">
        <v>29</v>
      </c>
      <c r="C356" s="203">
        <f t="shared" si="82"/>
        <v>82720.52</v>
      </c>
      <c r="D356" s="203">
        <v>2844.09</v>
      </c>
      <c r="E356" s="261">
        <f>105+1195</f>
        <v>1300</v>
      </c>
      <c r="F356" s="203">
        <f>42999.74+4595</f>
        <v>47594.74</v>
      </c>
      <c r="G356" s="203">
        <f>27876.69+3105</f>
        <v>30981.69</v>
      </c>
      <c r="H356" s="203">
        <v>0</v>
      </c>
      <c r="I356" s="203">
        <v>0</v>
      </c>
      <c r="K356" s="619" t="s">
        <v>185</v>
      </c>
      <c r="L356" s="619"/>
      <c r="M356" s="619"/>
      <c r="N356" s="619"/>
      <c r="O356" s="619"/>
      <c r="P356" s="619"/>
    </row>
    <row r="357" spans="1:17" s="27" customFormat="1" ht="15.75" customHeight="1">
      <c r="A357" s="202"/>
      <c r="B357" s="217" t="s">
        <v>30</v>
      </c>
      <c r="C357" s="203">
        <f t="shared" si="82"/>
        <v>82720.52</v>
      </c>
      <c r="D357" s="203">
        <v>2844.09</v>
      </c>
      <c r="E357" s="261">
        <f>105+1195</f>
        <v>1300</v>
      </c>
      <c r="F357" s="203">
        <f>42999.74+4595</f>
        <v>47594.74</v>
      </c>
      <c r="G357" s="203">
        <f>27876.69+3105</f>
        <v>30981.69</v>
      </c>
      <c r="H357" s="203">
        <v>0</v>
      </c>
      <c r="I357" s="203">
        <v>0</v>
      </c>
    </row>
    <row r="358" spans="1:17" s="212" customFormat="1" ht="40.5" customHeight="1">
      <c r="A358" s="351" t="s">
        <v>186</v>
      </c>
      <c r="B358" s="216" t="s">
        <v>29</v>
      </c>
      <c r="C358" s="203">
        <f t="shared" si="82"/>
        <v>19460</v>
      </c>
      <c r="D358" s="72">
        <f>2270+17190</f>
        <v>19460</v>
      </c>
      <c r="E358" s="261">
        <v>0</v>
      </c>
      <c r="F358" s="203">
        <v>0</v>
      </c>
      <c r="G358" s="203">
        <v>0</v>
      </c>
      <c r="H358" s="203">
        <v>0</v>
      </c>
      <c r="I358" s="203">
        <v>0</v>
      </c>
      <c r="J358" s="693" t="s">
        <v>187</v>
      </c>
      <c r="K358" s="694"/>
      <c r="L358" s="694"/>
      <c r="M358" s="694"/>
      <c r="N358" s="694"/>
      <c r="O358" s="694"/>
    </row>
    <row r="359" spans="1:17" s="27" customFormat="1" ht="15.75" customHeight="1">
      <c r="A359" s="202" t="s">
        <v>131</v>
      </c>
      <c r="B359" s="217" t="s">
        <v>30</v>
      </c>
      <c r="C359" s="72">
        <f>D359+E359+F359+G359+H359+I359</f>
        <v>19460</v>
      </c>
      <c r="D359" s="72">
        <f>2270+17190</f>
        <v>19460</v>
      </c>
      <c r="E359" s="266">
        <v>0</v>
      </c>
      <c r="F359" s="64">
        <v>0</v>
      </c>
      <c r="G359" s="72">
        <v>0</v>
      </c>
      <c r="H359" s="72">
        <v>0</v>
      </c>
      <c r="I359" s="72">
        <v>0</v>
      </c>
      <c r="J359" s="693"/>
      <c r="K359" s="694"/>
      <c r="L359" s="694"/>
      <c r="M359" s="694"/>
      <c r="N359" s="694"/>
      <c r="O359" s="694"/>
    </row>
    <row r="360" spans="1:17" s="253" customFormat="1" ht="38.25" customHeight="1">
      <c r="A360" s="210" t="s">
        <v>188</v>
      </c>
      <c r="B360" s="216" t="s">
        <v>29</v>
      </c>
      <c r="C360" s="203">
        <f t="shared" ref="C360:C364" si="83">D360+E360+F360+G360+H360+I360</f>
        <v>4145.3500000000004</v>
      </c>
      <c r="D360" s="72">
        <f>16.71+3450.63</f>
        <v>3467.34</v>
      </c>
      <c r="E360" s="266">
        <v>0</v>
      </c>
      <c r="F360" s="203">
        <v>0</v>
      </c>
      <c r="G360" s="203">
        <v>0</v>
      </c>
      <c r="H360" s="203">
        <v>0</v>
      </c>
      <c r="I360" s="72">
        <v>678.01</v>
      </c>
      <c r="J360" s="715" t="s">
        <v>189</v>
      </c>
      <c r="K360" s="716"/>
      <c r="L360" s="716"/>
      <c r="M360" s="716"/>
      <c r="N360" s="716"/>
      <c r="O360" s="716"/>
    </row>
    <row r="361" spans="1:17" s="27" customFormat="1" ht="15.75" customHeight="1">
      <c r="A361" s="202" t="s">
        <v>131</v>
      </c>
      <c r="B361" s="217" t="s">
        <v>30</v>
      </c>
      <c r="C361" s="72">
        <f t="shared" si="83"/>
        <v>4145.3500000000004</v>
      </c>
      <c r="D361" s="72">
        <f>16.71+3450.63</f>
        <v>3467.34</v>
      </c>
      <c r="E361" s="266">
        <v>0</v>
      </c>
      <c r="F361" s="72">
        <v>0</v>
      </c>
      <c r="G361" s="72">
        <v>0</v>
      </c>
      <c r="H361" s="72">
        <v>0</v>
      </c>
      <c r="I361" s="72">
        <v>678.01</v>
      </c>
      <c r="J361" s="715"/>
      <c r="K361" s="716"/>
      <c r="L361" s="716"/>
      <c r="M361" s="716"/>
      <c r="N361" s="716"/>
      <c r="O361" s="716"/>
    </row>
    <row r="362" spans="1:17" s="253" customFormat="1" ht="39.75" customHeight="1">
      <c r="A362" s="424" t="s">
        <v>190</v>
      </c>
      <c r="B362" s="216" t="s">
        <v>29</v>
      </c>
      <c r="C362" s="203">
        <f t="shared" si="83"/>
        <v>7937.0300000000007</v>
      </c>
      <c r="D362" s="203">
        <f>19.25+30.94+696.49</f>
        <v>746.68000000000006</v>
      </c>
      <c r="E362" s="261">
        <v>110</v>
      </c>
      <c r="F362" s="203">
        <f>7090.35-10</f>
        <v>7080.35</v>
      </c>
      <c r="G362" s="203">
        <v>0</v>
      </c>
      <c r="H362" s="203">
        <v>0</v>
      </c>
      <c r="I362" s="203">
        <v>0</v>
      </c>
      <c r="J362" s="707" t="s">
        <v>191</v>
      </c>
      <c r="K362" s="708"/>
      <c r="L362" s="708"/>
      <c r="M362" s="708"/>
      <c r="N362" s="708"/>
      <c r="O362" s="708"/>
    </row>
    <row r="363" spans="1:17" s="27" customFormat="1" ht="15.75" customHeight="1">
      <c r="A363" s="202"/>
      <c r="B363" s="217" t="s">
        <v>30</v>
      </c>
      <c r="C363" s="203">
        <f t="shared" si="83"/>
        <v>7937.0300000000007</v>
      </c>
      <c r="D363" s="203">
        <f>19.25+30.94+696.49</f>
        <v>746.68000000000006</v>
      </c>
      <c r="E363" s="261">
        <v>110</v>
      </c>
      <c r="F363" s="203">
        <f>7090.35-10</f>
        <v>7080.35</v>
      </c>
      <c r="G363" s="203">
        <v>0</v>
      </c>
      <c r="H363" s="203">
        <v>0</v>
      </c>
      <c r="I363" s="203">
        <v>0</v>
      </c>
      <c r="J363" s="707"/>
      <c r="K363" s="708"/>
      <c r="L363" s="708"/>
      <c r="M363" s="708"/>
      <c r="N363" s="708"/>
      <c r="O363" s="708"/>
    </row>
    <row r="364" spans="1:17" s="253" customFormat="1" ht="26.25" customHeight="1">
      <c r="A364" s="425" t="s">
        <v>192</v>
      </c>
      <c r="B364" s="216" t="s">
        <v>29</v>
      </c>
      <c r="C364" s="203">
        <f t="shared" si="83"/>
        <v>3234.45</v>
      </c>
      <c r="D364" s="203">
        <f>2710+24.81</f>
        <v>2734.81</v>
      </c>
      <c r="E364" s="261">
        <v>0</v>
      </c>
      <c r="F364" s="203">
        <v>0</v>
      </c>
      <c r="G364" s="203">
        <v>0</v>
      </c>
      <c r="H364" s="203">
        <v>0</v>
      </c>
      <c r="I364" s="203">
        <v>499.64</v>
      </c>
      <c r="J364" s="699" t="s">
        <v>193</v>
      </c>
      <c r="K364" s="700"/>
      <c r="L364" s="700"/>
      <c r="M364" s="700"/>
      <c r="N364" s="700"/>
      <c r="O364" s="700"/>
    </row>
    <row r="365" spans="1:17" s="249" customFormat="1" ht="15.75" customHeight="1">
      <c r="A365" s="202" t="s">
        <v>131</v>
      </c>
      <c r="B365" s="217" t="s">
        <v>30</v>
      </c>
      <c r="C365" s="203">
        <f>D365+E365+F365+G365+H365+I365</f>
        <v>3234.45</v>
      </c>
      <c r="D365" s="203">
        <f>2710+24.81</f>
        <v>2734.81</v>
      </c>
      <c r="E365" s="261">
        <v>0</v>
      </c>
      <c r="F365" s="203">
        <v>0</v>
      </c>
      <c r="G365" s="203">
        <v>0</v>
      </c>
      <c r="H365" s="203">
        <v>0</v>
      </c>
      <c r="I365" s="203">
        <v>499.64</v>
      </c>
      <c r="J365" s="699"/>
      <c r="K365" s="700"/>
      <c r="L365" s="700"/>
      <c r="M365" s="700"/>
      <c r="N365" s="700"/>
      <c r="O365" s="700"/>
    </row>
    <row r="366" spans="1:17" s="212" customFormat="1" ht="119.25" customHeight="1">
      <c r="A366" s="424" t="s">
        <v>194</v>
      </c>
      <c r="B366" s="216" t="s">
        <v>29</v>
      </c>
      <c r="C366" s="203">
        <f t="shared" ref="C366:C368" si="84">D366+E366+F366+G366+H366+I366</f>
        <v>50069.25</v>
      </c>
      <c r="D366" s="203">
        <f>516.85+320.58</f>
        <v>837.43000000000006</v>
      </c>
      <c r="E366" s="261">
        <v>0</v>
      </c>
      <c r="F366" s="203">
        <v>24276.2</v>
      </c>
      <c r="G366" s="203">
        <f>24855.62+100</f>
        <v>24955.62</v>
      </c>
      <c r="H366" s="203">
        <v>0</v>
      </c>
      <c r="I366" s="203">
        <v>0</v>
      </c>
      <c r="J366" s="595" t="s">
        <v>195</v>
      </c>
      <c r="K366" s="598"/>
      <c r="L366" s="598"/>
      <c r="M366" s="598"/>
      <c r="N366" s="598"/>
      <c r="O366" s="598"/>
    </row>
    <row r="367" spans="1:17" s="27" customFormat="1" ht="15.75" customHeight="1">
      <c r="A367" s="202"/>
      <c r="B367" s="217" t="s">
        <v>30</v>
      </c>
      <c r="C367" s="72">
        <f t="shared" si="84"/>
        <v>50069.25</v>
      </c>
      <c r="D367" s="72">
        <f>516.85+320.58</f>
        <v>837.43000000000006</v>
      </c>
      <c r="E367" s="266">
        <v>0</v>
      </c>
      <c r="F367" s="72">
        <v>24276.2</v>
      </c>
      <c r="G367" s="72">
        <f>24855.62+100</f>
        <v>24955.62</v>
      </c>
      <c r="H367" s="72">
        <v>0</v>
      </c>
      <c r="I367" s="72">
        <v>0</v>
      </c>
    </row>
    <row r="368" spans="1:17" s="212" customFormat="1" ht="26.25" customHeight="1">
      <c r="A368" s="426" t="s">
        <v>196</v>
      </c>
      <c r="B368" s="216" t="s">
        <v>29</v>
      </c>
      <c r="C368" s="203">
        <f t="shared" si="84"/>
        <v>19631.43</v>
      </c>
      <c r="D368" s="203">
        <f>13430.31+108.58</f>
        <v>13538.89</v>
      </c>
      <c r="E368" s="261">
        <v>0</v>
      </c>
      <c r="F368" s="203">
        <v>0</v>
      </c>
      <c r="G368" s="427">
        <v>0</v>
      </c>
      <c r="H368" s="203">
        <v>0</v>
      </c>
      <c r="I368" s="203">
        <f>19631.43-13430.31-150-3631.43+3672.84+0.01</f>
        <v>6092.5400000000009</v>
      </c>
      <c r="J368" s="709" t="s">
        <v>197</v>
      </c>
      <c r="K368" s="710"/>
      <c r="L368" s="710"/>
      <c r="M368" s="710"/>
      <c r="N368" s="710"/>
      <c r="O368" s="710"/>
    </row>
    <row r="369" spans="1:15" s="213" customFormat="1" ht="15.75" customHeight="1">
      <c r="A369" s="202" t="s">
        <v>131</v>
      </c>
      <c r="B369" s="217" t="s">
        <v>30</v>
      </c>
      <c r="C369" s="203">
        <f>D369+E369+F369+G369+H369+I369</f>
        <v>19631.43</v>
      </c>
      <c r="D369" s="203">
        <f>13430.31+108.58</f>
        <v>13538.89</v>
      </c>
      <c r="E369" s="261">
        <v>0</v>
      </c>
      <c r="F369" s="203">
        <v>0</v>
      </c>
      <c r="G369" s="427">
        <v>0</v>
      </c>
      <c r="H369" s="203">
        <v>0</v>
      </c>
      <c r="I369" s="203">
        <f>19631.43-13430.31-150-3631.43+3672.84+0.01</f>
        <v>6092.5400000000009</v>
      </c>
      <c r="J369" s="709"/>
      <c r="K369" s="710"/>
      <c r="L369" s="710"/>
      <c r="M369" s="710"/>
      <c r="N369" s="710"/>
      <c r="O369" s="710"/>
    </row>
    <row r="370" spans="1:15" s="253" customFormat="1" ht="69" customHeight="1">
      <c r="A370" s="428" t="s">
        <v>198</v>
      </c>
      <c r="B370" s="216" t="s">
        <v>29</v>
      </c>
      <c r="C370" s="203">
        <f t="shared" ref="C370" si="85">D370+E370+F370+G370+H370+I370</f>
        <v>2605.33</v>
      </c>
      <c r="D370" s="203">
        <v>2605.33</v>
      </c>
      <c r="E370" s="261">
        <v>0</v>
      </c>
      <c r="F370" s="203">
        <v>0</v>
      </c>
      <c r="G370" s="203">
        <v>0</v>
      </c>
      <c r="H370" s="203">
        <v>0</v>
      </c>
      <c r="I370" s="203">
        <v>0</v>
      </c>
      <c r="J370" s="691" t="s">
        <v>199</v>
      </c>
      <c r="K370" s="692"/>
      <c r="L370" s="692"/>
      <c r="M370" s="692"/>
      <c r="N370" s="692"/>
      <c r="O370" s="692"/>
    </row>
    <row r="371" spans="1:15" s="249" customFormat="1" ht="15.75" customHeight="1">
      <c r="A371" s="202" t="s">
        <v>131</v>
      </c>
      <c r="B371" s="217" t="s">
        <v>30</v>
      </c>
      <c r="C371" s="203">
        <f>D371+E371+F371+G371+H371+I371</f>
        <v>2605.33</v>
      </c>
      <c r="D371" s="203">
        <v>2605.33</v>
      </c>
      <c r="E371" s="261">
        <v>0</v>
      </c>
      <c r="F371" s="203">
        <v>0</v>
      </c>
      <c r="G371" s="203">
        <v>0</v>
      </c>
      <c r="H371" s="203">
        <v>0</v>
      </c>
      <c r="I371" s="203">
        <v>0</v>
      </c>
      <c r="J371" s="691"/>
      <c r="K371" s="692"/>
      <c r="L371" s="692"/>
      <c r="M371" s="692"/>
      <c r="N371" s="692"/>
      <c r="O371" s="692"/>
    </row>
    <row r="372" spans="1:15" s="212" customFormat="1" ht="40.5" customHeight="1">
      <c r="A372" s="429" t="s">
        <v>200</v>
      </c>
      <c r="B372" s="216" t="s">
        <v>29</v>
      </c>
      <c r="C372" s="203">
        <f t="shared" ref="C372:C376" si="86">D372+E372+F372+G372+H372+I372</f>
        <v>5707.18</v>
      </c>
      <c r="D372" s="203">
        <f>350.8+4890.34</f>
        <v>5241.1400000000003</v>
      </c>
      <c r="E372" s="261">
        <v>458</v>
      </c>
      <c r="F372" s="203">
        <v>0</v>
      </c>
      <c r="G372" s="427">
        <v>0</v>
      </c>
      <c r="H372" s="203">
        <v>8.0399999999999991</v>
      </c>
      <c r="I372" s="203">
        <v>0</v>
      </c>
      <c r="J372" s="695" t="s">
        <v>201</v>
      </c>
      <c r="K372" s="696"/>
      <c r="L372" s="696"/>
      <c r="M372" s="696"/>
      <c r="N372" s="696"/>
      <c r="O372" s="696"/>
    </row>
    <row r="373" spans="1:15" s="213" customFormat="1" ht="15.75" customHeight="1">
      <c r="A373" s="215" t="s">
        <v>131</v>
      </c>
      <c r="B373" s="226" t="s">
        <v>30</v>
      </c>
      <c r="C373" s="240">
        <f t="shared" si="86"/>
        <v>5707.18</v>
      </c>
      <c r="D373" s="240">
        <f>350.8+4890.34</f>
        <v>5241.1400000000003</v>
      </c>
      <c r="E373" s="264">
        <v>458</v>
      </c>
      <c r="F373" s="240">
        <v>0</v>
      </c>
      <c r="G373" s="320">
        <v>0</v>
      </c>
      <c r="H373" s="240">
        <v>8.0399999999999991</v>
      </c>
      <c r="I373" s="240">
        <v>0</v>
      </c>
      <c r="J373" s="695"/>
      <c r="K373" s="696"/>
      <c r="L373" s="696"/>
      <c r="M373" s="696"/>
      <c r="N373" s="696"/>
      <c r="O373" s="696"/>
    </row>
    <row r="374" spans="1:15" s="253" customFormat="1" ht="42" customHeight="1">
      <c r="A374" s="430" t="s">
        <v>202</v>
      </c>
      <c r="B374" s="216" t="s">
        <v>29</v>
      </c>
      <c r="C374" s="203">
        <f t="shared" si="86"/>
        <v>23004</v>
      </c>
      <c r="D374" s="203">
        <v>132.56</v>
      </c>
      <c r="E374" s="261">
        <v>0</v>
      </c>
      <c r="F374" s="203">
        <v>13004</v>
      </c>
      <c r="G374" s="203">
        <v>0</v>
      </c>
      <c r="H374" s="203">
        <v>0</v>
      </c>
      <c r="I374" s="203">
        <f>4550+172+4350+795.44</f>
        <v>9867.44</v>
      </c>
      <c r="J374" s="691" t="s">
        <v>203</v>
      </c>
      <c r="K374" s="692"/>
      <c r="L374" s="692"/>
      <c r="M374" s="692"/>
      <c r="N374" s="692"/>
      <c r="O374" s="692"/>
    </row>
    <row r="375" spans="1:15" s="249" customFormat="1" ht="15.75" customHeight="1">
      <c r="A375" s="202"/>
      <c r="B375" s="217" t="s">
        <v>30</v>
      </c>
      <c r="C375" s="203">
        <f t="shared" si="86"/>
        <v>23004</v>
      </c>
      <c r="D375" s="203">
        <v>132.56</v>
      </c>
      <c r="E375" s="261">
        <v>0</v>
      </c>
      <c r="F375" s="203">
        <v>13004</v>
      </c>
      <c r="G375" s="203">
        <v>0</v>
      </c>
      <c r="H375" s="203">
        <v>0</v>
      </c>
      <c r="I375" s="203">
        <f>4550+172+4350+795.44</f>
        <v>9867.44</v>
      </c>
      <c r="J375" s="691"/>
      <c r="K375" s="692"/>
      <c r="L375" s="692"/>
      <c r="M375" s="692"/>
      <c r="N375" s="692"/>
      <c r="O375" s="692"/>
    </row>
    <row r="376" spans="1:15" s="253" customFormat="1" ht="30.75" customHeight="1">
      <c r="A376" s="426" t="s">
        <v>204</v>
      </c>
      <c r="B376" s="216" t="s">
        <v>29</v>
      </c>
      <c r="C376" s="203">
        <f t="shared" si="86"/>
        <v>10134</v>
      </c>
      <c r="D376" s="203">
        <v>7903.14</v>
      </c>
      <c r="E376" s="261">
        <v>200</v>
      </c>
      <c r="F376" s="203">
        <f>10134-6000-2050-200+146.86</f>
        <v>2030.8600000000001</v>
      </c>
      <c r="G376" s="203">
        <v>0</v>
      </c>
      <c r="H376" s="203">
        <v>0</v>
      </c>
      <c r="I376" s="203">
        <v>0</v>
      </c>
      <c r="J376" s="606" t="s">
        <v>205</v>
      </c>
      <c r="K376" s="607"/>
      <c r="L376" s="607"/>
      <c r="M376" s="607"/>
      <c r="N376" s="607"/>
      <c r="O376" s="607"/>
    </row>
    <row r="377" spans="1:15" s="213" customFormat="1" ht="15.75" customHeight="1">
      <c r="A377" s="202" t="s">
        <v>131</v>
      </c>
      <c r="B377" s="217" t="s">
        <v>30</v>
      </c>
      <c r="C377" s="203">
        <f>D377+E377+F377+G377+H377+I377</f>
        <v>10134</v>
      </c>
      <c r="D377" s="203">
        <v>7903.14</v>
      </c>
      <c r="E377" s="261">
        <v>200</v>
      </c>
      <c r="F377" s="72">
        <f>10134-6000-2050-200+146.86</f>
        <v>2030.8600000000001</v>
      </c>
      <c r="G377" s="203">
        <v>0</v>
      </c>
      <c r="H377" s="203">
        <v>0</v>
      </c>
      <c r="I377" s="203">
        <v>0</v>
      </c>
      <c r="J377" s="606"/>
      <c r="K377" s="607"/>
      <c r="L377" s="607"/>
      <c r="M377" s="607"/>
      <c r="N377" s="607"/>
      <c r="O377" s="607"/>
    </row>
    <row r="378" spans="1:15">
      <c r="A378" s="292" t="s">
        <v>44</v>
      </c>
      <c r="B378" s="189" t="s">
        <v>29</v>
      </c>
      <c r="C378" s="190">
        <f t="shared" si="82"/>
        <v>30750.35</v>
      </c>
      <c r="D378" s="190">
        <f>D380</f>
        <v>30138.442999999999</v>
      </c>
      <c r="E378" s="190">
        <f t="shared" ref="E378:I379" si="87">E380</f>
        <v>0</v>
      </c>
      <c r="F378" s="190">
        <f t="shared" si="87"/>
        <v>0</v>
      </c>
      <c r="G378" s="190">
        <f t="shared" si="87"/>
        <v>0</v>
      </c>
      <c r="H378" s="190">
        <f t="shared" si="87"/>
        <v>0</v>
      </c>
      <c r="I378" s="190">
        <f t="shared" si="87"/>
        <v>611.90699999999981</v>
      </c>
    </row>
    <row r="379" spans="1:15">
      <c r="A379" s="44" t="s">
        <v>48</v>
      </c>
      <c r="B379" s="191" t="s">
        <v>30</v>
      </c>
      <c r="C379" s="190">
        <f t="shared" si="82"/>
        <v>30750.35</v>
      </c>
      <c r="D379" s="190">
        <f>D381</f>
        <v>30138.442999999999</v>
      </c>
      <c r="E379" s="190">
        <f t="shared" si="87"/>
        <v>0</v>
      </c>
      <c r="F379" s="190">
        <f t="shared" si="87"/>
        <v>0</v>
      </c>
      <c r="G379" s="190">
        <f t="shared" si="87"/>
        <v>0</v>
      </c>
      <c r="H379" s="190">
        <f t="shared" si="87"/>
        <v>0</v>
      </c>
      <c r="I379" s="190">
        <f t="shared" si="87"/>
        <v>611.90699999999981</v>
      </c>
    </row>
    <row r="380" spans="1:15">
      <c r="A380" s="75" t="s">
        <v>58</v>
      </c>
      <c r="B380" s="189" t="s">
        <v>29</v>
      </c>
      <c r="C380" s="190">
        <f t="shared" si="82"/>
        <v>30750.35</v>
      </c>
      <c r="D380" s="190">
        <f>D382+D384+D386</f>
        <v>30138.442999999999</v>
      </c>
      <c r="E380" s="190">
        <f t="shared" ref="E380:I381" si="88">E382+E384+E386</f>
        <v>0</v>
      </c>
      <c r="F380" s="190">
        <f t="shared" si="88"/>
        <v>0</v>
      </c>
      <c r="G380" s="190">
        <f t="shared" si="88"/>
        <v>0</v>
      </c>
      <c r="H380" s="190">
        <f t="shared" si="88"/>
        <v>0</v>
      </c>
      <c r="I380" s="190">
        <f t="shared" si="88"/>
        <v>611.90699999999981</v>
      </c>
    </row>
    <row r="381" spans="1:15">
      <c r="A381" s="44"/>
      <c r="B381" s="191" t="s">
        <v>30</v>
      </c>
      <c r="C381" s="190">
        <f t="shared" si="82"/>
        <v>30750.35</v>
      </c>
      <c r="D381" s="190">
        <f>D383+D385+D387</f>
        <v>30138.442999999999</v>
      </c>
      <c r="E381" s="190">
        <f t="shared" si="88"/>
        <v>0</v>
      </c>
      <c r="F381" s="190">
        <f t="shared" si="88"/>
        <v>0</v>
      </c>
      <c r="G381" s="190">
        <f t="shared" si="88"/>
        <v>0</v>
      </c>
      <c r="H381" s="190">
        <f t="shared" si="88"/>
        <v>0</v>
      </c>
      <c r="I381" s="190">
        <f t="shared" si="88"/>
        <v>611.90699999999981</v>
      </c>
    </row>
    <row r="382" spans="1:15" s="208" customFormat="1" ht="66" customHeight="1">
      <c r="A382" s="355" t="s">
        <v>206</v>
      </c>
      <c r="B382" s="216" t="s">
        <v>29</v>
      </c>
      <c r="C382" s="72">
        <f t="shared" si="82"/>
        <v>15018.220000000001</v>
      </c>
      <c r="D382" s="72">
        <f>5.18+14212.04+800.793</f>
        <v>15018.013000000001</v>
      </c>
      <c r="E382" s="266">
        <v>0</v>
      </c>
      <c r="F382" s="72">
        <v>0</v>
      </c>
      <c r="G382" s="72">
        <v>0</v>
      </c>
      <c r="H382" s="72">
        <v>0</v>
      </c>
      <c r="I382" s="72">
        <f>801-800.793</f>
        <v>0.20699999999999363</v>
      </c>
      <c r="J382" s="707" t="s">
        <v>207</v>
      </c>
      <c r="K382" s="708"/>
      <c r="L382" s="708"/>
      <c r="M382" s="708"/>
      <c r="N382" s="708"/>
      <c r="O382" s="708"/>
    </row>
    <row r="383" spans="1:15" s="27" customFormat="1" ht="15.75" customHeight="1">
      <c r="A383" s="202" t="s">
        <v>131</v>
      </c>
      <c r="B383" s="217" t="s">
        <v>30</v>
      </c>
      <c r="C383" s="72">
        <f t="shared" si="82"/>
        <v>15018.220000000001</v>
      </c>
      <c r="D383" s="72">
        <f>5.18+14212.04+800.793</f>
        <v>15018.013000000001</v>
      </c>
      <c r="E383" s="266">
        <v>0</v>
      </c>
      <c r="F383" s="72">
        <v>0</v>
      </c>
      <c r="G383" s="72">
        <v>0</v>
      </c>
      <c r="H383" s="72">
        <v>0</v>
      </c>
      <c r="I383" s="72">
        <f>801-800.793</f>
        <v>0.20699999999999363</v>
      </c>
      <c r="J383" s="707"/>
      <c r="K383" s="708"/>
      <c r="L383" s="708"/>
      <c r="M383" s="708"/>
      <c r="N383" s="708"/>
      <c r="O383" s="708"/>
    </row>
    <row r="384" spans="1:15" s="253" customFormat="1" ht="30.75" customHeight="1">
      <c r="A384" s="355" t="s">
        <v>208</v>
      </c>
      <c r="B384" s="216" t="s">
        <v>29</v>
      </c>
      <c r="C384" s="203">
        <f t="shared" si="82"/>
        <v>8200.1299999999992</v>
      </c>
      <c r="D384" s="72">
        <f>0.94+7569.19+18.5</f>
        <v>7588.6299999999992</v>
      </c>
      <c r="E384" s="266">
        <v>0</v>
      </c>
      <c r="F384" s="203">
        <v>0</v>
      </c>
      <c r="G384" s="203">
        <v>0</v>
      </c>
      <c r="H384" s="203">
        <v>0</v>
      </c>
      <c r="I384" s="72">
        <f>611+0.5</f>
        <v>611.5</v>
      </c>
      <c r="J384" s="707" t="s">
        <v>197</v>
      </c>
      <c r="K384" s="708"/>
      <c r="L384" s="708"/>
      <c r="M384" s="708"/>
      <c r="N384" s="708"/>
      <c r="O384" s="708"/>
    </row>
    <row r="385" spans="1:15" s="27" customFormat="1" ht="15.75" customHeight="1">
      <c r="A385" s="202" t="s">
        <v>131</v>
      </c>
      <c r="B385" s="217" t="s">
        <v>30</v>
      </c>
      <c r="C385" s="72">
        <f t="shared" si="82"/>
        <v>8200.1299999999992</v>
      </c>
      <c r="D385" s="72">
        <f>0.94+7569.19+18.5</f>
        <v>7588.6299999999992</v>
      </c>
      <c r="E385" s="266">
        <v>0</v>
      </c>
      <c r="F385" s="72">
        <v>0</v>
      </c>
      <c r="G385" s="72">
        <v>0</v>
      </c>
      <c r="H385" s="72">
        <v>0</v>
      </c>
      <c r="I385" s="72">
        <f>611+0.5</f>
        <v>611.5</v>
      </c>
      <c r="J385" s="707"/>
      <c r="K385" s="708"/>
      <c r="L385" s="708"/>
      <c r="M385" s="708"/>
      <c r="N385" s="708"/>
      <c r="O385" s="708"/>
    </row>
    <row r="386" spans="1:15" s="208" customFormat="1" ht="42" customHeight="1">
      <c r="A386" s="431" t="s">
        <v>209</v>
      </c>
      <c r="B386" s="24" t="s">
        <v>29</v>
      </c>
      <c r="C386" s="72">
        <f t="shared" ref="C386:C387" si="89">D386+E386+F386+G386+H386+I386</f>
        <v>7532</v>
      </c>
      <c r="D386" s="72">
        <v>7531.8</v>
      </c>
      <c r="E386" s="266">
        <v>0</v>
      </c>
      <c r="F386" s="72">
        <v>0</v>
      </c>
      <c r="G386" s="72">
        <v>0</v>
      </c>
      <c r="H386" s="72">
        <v>0</v>
      </c>
      <c r="I386" s="72">
        <f>7532-7531.8</f>
        <v>0.1999999999998181</v>
      </c>
      <c r="J386" s="707"/>
      <c r="K386" s="708"/>
      <c r="L386" s="708"/>
      <c r="M386" s="708"/>
      <c r="N386" s="708"/>
      <c r="O386" s="708"/>
    </row>
    <row r="387" spans="1:15" s="27" customFormat="1" ht="15.75" customHeight="1">
      <c r="A387" s="202" t="s">
        <v>131</v>
      </c>
      <c r="B387" s="217" t="s">
        <v>30</v>
      </c>
      <c r="C387" s="72">
        <f t="shared" si="89"/>
        <v>7532</v>
      </c>
      <c r="D387" s="72">
        <v>7531.8</v>
      </c>
      <c r="E387" s="266">
        <v>0</v>
      </c>
      <c r="F387" s="72">
        <v>0</v>
      </c>
      <c r="G387" s="72">
        <v>0</v>
      </c>
      <c r="H387" s="72">
        <v>0</v>
      </c>
      <c r="I387" s="72">
        <f>7532-7531.8</f>
        <v>0.1999999999998181</v>
      </c>
      <c r="J387" s="707"/>
      <c r="K387" s="708"/>
      <c r="L387" s="708"/>
      <c r="M387" s="708"/>
      <c r="N387" s="708"/>
      <c r="O387" s="708"/>
    </row>
    <row r="388" spans="1:15">
      <c r="A388" s="657" t="s">
        <v>210</v>
      </c>
      <c r="B388" s="659"/>
      <c r="C388" s="659"/>
      <c r="D388" s="659"/>
      <c r="E388" s="659"/>
      <c r="F388" s="659"/>
      <c r="G388" s="659"/>
      <c r="H388" s="659"/>
      <c r="I388" s="660"/>
    </row>
    <row r="389" spans="1:15">
      <c r="A389" s="703" t="s">
        <v>54</v>
      </c>
      <c r="B389" s="704"/>
      <c r="C389" s="704"/>
      <c r="D389" s="704"/>
      <c r="E389" s="704"/>
      <c r="F389" s="704"/>
      <c r="G389" s="704"/>
      <c r="H389" s="704"/>
      <c r="I389" s="705"/>
    </row>
    <row r="390" spans="1:15">
      <c r="A390" s="93" t="s">
        <v>28</v>
      </c>
      <c r="B390" s="90" t="s">
        <v>29</v>
      </c>
      <c r="C390" s="125">
        <f t="shared" ref="C390:C407" si="90">D390+E390+F390+G390+H390+I390</f>
        <v>283841.06199999998</v>
      </c>
      <c r="D390" s="125">
        <f>D392+D400</f>
        <v>705.02600000000007</v>
      </c>
      <c r="E390" s="125">
        <f t="shared" ref="E390:I391" si="91">E392+E400</f>
        <v>61019</v>
      </c>
      <c r="F390" s="125">
        <f t="shared" si="91"/>
        <v>75360.600000000006</v>
      </c>
      <c r="G390" s="125">
        <f t="shared" si="91"/>
        <v>56693.5</v>
      </c>
      <c r="H390" s="125">
        <f t="shared" si="91"/>
        <v>52706.45</v>
      </c>
      <c r="I390" s="125">
        <f t="shared" si="91"/>
        <v>37356.485999999997</v>
      </c>
    </row>
    <row r="391" spans="1:15">
      <c r="A391" s="93"/>
      <c r="B391" s="90" t="s">
        <v>30</v>
      </c>
      <c r="C391" s="125">
        <f t="shared" si="90"/>
        <v>283841.06199999998</v>
      </c>
      <c r="D391" s="125">
        <f>D393+D401</f>
        <v>705.02600000000007</v>
      </c>
      <c r="E391" s="125">
        <f t="shared" si="91"/>
        <v>61019</v>
      </c>
      <c r="F391" s="125">
        <f t="shared" si="91"/>
        <v>75360.600000000006</v>
      </c>
      <c r="G391" s="125">
        <f t="shared" si="91"/>
        <v>56693.5</v>
      </c>
      <c r="H391" s="125">
        <f t="shared" si="91"/>
        <v>52706.45</v>
      </c>
      <c r="I391" s="125">
        <f t="shared" si="91"/>
        <v>37356.485999999997</v>
      </c>
    </row>
    <row r="392" spans="1:15">
      <c r="A392" s="47" t="s">
        <v>60</v>
      </c>
      <c r="B392" s="160" t="s">
        <v>29</v>
      </c>
      <c r="C392" s="52">
        <f t="shared" si="90"/>
        <v>92566.915999999997</v>
      </c>
      <c r="D392" s="72">
        <f>D394</f>
        <v>705.02600000000007</v>
      </c>
      <c r="E392" s="72">
        <f t="shared" ref="E392:I393" si="92">E394</f>
        <v>4100</v>
      </c>
      <c r="F392" s="72">
        <f t="shared" si="92"/>
        <v>26331.57</v>
      </c>
      <c r="G392" s="72">
        <f t="shared" si="92"/>
        <v>12733.5</v>
      </c>
      <c r="H392" s="72">
        <f t="shared" si="92"/>
        <v>12460.45</v>
      </c>
      <c r="I392" s="72">
        <f t="shared" si="92"/>
        <v>36236.369999999995</v>
      </c>
    </row>
    <row r="393" spans="1:15">
      <c r="A393" s="12" t="s">
        <v>48</v>
      </c>
      <c r="B393" s="4" t="s">
        <v>30</v>
      </c>
      <c r="C393" s="52">
        <f t="shared" si="90"/>
        <v>92566.915999999997</v>
      </c>
      <c r="D393" s="72">
        <f>D395</f>
        <v>705.02600000000007</v>
      </c>
      <c r="E393" s="72">
        <f>E395</f>
        <v>4100</v>
      </c>
      <c r="F393" s="72">
        <f t="shared" si="92"/>
        <v>26331.57</v>
      </c>
      <c r="G393" s="72">
        <f t="shared" si="92"/>
        <v>12733.5</v>
      </c>
      <c r="H393" s="72">
        <f t="shared" si="92"/>
        <v>12460.45</v>
      </c>
      <c r="I393" s="72">
        <f t="shared" si="92"/>
        <v>36236.369999999995</v>
      </c>
    </row>
    <row r="394" spans="1:15" ht="12.95">
      <c r="A394" s="19" t="s">
        <v>37</v>
      </c>
      <c r="B394" s="3" t="s">
        <v>29</v>
      </c>
      <c r="C394" s="52">
        <f t="shared" si="90"/>
        <v>92566.915999999997</v>
      </c>
      <c r="D394" s="72">
        <f t="shared" ref="D394:I397" si="93">D396</f>
        <v>705.02600000000007</v>
      </c>
      <c r="E394" s="72">
        <f t="shared" si="93"/>
        <v>4100</v>
      </c>
      <c r="F394" s="72">
        <f t="shared" si="93"/>
        <v>26331.57</v>
      </c>
      <c r="G394" s="72">
        <f t="shared" si="93"/>
        <v>12733.5</v>
      </c>
      <c r="H394" s="72">
        <f t="shared" si="93"/>
        <v>12460.45</v>
      </c>
      <c r="I394" s="72">
        <f t="shared" si="93"/>
        <v>36236.369999999995</v>
      </c>
    </row>
    <row r="395" spans="1:15" ht="12.95">
      <c r="A395" s="16"/>
      <c r="B395" s="4" t="s">
        <v>30</v>
      </c>
      <c r="C395" s="52">
        <f t="shared" si="90"/>
        <v>92566.915999999997</v>
      </c>
      <c r="D395" s="72">
        <f t="shared" si="93"/>
        <v>705.02600000000007</v>
      </c>
      <c r="E395" s="72">
        <f t="shared" si="93"/>
        <v>4100</v>
      </c>
      <c r="F395" s="72">
        <f t="shared" si="93"/>
        <v>26331.57</v>
      </c>
      <c r="G395" s="72">
        <f t="shared" si="93"/>
        <v>12733.5</v>
      </c>
      <c r="H395" s="72">
        <f t="shared" si="93"/>
        <v>12460.45</v>
      </c>
      <c r="I395" s="72">
        <f t="shared" si="93"/>
        <v>36236.369999999995</v>
      </c>
    </row>
    <row r="396" spans="1:15" ht="12.95">
      <c r="A396" s="19" t="s">
        <v>50</v>
      </c>
      <c r="B396" s="160" t="s">
        <v>29</v>
      </c>
      <c r="C396" s="52">
        <f t="shared" si="90"/>
        <v>92566.915999999997</v>
      </c>
      <c r="D396" s="72">
        <f>D398</f>
        <v>705.02600000000007</v>
      </c>
      <c r="E396" s="72">
        <f t="shared" si="93"/>
        <v>4100</v>
      </c>
      <c r="F396" s="72">
        <f t="shared" si="93"/>
        <v>26331.57</v>
      </c>
      <c r="G396" s="72">
        <f t="shared" si="93"/>
        <v>12733.5</v>
      </c>
      <c r="H396" s="72">
        <f t="shared" si="93"/>
        <v>12460.45</v>
      </c>
      <c r="I396" s="72">
        <f t="shared" si="93"/>
        <v>36236.369999999995</v>
      </c>
    </row>
    <row r="397" spans="1:15">
      <c r="A397" s="10"/>
      <c r="B397" s="4" t="s">
        <v>30</v>
      </c>
      <c r="C397" s="52">
        <f t="shared" si="90"/>
        <v>92566.915999999997</v>
      </c>
      <c r="D397" s="72">
        <f>D399</f>
        <v>705.02600000000007</v>
      </c>
      <c r="E397" s="72">
        <f t="shared" si="93"/>
        <v>4100</v>
      </c>
      <c r="F397" s="72">
        <f t="shared" si="93"/>
        <v>26331.57</v>
      </c>
      <c r="G397" s="72">
        <f t="shared" si="93"/>
        <v>12733.5</v>
      </c>
      <c r="H397" s="72">
        <f t="shared" si="93"/>
        <v>12460.45</v>
      </c>
      <c r="I397" s="72">
        <f t="shared" si="93"/>
        <v>36236.369999999995</v>
      </c>
    </row>
    <row r="398" spans="1:15">
      <c r="A398" s="81" t="s">
        <v>58</v>
      </c>
      <c r="B398" s="24" t="s">
        <v>29</v>
      </c>
      <c r="C398" s="52">
        <f t="shared" si="90"/>
        <v>92566.915999999997</v>
      </c>
      <c r="D398" s="72">
        <f>D417+D466+D479</f>
        <v>705.02600000000007</v>
      </c>
      <c r="E398" s="72">
        <f t="shared" ref="E398:I398" si="94">E417+E466+E479</f>
        <v>4100</v>
      </c>
      <c r="F398" s="72">
        <f t="shared" si="94"/>
        <v>26331.57</v>
      </c>
      <c r="G398" s="72">
        <f t="shared" si="94"/>
        <v>12733.5</v>
      </c>
      <c r="H398" s="72">
        <f t="shared" si="94"/>
        <v>12460.45</v>
      </c>
      <c r="I398" s="72">
        <f t="shared" si="94"/>
        <v>36236.369999999995</v>
      </c>
    </row>
    <row r="399" spans="1:15">
      <c r="A399" s="10"/>
      <c r="B399" s="26" t="s">
        <v>30</v>
      </c>
      <c r="C399" s="52">
        <f t="shared" si="90"/>
        <v>92566.915999999997</v>
      </c>
      <c r="D399" s="72">
        <f>D418+D467+D480</f>
        <v>705.02600000000007</v>
      </c>
      <c r="E399" s="72">
        <f t="shared" ref="E399:I399" si="95">E418+E467+E480</f>
        <v>4100</v>
      </c>
      <c r="F399" s="72">
        <f t="shared" si="95"/>
        <v>26331.57</v>
      </c>
      <c r="G399" s="72">
        <f t="shared" si="95"/>
        <v>12733.5</v>
      </c>
      <c r="H399" s="72">
        <f t="shared" si="95"/>
        <v>12460.45</v>
      </c>
      <c r="I399" s="72">
        <f t="shared" si="95"/>
        <v>36236.369999999995</v>
      </c>
    </row>
    <row r="400" spans="1:15">
      <c r="A400" s="47" t="s">
        <v>88</v>
      </c>
      <c r="B400" s="160" t="s">
        <v>29</v>
      </c>
      <c r="C400" s="130">
        <f t="shared" si="90"/>
        <v>191274.14600000001</v>
      </c>
      <c r="D400" s="130">
        <f>D402</f>
        <v>0</v>
      </c>
      <c r="E400" s="130">
        <f t="shared" ref="E400:I401" si="96">E402</f>
        <v>56919</v>
      </c>
      <c r="F400" s="130">
        <f t="shared" si="96"/>
        <v>49029.03</v>
      </c>
      <c r="G400" s="130">
        <f t="shared" si="96"/>
        <v>43960</v>
      </c>
      <c r="H400" s="130">
        <f t="shared" si="96"/>
        <v>40246</v>
      </c>
      <c r="I400" s="130">
        <f t="shared" si="96"/>
        <v>1120.116</v>
      </c>
    </row>
    <row r="401" spans="1:10">
      <c r="A401" s="12" t="s">
        <v>48</v>
      </c>
      <c r="B401" s="4" t="s">
        <v>30</v>
      </c>
      <c r="C401" s="130">
        <f t="shared" si="90"/>
        <v>191274.14600000001</v>
      </c>
      <c r="D401" s="130">
        <f>D403</f>
        <v>0</v>
      </c>
      <c r="E401" s="130">
        <f t="shared" si="96"/>
        <v>56919</v>
      </c>
      <c r="F401" s="130">
        <f t="shared" si="96"/>
        <v>49029.03</v>
      </c>
      <c r="G401" s="130">
        <f t="shared" si="96"/>
        <v>43960</v>
      </c>
      <c r="H401" s="130">
        <f t="shared" si="96"/>
        <v>40246</v>
      </c>
      <c r="I401" s="130">
        <f t="shared" si="96"/>
        <v>1120.116</v>
      </c>
    </row>
    <row r="402" spans="1:10" ht="12.95">
      <c r="A402" s="19" t="s">
        <v>37</v>
      </c>
      <c r="B402" s="3" t="s">
        <v>29</v>
      </c>
      <c r="C402" s="52">
        <f t="shared" si="90"/>
        <v>191274.14600000001</v>
      </c>
      <c r="D402" s="72">
        <f t="shared" ref="D402:I405" si="97">D404</f>
        <v>0</v>
      </c>
      <c r="E402" s="72">
        <f t="shared" si="97"/>
        <v>56919</v>
      </c>
      <c r="F402" s="72">
        <f t="shared" si="97"/>
        <v>49029.03</v>
      </c>
      <c r="G402" s="72">
        <f t="shared" si="97"/>
        <v>43960</v>
      </c>
      <c r="H402" s="72">
        <f t="shared" si="97"/>
        <v>40246</v>
      </c>
      <c r="I402" s="72">
        <f t="shared" si="97"/>
        <v>1120.116</v>
      </c>
    </row>
    <row r="403" spans="1:10" ht="12.95">
      <c r="A403" s="16"/>
      <c r="B403" s="4" t="s">
        <v>30</v>
      </c>
      <c r="C403" s="52">
        <f t="shared" si="90"/>
        <v>191274.14600000001</v>
      </c>
      <c r="D403" s="72">
        <f t="shared" si="97"/>
        <v>0</v>
      </c>
      <c r="E403" s="72">
        <f t="shared" si="97"/>
        <v>56919</v>
      </c>
      <c r="F403" s="72">
        <f t="shared" si="97"/>
        <v>49029.03</v>
      </c>
      <c r="G403" s="72">
        <f t="shared" si="97"/>
        <v>43960</v>
      </c>
      <c r="H403" s="72">
        <f t="shared" si="97"/>
        <v>40246</v>
      </c>
      <c r="I403" s="72">
        <f t="shared" si="97"/>
        <v>1120.116</v>
      </c>
    </row>
    <row r="404" spans="1:10" ht="12.95">
      <c r="A404" s="19" t="s">
        <v>50</v>
      </c>
      <c r="B404" s="160" t="s">
        <v>29</v>
      </c>
      <c r="C404" s="52">
        <f t="shared" si="90"/>
        <v>191274.14600000001</v>
      </c>
      <c r="D404" s="72">
        <f>D406</f>
        <v>0</v>
      </c>
      <c r="E404" s="72">
        <f t="shared" si="97"/>
        <v>56919</v>
      </c>
      <c r="F404" s="72">
        <f t="shared" si="97"/>
        <v>49029.03</v>
      </c>
      <c r="G404" s="72">
        <f t="shared" si="97"/>
        <v>43960</v>
      </c>
      <c r="H404" s="72">
        <f t="shared" si="97"/>
        <v>40246</v>
      </c>
      <c r="I404" s="72">
        <f t="shared" si="97"/>
        <v>1120.116</v>
      </c>
    </row>
    <row r="405" spans="1:10">
      <c r="A405" s="10"/>
      <c r="B405" s="4" t="s">
        <v>30</v>
      </c>
      <c r="C405" s="52">
        <f t="shared" si="90"/>
        <v>191274.14600000001</v>
      </c>
      <c r="D405" s="72">
        <f>D407</f>
        <v>0</v>
      </c>
      <c r="E405" s="72">
        <f t="shared" si="97"/>
        <v>56919</v>
      </c>
      <c r="F405" s="72">
        <f t="shared" si="97"/>
        <v>49029.03</v>
      </c>
      <c r="G405" s="72">
        <f t="shared" si="97"/>
        <v>43960</v>
      </c>
      <c r="H405" s="72">
        <f t="shared" si="97"/>
        <v>40246</v>
      </c>
      <c r="I405" s="72">
        <f t="shared" si="97"/>
        <v>1120.116</v>
      </c>
    </row>
    <row r="406" spans="1:10">
      <c r="A406" s="81" t="s">
        <v>58</v>
      </c>
      <c r="B406" s="24" t="s">
        <v>29</v>
      </c>
      <c r="C406" s="52">
        <f t="shared" si="90"/>
        <v>191274.14600000001</v>
      </c>
      <c r="D406" s="72">
        <f t="shared" ref="D406:I407" si="98">D432+D451</f>
        <v>0</v>
      </c>
      <c r="E406" s="72">
        <f t="shared" si="98"/>
        <v>56919</v>
      </c>
      <c r="F406" s="72">
        <f t="shared" si="98"/>
        <v>49029.03</v>
      </c>
      <c r="G406" s="72">
        <f t="shared" si="98"/>
        <v>43960</v>
      </c>
      <c r="H406" s="72">
        <f t="shared" si="98"/>
        <v>40246</v>
      </c>
      <c r="I406" s="72">
        <f t="shared" si="98"/>
        <v>1120.116</v>
      </c>
    </row>
    <row r="407" spans="1:10">
      <c r="A407" s="10"/>
      <c r="B407" s="26" t="s">
        <v>30</v>
      </c>
      <c r="C407" s="52">
        <f t="shared" si="90"/>
        <v>191274.14600000001</v>
      </c>
      <c r="D407" s="72">
        <f t="shared" si="98"/>
        <v>0</v>
      </c>
      <c r="E407" s="72">
        <f t="shared" si="98"/>
        <v>56919</v>
      </c>
      <c r="F407" s="72">
        <f t="shared" si="98"/>
        <v>49029.03</v>
      </c>
      <c r="G407" s="72">
        <f t="shared" si="98"/>
        <v>43960</v>
      </c>
      <c r="H407" s="72">
        <f t="shared" si="98"/>
        <v>40246</v>
      </c>
      <c r="I407" s="72">
        <f t="shared" si="98"/>
        <v>1120.116</v>
      </c>
    </row>
    <row r="408" spans="1:10" ht="16.5" customHeight="1">
      <c r="A408" s="662" t="s">
        <v>59</v>
      </c>
      <c r="B408" s="763"/>
      <c r="C408" s="763"/>
      <c r="D408" s="763"/>
      <c r="E408" s="763"/>
      <c r="F408" s="763"/>
      <c r="G408" s="763"/>
      <c r="H408" s="763"/>
      <c r="I408" s="764"/>
    </row>
    <row r="409" spans="1:10" s="209" customFormat="1">
      <c r="A409" s="210" t="s">
        <v>54</v>
      </c>
      <c r="B409" s="63" t="s">
        <v>29</v>
      </c>
      <c r="C409" s="52">
        <f>C411</f>
        <v>23374.850000000002</v>
      </c>
      <c r="D409" s="72">
        <f>D411</f>
        <v>355.1</v>
      </c>
      <c r="E409" s="72">
        <f t="shared" ref="E409:I412" si="99">E411</f>
        <v>1000</v>
      </c>
      <c r="F409" s="72">
        <f t="shared" si="99"/>
        <v>8604.2999999999993</v>
      </c>
      <c r="G409" s="72">
        <f t="shared" si="99"/>
        <v>5833.5</v>
      </c>
      <c r="H409" s="72">
        <f t="shared" si="99"/>
        <v>5833.5</v>
      </c>
      <c r="I409" s="72">
        <f t="shared" si="99"/>
        <v>1748.4499999999998</v>
      </c>
      <c r="J409" s="212"/>
    </row>
    <row r="410" spans="1:10">
      <c r="A410" s="215" t="s">
        <v>87</v>
      </c>
      <c r="B410" s="26" t="s">
        <v>30</v>
      </c>
      <c r="C410" s="52">
        <f>C412</f>
        <v>23374.850000000002</v>
      </c>
      <c r="D410" s="72">
        <f>D412</f>
        <v>355.1</v>
      </c>
      <c r="E410" s="72">
        <f t="shared" si="99"/>
        <v>1000</v>
      </c>
      <c r="F410" s="72">
        <f t="shared" si="99"/>
        <v>8604.2999999999993</v>
      </c>
      <c r="G410" s="72">
        <f t="shared" si="99"/>
        <v>5833.5</v>
      </c>
      <c r="H410" s="72">
        <f t="shared" si="99"/>
        <v>5833.5</v>
      </c>
      <c r="I410" s="72">
        <f t="shared" si="99"/>
        <v>1748.4499999999998</v>
      </c>
      <c r="J410" s="213"/>
    </row>
    <row r="411" spans="1:10" s="209" customFormat="1">
      <c r="A411" s="47" t="s">
        <v>60</v>
      </c>
      <c r="B411" s="63" t="s">
        <v>29</v>
      </c>
      <c r="C411" s="52">
        <f>D411+E411+F411+G411+H411+I411</f>
        <v>23374.850000000002</v>
      </c>
      <c r="D411" s="72">
        <f>D413</f>
        <v>355.1</v>
      </c>
      <c r="E411" s="72">
        <f t="shared" si="99"/>
        <v>1000</v>
      </c>
      <c r="F411" s="72">
        <f t="shared" si="99"/>
        <v>8604.2999999999993</v>
      </c>
      <c r="G411" s="72">
        <f t="shared" si="99"/>
        <v>5833.5</v>
      </c>
      <c r="H411" s="72">
        <f t="shared" si="99"/>
        <v>5833.5</v>
      </c>
      <c r="I411" s="72">
        <f t="shared" si="99"/>
        <v>1748.4499999999998</v>
      </c>
      <c r="J411" s="212"/>
    </row>
    <row r="412" spans="1:10">
      <c r="A412" s="12" t="s">
        <v>48</v>
      </c>
      <c r="B412" s="26" t="s">
        <v>30</v>
      </c>
      <c r="C412" s="52">
        <f>D412+E412+F412+G412+H412+I412</f>
        <v>23374.850000000002</v>
      </c>
      <c r="D412" s="72">
        <f>D414</f>
        <v>355.1</v>
      </c>
      <c r="E412" s="72">
        <f t="shared" si="99"/>
        <v>1000</v>
      </c>
      <c r="F412" s="72">
        <f t="shared" si="99"/>
        <v>8604.2999999999993</v>
      </c>
      <c r="G412" s="72">
        <f t="shared" si="99"/>
        <v>5833.5</v>
      </c>
      <c r="H412" s="72">
        <f t="shared" si="99"/>
        <v>5833.5</v>
      </c>
      <c r="I412" s="72">
        <f t="shared" si="99"/>
        <v>1748.4499999999998</v>
      </c>
      <c r="J412" s="211"/>
    </row>
    <row r="413" spans="1:10" ht="12.95">
      <c r="A413" s="19" t="s">
        <v>37</v>
      </c>
      <c r="B413" s="3" t="s">
        <v>29</v>
      </c>
      <c r="C413" s="52">
        <f t="shared" ref="C413:C422" si="100">D413+E413+F413+G413+H413+I413</f>
        <v>23374.850000000002</v>
      </c>
      <c r="D413" s="72">
        <f t="shared" ref="D413:I416" si="101">D415</f>
        <v>355.1</v>
      </c>
      <c r="E413" s="72">
        <f t="shared" si="101"/>
        <v>1000</v>
      </c>
      <c r="F413" s="72">
        <f t="shared" si="101"/>
        <v>8604.2999999999993</v>
      </c>
      <c r="G413" s="72">
        <f t="shared" si="101"/>
        <v>5833.5</v>
      </c>
      <c r="H413" s="72">
        <f t="shared" si="101"/>
        <v>5833.5</v>
      </c>
      <c r="I413" s="72">
        <f t="shared" si="101"/>
        <v>1748.4499999999998</v>
      </c>
    </row>
    <row r="414" spans="1:10" ht="12.95">
      <c r="A414" s="16"/>
      <c r="B414" s="4" t="s">
        <v>30</v>
      </c>
      <c r="C414" s="52">
        <f t="shared" si="100"/>
        <v>23374.850000000002</v>
      </c>
      <c r="D414" s="72">
        <f t="shared" si="101"/>
        <v>355.1</v>
      </c>
      <c r="E414" s="72">
        <f t="shared" si="101"/>
        <v>1000</v>
      </c>
      <c r="F414" s="72">
        <f t="shared" si="101"/>
        <v>8604.2999999999993</v>
      </c>
      <c r="G414" s="72">
        <f t="shared" si="101"/>
        <v>5833.5</v>
      </c>
      <c r="H414" s="72">
        <f t="shared" si="101"/>
        <v>5833.5</v>
      </c>
      <c r="I414" s="72">
        <f t="shared" si="101"/>
        <v>1748.4499999999998</v>
      </c>
    </row>
    <row r="415" spans="1:10" ht="12.95">
      <c r="A415" s="19" t="s">
        <v>50</v>
      </c>
      <c r="B415" s="160" t="s">
        <v>29</v>
      </c>
      <c r="C415" s="52">
        <f t="shared" si="100"/>
        <v>23374.850000000002</v>
      </c>
      <c r="D415" s="72">
        <f t="shared" si="101"/>
        <v>355.1</v>
      </c>
      <c r="E415" s="72">
        <f t="shared" si="101"/>
        <v>1000</v>
      </c>
      <c r="F415" s="72">
        <f t="shared" si="101"/>
        <v>8604.2999999999993</v>
      </c>
      <c r="G415" s="72">
        <f t="shared" si="101"/>
        <v>5833.5</v>
      </c>
      <c r="H415" s="72">
        <f t="shared" si="101"/>
        <v>5833.5</v>
      </c>
      <c r="I415" s="72">
        <f t="shared" si="101"/>
        <v>1748.4499999999998</v>
      </c>
    </row>
    <row r="416" spans="1:10">
      <c r="A416" s="10"/>
      <c r="B416" s="4" t="s">
        <v>30</v>
      </c>
      <c r="C416" s="52">
        <f t="shared" si="100"/>
        <v>23374.850000000002</v>
      </c>
      <c r="D416" s="72">
        <f t="shared" si="101"/>
        <v>355.1</v>
      </c>
      <c r="E416" s="72">
        <f t="shared" si="101"/>
        <v>1000</v>
      </c>
      <c r="F416" s="72">
        <f t="shared" si="101"/>
        <v>8604.2999999999993</v>
      </c>
      <c r="G416" s="72">
        <f t="shared" si="101"/>
        <v>5833.5</v>
      </c>
      <c r="H416" s="72">
        <f t="shared" si="101"/>
        <v>5833.5</v>
      </c>
      <c r="I416" s="72">
        <f t="shared" si="101"/>
        <v>1748.4499999999998</v>
      </c>
    </row>
    <row r="417" spans="1:15">
      <c r="A417" s="81" t="s">
        <v>58</v>
      </c>
      <c r="B417" s="24" t="s">
        <v>29</v>
      </c>
      <c r="C417" s="52">
        <f t="shared" si="100"/>
        <v>23374.850000000002</v>
      </c>
      <c r="D417" s="72">
        <f>D419+D421</f>
        <v>355.1</v>
      </c>
      <c r="E417" s="72">
        <f t="shared" ref="E417:I418" si="102">E419+E421</f>
        <v>1000</v>
      </c>
      <c r="F417" s="72">
        <f t="shared" si="102"/>
        <v>8604.2999999999993</v>
      </c>
      <c r="G417" s="72">
        <f t="shared" si="102"/>
        <v>5833.5</v>
      </c>
      <c r="H417" s="72">
        <f t="shared" si="102"/>
        <v>5833.5</v>
      </c>
      <c r="I417" s="72">
        <f t="shared" si="102"/>
        <v>1748.4499999999998</v>
      </c>
    </row>
    <row r="418" spans="1:15">
      <c r="A418" s="10"/>
      <c r="B418" s="26" t="s">
        <v>30</v>
      </c>
      <c r="C418" s="52">
        <f t="shared" si="100"/>
        <v>23374.850000000002</v>
      </c>
      <c r="D418" s="72">
        <f>D420+D422</f>
        <v>355.1</v>
      </c>
      <c r="E418" s="72">
        <f t="shared" si="102"/>
        <v>1000</v>
      </c>
      <c r="F418" s="72">
        <f t="shared" si="102"/>
        <v>8604.2999999999993</v>
      </c>
      <c r="G418" s="72">
        <f t="shared" si="102"/>
        <v>5833.5</v>
      </c>
      <c r="H418" s="72">
        <f t="shared" si="102"/>
        <v>5833.5</v>
      </c>
      <c r="I418" s="72">
        <f t="shared" si="102"/>
        <v>1748.4499999999998</v>
      </c>
    </row>
    <row r="419" spans="1:15" s="212" customFormat="1" ht="39" customHeight="1">
      <c r="A419" s="332" t="s">
        <v>211</v>
      </c>
      <c r="B419" s="237" t="s">
        <v>29</v>
      </c>
      <c r="C419" s="240">
        <f t="shared" si="100"/>
        <v>5464.55</v>
      </c>
      <c r="D419" s="240">
        <v>95.3</v>
      </c>
      <c r="E419" s="240">
        <v>1000</v>
      </c>
      <c r="F419" s="240">
        <v>2770.8</v>
      </c>
      <c r="G419" s="240">
        <v>0</v>
      </c>
      <c r="H419" s="240">
        <v>0</v>
      </c>
      <c r="I419" s="240">
        <f>5464.55-95.3-1000-2770.8</f>
        <v>1598.4499999999998</v>
      </c>
      <c r="J419" s="701" t="s">
        <v>212</v>
      </c>
      <c r="K419" s="702"/>
      <c r="L419" s="702"/>
      <c r="M419" s="598"/>
      <c r="N419" s="598"/>
      <c r="O419" s="598"/>
    </row>
    <row r="420" spans="1:15" s="212" customFormat="1" ht="12.95">
      <c r="A420" s="319"/>
      <c r="B420" s="226" t="s">
        <v>30</v>
      </c>
      <c r="C420" s="240">
        <f t="shared" si="100"/>
        <v>5464.55</v>
      </c>
      <c r="D420" s="240">
        <v>95.3</v>
      </c>
      <c r="E420" s="240">
        <v>1000</v>
      </c>
      <c r="F420" s="240">
        <v>2770.8</v>
      </c>
      <c r="G420" s="240">
        <v>0</v>
      </c>
      <c r="H420" s="240">
        <v>0</v>
      </c>
      <c r="I420" s="240">
        <f>5464.55-95.3-1000-2770.8</f>
        <v>1598.4499999999998</v>
      </c>
    </row>
    <row r="421" spans="1:15" s="212" customFormat="1" ht="41.25" customHeight="1">
      <c r="A421" s="332" t="s">
        <v>213</v>
      </c>
      <c r="B421" s="237" t="s">
        <v>29</v>
      </c>
      <c r="C421" s="240">
        <f t="shared" si="100"/>
        <v>17910.3</v>
      </c>
      <c r="D421" s="240">
        <v>259.8</v>
      </c>
      <c r="E421" s="240">
        <v>0</v>
      </c>
      <c r="F421" s="240">
        <v>5833.5</v>
      </c>
      <c r="G421" s="240">
        <v>5833.5</v>
      </c>
      <c r="H421" s="240">
        <v>5833.5</v>
      </c>
      <c r="I421" s="240">
        <v>150</v>
      </c>
      <c r="J421" s="701" t="s">
        <v>214</v>
      </c>
      <c r="K421" s="702"/>
      <c r="L421" s="702"/>
      <c r="M421" s="598"/>
      <c r="N421" s="598"/>
    </row>
    <row r="422" spans="1:15" s="212" customFormat="1" ht="12.95">
      <c r="A422" s="319"/>
      <c r="B422" s="226" t="s">
        <v>30</v>
      </c>
      <c r="C422" s="240">
        <f t="shared" si="100"/>
        <v>17910.3</v>
      </c>
      <c r="D422" s="240">
        <v>259.8</v>
      </c>
      <c r="E422" s="240">
        <v>0</v>
      </c>
      <c r="F422" s="240">
        <v>5833.5</v>
      </c>
      <c r="G422" s="240">
        <v>5833.5</v>
      </c>
      <c r="H422" s="240">
        <v>5833.5</v>
      </c>
      <c r="I422" s="240">
        <v>150</v>
      </c>
    </row>
    <row r="423" spans="1:15" ht="12.75" customHeight="1">
      <c r="A423" s="662" t="s">
        <v>86</v>
      </c>
      <c r="B423" s="645"/>
      <c r="C423" s="645"/>
      <c r="D423" s="645"/>
      <c r="E423" s="645"/>
      <c r="F423" s="645"/>
      <c r="G423" s="645"/>
      <c r="H423" s="645"/>
      <c r="I423" s="646"/>
      <c r="J423" s="211"/>
    </row>
    <row r="424" spans="1:15" ht="12.75" customHeight="1">
      <c r="A424" s="79" t="s">
        <v>54</v>
      </c>
      <c r="B424" s="160" t="s">
        <v>29</v>
      </c>
      <c r="C424" s="52">
        <f t="shared" ref="C424:C437" si="103">D424+E424+F424+G424+H424+I424</f>
        <v>138897</v>
      </c>
      <c r="D424" s="52">
        <f t="shared" ref="D424:I435" si="104">D426</f>
        <v>0</v>
      </c>
      <c r="E424" s="52">
        <f t="shared" si="104"/>
        <v>10731</v>
      </c>
      <c r="F424" s="52">
        <f t="shared" si="104"/>
        <v>43960</v>
      </c>
      <c r="G424" s="52">
        <f t="shared" si="104"/>
        <v>43960</v>
      </c>
      <c r="H424" s="52">
        <f t="shared" si="104"/>
        <v>40246</v>
      </c>
      <c r="I424" s="52">
        <f t="shared" si="104"/>
        <v>0</v>
      </c>
    </row>
    <row r="425" spans="1:15" ht="12.75" customHeight="1">
      <c r="A425" s="21" t="s">
        <v>87</v>
      </c>
      <c r="B425" s="4" t="s">
        <v>30</v>
      </c>
      <c r="C425" s="52">
        <f t="shared" si="103"/>
        <v>138897</v>
      </c>
      <c r="D425" s="52">
        <f t="shared" si="104"/>
        <v>0</v>
      </c>
      <c r="E425" s="52">
        <f t="shared" si="104"/>
        <v>10731</v>
      </c>
      <c r="F425" s="52">
        <f t="shared" si="104"/>
        <v>43960</v>
      </c>
      <c r="G425" s="52">
        <f t="shared" si="104"/>
        <v>43960</v>
      </c>
      <c r="H425" s="52">
        <f t="shared" si="104"/>
        <v>40246</v>
      </c>
      <c r="I425" s="52">
        <f t="shared" si="104"/>
        <v>0</v>
      </c>
    </row>
    <row r="426" spans="1:15" s="95" customFormat="1" ht="12.75" customHeight="1">
      <c r="A426" s="47" t="s">
        <v>88</v>
      </c>
      <c r="B426" s="129" t="s">
        <v>29</v>
      </c>
      <c r="C426" s="130">
        <f t="shared" si="103"/>
        <v>138897</v>
      </c>
      <c r="D426" s="130">
        <f>D428</f>
        <v>0</v>
      </c>
      <c r="E426" s="130">
        <f t="shared" si="104"/>
        <v>10731</v>
      </c>
      <c r="F426" s="130">
        <f t="shared" si="104"/>
        <v>43960</v>
      </c>
      <c r="G426" s="130">
        <f t="shared" si="104"/>
        <v>43960</v>
      </c>
      <c r="H426" s="130">
        <f t="shared" si="104"/>
        <v>40246</v>
      </c>
      <c r="I426" s="130">
        <f t="shared" si="104"/>
        <v>0</v>
      </c>
    </row>
    <row r="427" spans="1:15" s="95" customFormat="1" ht="12.75" customHeight="1">
      <c r="A427" s="131" t="s">
        <v>89</v>
      </c>
      <c r="B427" s="132" t="s">
        <v>30</v>
      </c>
      <c r="C427" s="130">
        <f t="shared" si="103"/>
        <v>138897</v>
      </c>
      <c r="D427" s="130">
        <f>D429</f>
        <v>0</v>
      </c>
      <c r="E427" s="130">
        <f t="shared" si="104"/>
        <v>10731</v>
      </c>
      <c r="F427" s="130">
        <f t="shared" si="104"/>
        <v>43960</v>
      </c>
      <c r="G427" s="130">
        <f t="shared" si="104"/>
        <v>43960</v>
      </c>
      <c r="H427" s="130">
        <f t="shared" si="104"/>
        <v>40246</v>
      </c>
      <c r="I427" s="130">
        <f t="shared" si="104"/>
        <v>0</v>
      </c>
    </row>
    <row r="428" spans="1:15" ht="12.75" customHeight="1">
      <c r="A428" s="19" t="s">
        <v>37</v>
      </c>
      <c r="B428" s="3" t="s">
        <v>29</v>
      </c>
      <c r="C428" s="52">
        <f t="shared" si="103"/>
        <v>138897</v>
      </c>
      <c r="D428" s="52">
        <f t="shared" si="104"/>
        <v>0</v>
      </c>
      <c r="E428" s="52">
        <f t="shared" si="104"/>
        <v>10731</v>
      </c>
      <c r="F428" s="52">
        <f t="shared" si="104"/>
        <v>43960</v>
      </c>
      <c r="G428" s="52">
        <f t="shared" si="104"/>
        <v>43960</v>
      </c>
      <c r="H428" s="52">
        <f t="shared" si="104"/>
        <v>40246</v>
      </c>
      <c r="I428" s="52">
        <f t="shared" si="104"/>
        <v>0</v>
      </c>
    </row>
    <row r="429" spans="1:15" ht="12.75" customHeight="1">
      <c r="A429" s="16"/>
      <c r="B429" s="4" t="s">
        <v>30</v>
      </c>
      <c r="C429" s="52">
        <f t="shared" si="103"/>
        <v>138897</v>
      </c>
      <c r="D429" s="52">
        <f t="shared" si="104"/>
        <v>0</v>
      </c>
      <c r="E429" s="52">
        <f t="shared" si="104"/>
        <v>10731</v>
      </c>
      <c r="F429" s="52">
        <f t="shared" si="104"/>
        <v>43960</v>
      </c>
      <c r="G429" s="52">
        <f t="shared" si="104"/>
        <v>43960</v>
      </c>
      <c r="H429" s="52">
        <f t="shared" si="104"/>
        <v>40246</v>
      </c>
      <c r="I429" s="52">
        <f t="shared" si="104"/>
        <v>0</v>
      </c>
    </row>
    <row r="430" spans="1:15" ht="12.75" customHeight="1">
      <c r="A430" s="31" t="s">
        <v>50</v>
      </c>
      <c r="B430" s="160" t="s">
        <v>29</v>
      </c>
      <c r="C430" s="52">
        <f t="shared" si="103"/>
        <v>138897</v>
      </c>
      <c r="D430" s="52">
        <f t="shared" si="104"/>
        <v>0</v>
      </c>
      <c r="E430" s="52">
        <f t="shared" si="104"/>
        <v>10731</v>
      </c>
      <c r="F430" s="52">
        <f t="shared" si="104"/>
        <v>43960</v>
      </c>
      <c r="G430" s="52">
        <f t="shared" si="104"/>
        <v>43960</v>
      </c>
      <c r="H430" s="52">
        <f t="shared" si="104"/>
        <v>40246</v>
      </c>
      <c r="I430" s="52">
        <f t="shared" si="104"/>
        <v>0</v>
      </c>
    </row>
    <row r="431" spans="1:15" ht="12.75" customHeight="1">
      <c r="A431" s="12"/>
      <c r="B431" s="4" t="s">
        <v>30</v>
      </c>
      <c r="C431" s="52">
        <f t="shared" si="103"/>
        <v>138897</v>
      </c>
      <c r="D431" s="52">
        <f t="shared" si="104"/>
        <v>0</v>
      </c>
      <c r="E431" s="52">
        <f t="shared" si="104"/>
        <v>10731</v>
      </c>
      <c r="F431" s="52">
        <f t="shared" si="104"/>
        <v>43960</v>
      </c>
      <c r="G431" s="52">
        <f t="shared" si="104"/>
        <v>43960</v>
      </c>
      <c r="H431" s="52">
        <f t="shared" si="104"/>
        <v>40246</v>
      </c>
      <c r="I431" s="52">
        <f t="shared" si="104"/>
        <v>0</v>
      </c>
    </row>
    <row r="432" spans="1:15" s="95" customFormat="1">
      <c r="A432" s="128" t="s">
        <v>58</v>
      </c>
      <c r="B432" s="129" t="s">
        <v>29</v>
      </c>
      <c r="C432" s="130">
        <f t="shared" si="103"/>
        <v>138897</v>
      </c>
      <c r="D432" s="130">
        <f>D434+D438</f>
        <v>0</v>
      </c>
      <c r="E432" s="130">
        <f t="shared" ref="E432:I432" si="105">E434+E438</f>
        <v>10731</v>
      </c>
      <c r="F432" s="130">
        <f t="shared" si="105"/>
        <v>43960</v>
      </c>
      <c r="G432" s="130">
        <f t="shared" si="105"/>
        <v>43960</v>
      </c>
      <c r="H432" s="130">
        <f t="shared" si="105"/>
        <v>40246</v>
      </c>
      <c r="I432" s="130">
        <f t="shared" si="105"/>
        <v>0</v>
      </c>
    </row>
    <row r="433" spans="1:18" s="95" customFormat="1">
      <c r="A433" s="131"/>
      <c r="B433" s="132" t="s">
        <v>30</v>
      </c>
      <c r="C433" s="130">
        <f t="shared" si="103"/>
        <v>138897</v>
      </c>
      <c r="D433" s="130">
        <f>D435+D439</f>
        <v>0</v>
      </c>
      <c r="E433" s="130">
        <f t="shared" ref="E433:I433" si="106">E435+E439</f>
        <v>10731</v>
      </c>
      <c r="F433" s="130">
        <f t="shared" si="106"/>
        <v>43960</v>
      </c>
      <c r="G433" s="130">
        <f t="shared" si="106"/>
        <v>43960</v>
      </c>
      <c r="H433" s="130">
        <f t="shared" si="106"/>
        <v>40246</v>
      </c>
      <c r="I433" s="130">
        <f t="shared" si="106"/>
        <v>0</v>
      </c>
    </row>
    <row r="434" spans="1:18" s="126" customFormat="1">
      <c r="A434" s="227" t="s">
        <v>215</v>
      </c>
      <c r="B434" s="124" t="s">
        <v>29</v>
      </c>
      <c r="C434" s="125">
        <f t="shared" si="103"/>
        <v>138166</v>
      </c>
      <c r="D434" s="125">
        <f>D436</f>
        <v>0</v>
      </c>
      <c r="E434" s="125">
        <f t="shared" si="104"/>
        <v>10000</v>
      </c>
      <c r="F434" s="125">
        <f t="shared" si="104"/>
        <v>43960</v>
      </c>
      <c r="G434" s="125">
        <f t="shared" si="104"/>
        <v>43960</v>
      </c>
      <c r="H434" s="125">
        <f t="shared" si="104"/>
        <v>40246</v>
      </c>
      <c r="I434" s="125">
        <f t="shared" si="104"/>
        <v>0</v>
      </c>
    </row>
    <row r="435" spans="1:18" s="126" customFormat="1">
      <c r="A435" s="146"/>
      <c r="B435" s="127" t="s">
        <v>30</v>
      </c>
      <c r="C435" s="125">
        <f t="shared" si="103"/>
        <v>138166</v>
      </c>
      <c r="D435" s="125">
        <f>D437</f>
        <v>0</v>
      </c>
      <c r="E435" s="125">
        <f t="shared" si="104"/>
        <v>10000</v>
      </c>
      <c r="F435" s="125">
        <f t="shared" si="104"/>
        <v>43960</v>
      </c>
      <c r="G435" s="125">
        <f t="shared" si="104"/>
        <v>43960</v>
      </c>
      <c r="H435" s="125">
        <f t="shared" si="104"/>
        <v>40246</v>
      </c>
      <c r="I435" s="125">
        <f t="shared" si="104"/>
        <v>0</v>
      </c>
    </row>
    <row r="436" spans="1:18" s="253" customFormat="1" ht="39.75" customHeight="1">
      <c r="A436" s="353" t="s">
        <v>216</v>
      </c>
      <c r="B436" s="216" t="s">
        <v>29</v>
      </c>
      <c r="C436" s="203">
        <f t="shared" si="103"/>
        <v>138166</v>
      </c>
      <c r="D436" s="203">
        <v>0</v>
      </c>
      <c r="E436" s="261">
        <v>10000</v>
      </c>
      <c r="F436" s="203">
        <v>43960</v>
      </c>
      <c r="G436" s="203">
        <v>43960</v>
      </c>
      <c r="H436" s="203">
        <f>14385+36131-270-10000</f>
        <v>40246</v>
      </c>
      <c r="I436" s="203">
        <v>0</v>
      </c>
      <c r="J436" s="618" t="s">
        <v>217</v>
      </c>
      <c r="K436" s="627"/>
      <c r="L436" s="627"/>
      <c r="M436" s="627"/>
      <c r="N436" s="627"/>
      <c r="O436" s="627"/>
      <c r="P436" s="627"/>
      <c r="Q436" s="706"/>
      <c r="R436" s="616"/>
    </row>
    <row r="437" spans="1:18" s="253" customFormat="1">
      <c r="A437" s="250"/>
      <c r="B437" s="217" t="s">
        <v>30</v>
      </c>
      <c r="C437" s="203">
        <f t="shared" si="103"/>
        <v>138166</v>
      </c>
      <c r="D437" s="203">
        <v>0</v>
      </c>
      <c r="E437" s="261">
        <v>10000</v>
      </c>
      <c r="F437" s="203">
        <v>43960</v>
      </c>
      <c r="G437" s="203">
        <v>43960</v>
      </c>
      <c r="H437" s="203">
        <f>14385+36131-270-10000</f>
        <v>40246</v>
      </c>
      <c r="I437" s="203">
        <v>0</v>
      </c>
      <c r="J437" s="669"/>
      <c r="K437" s="627"/>
      <c r="L437" s="627"/>
      <c r="M437" s="627"/>
      <c r="N437" s="627"/>
      <c r="O437" s="627"/>
      <c r="P437" s="627"/>
      <c r="Q437" s="706"/>
      <c r="R437" s="616"/>
    </row>
    <row r="438" spans="1:18" s="126" customFormat="1" ht="14.1">
      <c r="A438" s="538" t="s">
        <v>218</v>
      </c>
      <c r="B438" s="124" t="s">
        <v>29</v>
      </c>
      <c r="C438" s="125">
        <f t="shared" ref="C438:C441" si="107">D438+E438+F438+G438+H438+I438</f>
        <v>731</v>
      </c>
      <c r="D438" s="125">
        <f>D440</f>
        <v>0</v>
      </c>
      <c r="E438" s="125">
        <f t="shared" ref="E438:I438" si="108">E440</f>
        <v>731</v>
      </c>
      <c r="F438" s="125">
        <f t="shared" si="108"/>
        <v>0</v>
      </c>
      <c r="G438" s="125">
        <f t="shared" si="108"/>
        <v>0</v>
      </c>
      <c r="H438" s="125">
        <f t="shared" si="108"/>
        <v>0</v>
      </c>
      <c r="I438" s="125">
        <f t="shared" si="108"/>
        <v>0</v>
      </c>
    </row>
    <row r="439" spans="1:18" s="126" customFormat="1">
      <c r="A439" s="146"/>
      <c r="B439" s="127" t="s">
        <v>30</v>
      </c>
      <c r="C439" s="125">
        <f t="shared" si="107"/>
        <v>731</v>
      </c>
      <c r="D439" s="125">
        <f>D441</f>
        <v>0</v>
      </c>
      <c r="E439" s="125">
        <f t="shared" ref="E439:I439" si="109">E441</f>
        <v>731</v>
      </c>
      <c r="F439" s="125">
        <f t="shared" si="109"/>
        <v>0</v>
      </c>
      <c r="G439" s="125">
        <f t="shared" si="109"/>
        <v>0</v>
      </c>
      <c r="H439" s="125">
        <f t="shared" si="109"/>
        <v>0</v>
      </c>
      <c r="I439" s="125">
        <f t="shared" si="109"/>
        <v>0</v>
      </c>
    </row>
    <row r="440" spans="1:18" s="253" customFormat="1" ht="39.75" customHeight="1">
      <c r="A440" s="517" t="s">
        <v>219</v>
      </c>
      <c r="B440" s="216" t="s">
        <v>29</v>
      </c>
      <c r="C440" s="203">
        <f t="shared" si="107"/>
        <v>731</v>
      </c>
      <c r="D440" s="203">
        <v>0</v>
      </c>
      <c r="E440" s="261">
        <v>731</v>
      </c>
      <c r="F440" s="203">
        <v>0</v>
      </c>
      <c r="G440" s="203">
        <v>0</v>
      </c>
      <c r="H440" s="203">
        <v>0</v>
      </c>
      <c r="I440" s="203">
        <v>0</v>
      </c>
      <c r="J440" s="618" t="s">
        <v>220</v>
      </c>
      <c r="K440" s="627"/>
      <c r="L440" s="627"/>
      <c r="M440" s="627"/>
      <c r="N440" s="627"/>
      <c r="O440" s="627"/>
      <c r="P440" s="627"/>
      <c r="Q440" s="706"/>
      <c r="R440" s="616"/>
    </row>
    <row r="441" spans="1:18" s="253" customFormat="1">
      <c r="A441" s="250"/>
      <c r="B441" s="217" t="s">
        <v>30</v>
      </c>
      <c r="C441" s="203">
        <f t="shared" si="107"/>
        <v>731</v>
      </c>
      <c r="D441" s="203">
        <v>0</v>
      </c>
      <c r="E441" s="261">
        <v>731</v>
      </c>
      <c r="F441" s="203">
        <v>0</v>
      </c>
      <c r="G441" s="203">
        <v>0</v>
      </c>
      <c r="H441" s="203">
        <v>0</v>
      </c>
      <c r="I441" s="203">
        <v>0</v>
      </c>
      <c r="J441" s="669"/>
      <c r="K441" s="627"/>
      <c r="L441" s="627"/>
      <c r="M441" s="627"/>
      <c r="N441" s="627"/>
      <c r="O441" s="627"/>
      <c r="P441" s="627"/>
      <c r="Q441" s="706"/>
      <c r="R441" s="616"/>
    </row>
    <row r="442" spans="1:18" ht="12.75" customHeight="1">
      <c r="A442" s="634" t="s">
        <v>98</v>
      </c>
      <c r="B442" s="689"/>
      <c r="C442" s="689"/>
      <c r="D442" s="697"/>
      <c r="E442" s="697"/>
      <c r="F442" s="697"/>
      <c r="G442" s="697"/>
      <c r="H442" s="697"/>
      <c r="I442" s="698"/>
      <c r="J442" s="211"/>
    </row>
    <row r="443" spans="1:18" ht="12.75" customHeight="1">
      <c r="A443" s="79" t="s">
        <v>54</v>
      </c>
      <c r="B443" s="160" t="s">
        <v>29</v>
      </c>
      <c r="C443" s="78">
        <f t="shared" ref="C443:C456" si="110">D443+E443+F443+G443+H443+I443</f>
        <v>52377.146000000001</v>
      </c>
      <c r="D443" s="52">
        <f t="shared" ref="D443:I454" si="111">D445</f>
        <v>0</v>
      </c>
      <c r="E443" s="52">
        <f t="shared" si="111"/>
        <v>46188</v>
      </c>
      <c r="F443" s="52">
        <f t="shared" si="111"/>
        <v>5069.0299999999988</v>
      </c>
      <c r="G443" s="52">
        <f t="shared" si="111"/>
        <v>0</v>
      </c>
      <c r="H443" s="52">
        <f t="shared" si="111"/>
        <v>0</v>
      </c>
      <c r="I443" s="52">
        <f t="shared" si="111"/>
        <v>1120.116</v>
      </c>
    </row>
    <row r="444" spans="1:18" ht="12.75" customHeight="1">
      <c r="A444" s="21" t="s">
        <v>87</v>
      </c>
      <c r="B444" s="4" t="s">
        <v>30</v>
      </c>
      <c r="C444" s="78">
        <f t="shared" si="110"/>
        <v>52377.146000000001</v>
      </c>
      <c r="D444" s="52">
        <f t="shared" si="111"/>
        <v>0</v>
      </c>
      <c r="E444" s="52">
        <f t="shared" si="111"/>
        <v>46188</v>
      </c>
      <c r="F444" s="52">
        <f t="shared" si="111"/>
        <v>5069.0299999999988</v>
      </c>
      <c r="G444" s="52">
        <f t="shared" si="111"/>
        <v>0</v>
      </c>
      <c r="H444" s="52">
        <f t="shared" si="111"/>
        <v>0</v>
      </c>
      <c r="I444" s="52">
        <f t="shared" si="111"/>
        <v>1120.116</v>
      </c>
    </row>
    <row r="445" spans="1:18" s="95" customFormat="1" ht="12.75" customHeight="1">
      <c r="A445" s="47" t="s">
        <v>88</v>
      </c>
      <c r="B445" s="129" t="s">
        <v>29</v>
      </c>
      <c r="C445" s="78">
        <f t="shared" si="110"/>
        <v>52377.146000000001</v>
      </c>
      <c r="D445" s="130">
        <f t="shared" si="111"/>
        <v>0</v>
      </c>
      <c r="E445" s="130">
        <f t="shared" si="111"/>
        <v>46188</v>
      </c>
      <c r="F445" s="130">
        <f t="shared" si="111"/>
        <v>5069.0299999999988</v>
      </c>
      <c r="G445" s="130">
        <f t="shared" si="111"/>
        <v>0</v>
      </c>
      <c r="H445" s="130">
        <f t="shared" si="111"/>
        <v>0</v>
      </c>
      <c r="I445" s="130">
        <f t="shared" si="111"/>
        <v>1120.116</v>
      </c>
    </row>
    <row r="446" spans="1:18" s="95" customFormat="1" ht="12.75" customHeight="1">
      <c r="A446" s="131" t="s">
        <v>89</v>
      </c>
      <c r="B446" s="132" t="s">
        <v>30</v>
      </c>
      <c r="C446" s="78">
        <f t="shared" si="110"/>
        <v>52377.146000000001</v>
      </c>
      <c r="D446" s="130">
        <f t="shared" si="111"/>
        <v>0</v>
      </c>
      <c r="E446" s="130">
        <f t="shared" si="111"/>
        <v>46188</v>
      </c>
      <c r="F446" s="130">
        <f t="shared" si="111"/>
        <v>5069.0299999999988</v>
      </c>
      <c r="G446" s="130">
        <f t="shared" si="111"/>
        <v>0</v>
      </c>
      <c r="H446" s="130">
        <f t="shared" si="111"/>
        <v>0</v>
      </c>
      <c r="I446" s="130">
        <f t="shared" si="111"/>
        <v>1120.116</v>
      </c>
    </row>
    <row r="447" spans="1:18" ht="12.75" customHeight="1">
      <c r="A447" s="19" t="s">
        <v>37</v>
      </c>
      <c r="B447" s="3" t="s">
        <v>29</v>
      </c>
      <c r="C447" s="78">
        <f t="shared" si="110"/>
        <v>52377.146000000001</v>
      </c>
      <c r="D447" s="52">
        <f t="shared" si="111"/>
        <v>0</v>
      </c>
      <c r="E447" s="52">
        <f t="shared" si="111"/>
        <v>46188</v>
      </c>
      <c r="F447" s="52">
        <f t="shared" si="111"/>
        <v>5069.0299999999988</v>
      </c>
      <c r="G447" s="52">
        <f t="shared" si="111"/>
        <v>0</v>
      </c>
      <c r="H447" s="52">
        <f t="shared" si="111"/>
        <v>0</v>
      </c>
      <c r="I447" s="52">
        <f t="shared" si="111"/>
        <v>1120.116</v>
      </c>
    </row>
    <row r="448" spans="1:18" ht="12.75" customHeight="1">
      <c r="A448" s="16"/>
      <c r="B448" s="4" t="s">
        <v>30</v>
      </c>
      <c r="C448" s="78">
        <f t="shared" si="110"/>
        <v>52377.146000000001</v>
      </c>
      <c r="D448" s="52">
        <f t="shared" si="111"/>
        <v>0</v>
      </c>
      <c r="E448" s="52">
        <f t="shared" si="111"/>
        <v>46188</v>
      </c>
      <c r="F448" s="52">
        <f t="shared" si="111"/>
        <v>5069.0299999999988</v>
      </c>
      <c r="G448" s="52">
        <f t="shared" si="111"/>
        <v>0</v>
      </c>
      <c r="H448" s="52">
        <f t="shared" si="111"/>
        <v>0</v>
      </c>
      <c r="I448" s="52">
        <f t="shared" si="111"/>
        <v>1120.116</v>
      </c>
    </row>
    <row r="449" spans="1:16" ht="12.75" customHeight="1">
      <c r="A449" s="31" t="s">
        <v>50</v>
      </c>
      <c r="B449" s="160" t="s">
        <v>29</v>
      </c>
      <c r="C449" s="78">
        <f t="shared" si="110"/>
        <v>52377.146000000001</v>
      </c>
      <c r="D449" s="52">
        <f t="shared" si="111"/>
        <v>0</v>
      </c>
      <c r="E449" s="52">
        <f t="shared" si="111"/>
        <v>46188</v>
      </c>
      <c r="F449" s="52">
        <f t="shared" si="111"/>
        <v>5069.0299999999988</v>
      </c>
      <c r="G449" s="52">
        <f t="shared" si="111"/>
        <v>0</v>
      </c>
      <c r="H449" s="52">
        <f t="shared" si="111"/>
        <v>0</v>
      </c>
      <c r="I449" s="52">
        <f t="shared" si="111"/>
        <v>1120.116</v>
      </c>
    </row>
    <row r="450" spans="1:16" ht="12.75" customHeight="1">
      <c r="A450" s="12"/>
      <c r="B450" s="4" t="s">
        <v>30</v>
      </c>
      <c r="C450" s="78">
        <f t="shared" si="110"/>
        <v>52377.146000000001</v>
      </c>
      <c r="D450" s="52">
        <f t="shared" si="111"/>
        <v>0</v>
      </c>
      <c r="E450" s="52">
        <f t="shared" si="111"/>
        <v>46188</v>
      </c>
      <c r="F450" s="52">
        <f t="shared" si="111"/>
        <v>5069.0299999999988</v>
      </c>
      <c r="G450" s="52">
        <f t="shared" si="111"/>
        <v>0</v>
      </c>
      <c r="H450" s="52">
        <f t="shared" si="111"/>
        <v>0</v>
      </c>
      <c r="I450" s="52">
        <f t="shared" si="111"/>
        <v>1120.116</v>
      </c>
    </row>
    <row r="451" spans="1:16" s="95" customFormat="1">
      <c r="A451" s="128" t="s">
        <v>58</v>
      </c>
      <c r="B451" s="129" t="s">
        <v>29</v>
      </c>
      <c r="C451" s="125">
        <f t="shared" si="110"/>
        <v>52377.146000000001</v>
      </c>
      <c r="D451" s="130">
        <f t="shared" si="111"/>
        <v>0</v>
      </c>
      <c r="E451" s="130">
        <f t="shared" si="111"/>
        <v>46188</v>
      </c>
      <c r="F451" s="130">
        <f t="shared" si="111"/>
        <v>5069.0299999999988</v>
      </c>
      <c r="G451" s="130">
        <f t="shared" si="111"/>
        <v>0</v>
      </c>
      <c r="H451" s="130">
        <f t="shared" si="111"/>
        <v>0</v>
      </c>
      <c r="I451" s="130">
        <f t="shared" si="111"/>
        <v>1120.116</v>
      </c>
    </row>
    <row r="452" spans="1:16" s="95" customFormat="1">
      <c r="A452" s="131"/>
      <c r="B452" s="132" t="s">
        <v>30</v>
      </c>
      <c r="C452" s="125">
        <f t="shared" si="110"/>
        <v>52377.146000000001</v>
      </c>
      <c r="D452" s="130">
        <f t="shared" si="111"/>
        <v>0</v>
      </c>
      <c r="E452" s="130">
        <f t="shared" si="111"/>
        <v>46188</v>
      </c>
      <c r="F452" s="130">
        <f t="shared" si="111"/>
        <v>5069.0299999999988</v>
      </c>
      <c r="G452" s="130">
        <f t="shared" si="111"/>
        <v>0</v>
      </c>
      <c r="H452" s="130">
        <f t="shared" si="111"/>
        <v>0</v>
      </c>
      <c r="I452" s="130">
        <f t="shared" si="111"/>
        <v>1120.116</v>
      </c>
    </row>
    <row r="453" spans="1:16" s="126" customFormat="1">
      <c r="A453" s="278" t="s">
        <v>99</v>
      </c>
      <c r="B453" s="124" t="s">
        <v>29</v>
      </c>
      <c r="C453" s="125">
        <f t="shared" si="110"/>
        <v>52377.146000000001</v>
      </c>
      <c r="D453" s="125">
        <f>D455</f>
        <v>0</v>
      </c>
      <c r="E453" s="125">
        <f t="shared" si="111"/>
        <v>46188</v>
      </c>
      <c r="F453" s="125">
        <f t="shared" si="111"/>
        <v>5069.0299999999988</v>
      </c>
      <c r="G453" s="125">
        <f t="shared" si="111"/>
        <v>0</v>
      </c>
      <c r="H453" s="125">
        <f t="shared" si="111"/>
        <v>0</v>
      </c>
      <c r="I453" s="125">
        <f t="shared" si="111"/>
        <v>1120.116</v>
      </c>
      <c r="J453" s="247"/>
    </row>
    <row r="454" spans="1:16" s="126" customFormat="1">
      <c r="A454" s="134"/>
      <c r="B454" s="127" t="s">
        <v>30</v>
      </c>
      <c r="C454" s="125">
        <f t="shared" si="110"/>
        <v>52377.146000000001</v>
      </c>
      <c r="D454" s="125">
        <f>D456</f>
        <v>0</v>
      </c>
      <c r="E454" s="125">
        <f t="shared" si="111"/>
        <v>46188</v>
      </c>
      <c r="F454" s="125">
        <f t="shared" si="111"/>
        <v>5069.0299999999988</v>
      </c>
      <c r="G454" s="125">
        <f t="shared" si="111"/>
        <v>0</v>
      </c>
      <c r="H454" s="125">
        <f t="shared" si="111"/>
        <v>0</v>
      </c>
      <c r="I454" s="125">
        <f t="shared" si="111"/>
        <v>1120.116</v>
      </c>
      <c r="J454" s="247"/>
    </row>
    <row r="455" spans="1:16" s="212" customFormat="1" ht="26.25" customHeight="1">
      <c r="A455" s="321" t="s">
        <v>221</v>
      </c>
      <c r="B455" s="237" t="s">
        <v>29</v>
      </c>
      <c r="C455" s="240">
        <f t="shared" si="110"/>
        <v>52377.146000000001</v>
      </c>
      <c r="D455" s="240">
        <v>0</v>
      </c>
      <c r="E455" s="240">
        <v>46188</v>
      </c>
      <c r="F455" s="240">
        <f>12811.24-2819.37-4922.84</f>
        <v>5069.0299999999988</v>
      </c>
      <c r="G455" s="240">
        <v>0</v>
      </c>
      <c r="H455" s="240">
        <v>0</v>
      </c>
      <c r="I455" s="240">
        <f>1178.786-58.67</f>
        <v>1120.116</v>
      </c>
      <c r="J455" s="618" t="s">
        <v>222</v>
      </c>
      <c r="K455" s="627"/>
      <c r="L455" s="627"/>
      <c r="M455" s="627"/>
      <c r="N455" s="627"/>
      <c r="O455" s="627"/>
      <c r="P455" s="627"/>
    </row>
    <row r="456" spans="1:16" s="207" customFormat="1">
      <c r="A456" s="202"/>
      <c r="B456" s="217" t="s">
        <v>30</v>
      </c>
      <c r="C456" s="203">
        <f t="shared" si="110"/>
        <v>52377.146000000001</v>
      </c>
      <c r="D456" s="203">
        <v>0</v>
      </c>
      <c r="E456" s="203">
        <v>46188</v>
      </c>
      <c r="F456" s="203">
        <f>12811.24-2819.37-4922.84</f>
        <v>5069.0299999999988</v>
      </c>
      <c r="G456" s="203">
        <v>0</v>
      </c>
      <c r="H456" s="203">
        <v>0</v>
      </c>
      <c r="I456" s="203">
        <f>1178.786-58.67</f>
        <v>1120.116</v>
      </c>
      <c r="J456" s="669"/>
      <c r="K456" s="627"/>
      <c r="L456" s="627"/>
      <c r="M456" s="627"/>
      <c r="N456" s="627"/>
      <c r="O456" s="627"/>
      <c r="P456" s="627"/>
    </row>
    <row r="457" spans="1:16" s="95" customFormat="1">
      <c r="A457" s="760" t="s">
        <v>122</v>
      </c>
      <c r="B457" s="761"/>
      <c r="C457" s="761"/>
      <c r="D457" s="761"/>
      <c r="E457" s="761"/>
      <c r="F457" s="761"/>
      <c r="G457" s="761"/>
      <c r="H457" s="761"/>
      <c r="I457" s="762"/>
    </row>
    <row r="458" spans="1:16" s="172" customFormat="1">
      <c r="A458" s="31" t="s">
        <v>54</v>
      </c>
      <c r="B458" s="87" t="s">
        <v>29</v>
      </c>
      <c r="C458" s="277">
        <f t="shared" ref="C458:C469" si="112">D458+E458+F458+G458+H458+I458</f>
        <v>900</v>
      </c>
      <c r="D458" s="277">
        <f t="shared" ref="D458:I458" si="113">D460</f>
        <v>0</v>
      </c>
      <c r="E458" s="277">
        <f t="shared" si="113"/>
        <v>200</v>
      </c>
      <c r="F458" s="277">
        <f t="shared" si="113"/>
        <v>700</v>
      </c>
      <c r="G458" s="277">
        <f t="shared" si="113"/>
        <v>0</v>
      </c>
      <c r="H458" s="277">
        <f t="shared" si="113"/>
        <v>0</v>
      </c>
      <c r="I458" s="277">
        <f t="shared" si="113"/>
        <v>0</v>
      </c>
    </row>
    <row r="459" spans="1:16" s="172" customFormat="1">
      <c r="A459" s="21" t="s">
        <v>87</v>
      </c>
      <c r="B459" s="86" t="s">
        <v>30</v>
      </c>
      <c r="C459" s="171">
        <f t="shared" si="112"/>
        <v>900</v>
      </c>
      <c r="D459" s="171">
        <f t="shared" ref="D459:I459" si="114">D461</f>
        <v>0</v>
      </c>
      <c r="E459" s="171">
        <f t="shared" si="114"/>
        <v>200</v>
      </c>
      <c r="F459" s="171">
        <f t="shared" si="114"/>
        <v>700</v>
      </c>
      <c r="G459" s="171">
        <f t="shared" si="114"/>
        <v>0</v>
      </c>
      <c r="H459" s="171">
        <f t="shared" si="114"/>
        <v>0</v>
      </c>
      <c r="I459" s="171">
        <f t="shared" si="114"/>
        <v>0</v>
      </c>
    </row>
    <row r="460" spans="1:16" s="145" customFormat="1">
      <c r="A460" s="184" t="s">
        <v>123</v>
      </c>
      <c r="B460" s="82" t="s">
        <v>29</v>
      </c>
      <c r="C460" s="84">
        <f t="shared" si="112"/>
        <v>900</v>
      </c>
      <c r="D460" s="84">
        <f>D462</f>
        <v>0</v>
      </c>
      <c r="E460" s="84">
        <f t="shared" ref="E460:I460" si="115">E462</f>
        <v>200</v>
      </c>
      <c r="F460" s="84">
        <f t="shared" si="115"/>
        <v>700</v>
      </c>
      <c r="G460" s="84">
        <f t="shared" si="115"/>
        <v>0</v>
      </c>
      <c r="H460" s="84">
        <f t="shared" si="115"/>
        <v>0</v>
      </c>
      <c r="I460" s="84">
        <f t="shared" si="115"/>
        <v>0</v>
      </c>
    </row>
    <row r="461" spans="1:16" s="145" customFormat="1">
      <c r="A461" s="21" t="s">
        <v>124</v>
      </c>
      <c r="B461" s="86" t="s">
        <v>30</v>
      </c>
      <c r="C461" s="84">
        <f t="shared" si="112"/>
        <v>900</v>
      </c>
      <c r="D461" s="84">
        <f>D463</f>
        <v>0</v>
      </c>
      <c r="E461" s="84">
        <f t="shared" ref="E461:I461" si="116">E463</f>
        <v>200</v>
      </c>
      <c r="F461" s="84">
        <f t="shared" si="116"/>
        <v>700</v>
      </c>
      <c r="G461" s="84">
        <f t="shared" si="116"/>
        <v>0</v>
      </c>
      <c r="H461" s="84">
        <f t="shared" si="116"/>
        <v>0</v>
      </c>
      <c r="I461" s="84">
        <f t="shared" si="116"/>
        <v>0</v>
      </c>
    </row>
    <row r="462" spans="1:16" ht="12.95">
      <c r="A462" s="19" t="s">
        <v>37</v>
      </c>
      <c r="B462" s="54" t="s">
        <v>29</v>
      </c>
      <c r="C462" s="64">
        <f t="shared" si="112"/>
        <v>900</v>
      </c>
      <c r="D462" s="64">
        <f>D466</f>
        <v>0</v>
      </c>
      <c r="E462" s="64">
        <f t="shared" ref="E462:I462" si="117">E466</f>
        <v>200</v>
      </c>
      <c r="F462" s="64">
        <f t="shared" si="117"/>
        <v>700</v>
      </c>
      <c r="G462" s="64">
        <f t="shared" si="117"/>
        <v>0</v>
      </c>
      <c r="H462" s="64">
        <f t="shared" si="117"/>
        <v>0</v>
      </c>
      <c r="I462" s="64">
        <f t="shared" si="117"/>
        <v>0</v>
      </c>
    </row>
    <row r="463" spans="1:16" ht="12.95">
      <c r="A463" s="16"/>
      <c r="B463" s="40" t="s">
        <v>30</v>
      </c>
      <c r="C463" s="72">
        <f t="shared" si="112"/>
        <v>900</v>
      </c>
      <c r="D463" s="72">
        <f>D467</f>
        <v>0</v>
      </c>
      <c r="E463" s="72">
        <f t="shared" ref="E463:I463" si="118">E467</f>
        <v>200</v>
      </c>
      <c r="F463" s="72">
        <f t="shared" si="118"/>
        <v>700</v>
      </c>
      <c r="G463" s="72">
        <f t="shared" si="118"/>
        <v>0</v>
      </c>
      <c r="H463" s="72">
        <f t="shared" si="118"/>
        <v>0</v>
      </c>
      <c r="I463" s="72">
        <f t="shared" si="118"/>
        <v>0</v>
      </c>
    </row>
    <row r="464" spans="1:16">
      <c r="A464" s="31" t="s">
        <v>57</v>
      </c>
      <c r="B464" s="24" t="s">
        <v>29</v>
      </c>
      <c r="C464" s="72">
        <f t="shared" si="112"/>
        <v>900</v>
      </c>
      <c r="D464" s="72">
        <f>D466</f>
        <v>0</v>
      </c>
      <c r="E464" s="72">
        <f t="shared" ref="E464:I464" si="119">E466</f>
        <v>200</v>
      </c>
      <c r="F464" s="72">
        <f t="shared" si="119"/>
        <v>700</v>
      </c>
      <c r="G464" s="72">
        <f t="shared" si="119"/>
        <v>0</v>
      </c>
      <c r="H464" s="72">
        <f t="shared" si="119"/>
        <v>0</v>
      </c>
      <c r="I464" s="72">
        <f t="shared" si="119"/>
        <v>0</v>
      </c>
    </row>
    <row r="465" spans="1:14">
      <c r="A465" s="31"/>
      <c r="B465" s="26" t="s">
        <v>30</v>
      </c>
      <c r="C465" s="72">
        <f t="shared" si="112"/>
        <v>900</v>
      </c>
      <c r="D465" s="72">
        <f>D467</f>
        <v>0</v>
      </c>
      <c r="E465" s="72">
        <f t="shared" ref="E465:I465" si="120">E467</f>
        <v>200</v>
      </c>
      <c r="F465" s="72">
        <f t="shared" si="120"/>
        <v>700</v>
      </c>
      <c r="G465" s="72">
        <f t="shared" si="120"/>
        <v>0</v>
      </c>
      <c r="H465" s="72">
        <f t="shared" si="120"/>
        <v>0</v>
      </c>
      <c r="I465" s="72">
        <f t="shared" si="120"/>
        <v>0</v>
      </c>
    </row>
    <row r="466" spans="1:14">
      <c r="A466" s="75" t="s">
        <v>58</v>
      </c>
      <c r="B466" s="189" t="s">
        <v>29</v>
      </c>
      <c r="C466" s="190">
        <f t="shared" si="112"/>
        <v>900</v>
      </c>
      <c r="D466" s="190">
        <f>D468</f>
        <v>0</v>
      </c>
      <c r="E466" s="190">
        <f t="shared" ref="E466:I466" si="121">E468</f>
        <v>200</v>
      </c>
      <c r="F466" s="190">
        <f t="shared" si="121"/>
        <v>700</v>
      </c>
      <c r="G466" s="190">
        <f t="shared" si="121"/>
        <v>0</v>
      </c>
      <c r="H466" s="190">
        <f t="shared" si="121"/>
        <v>0</v>
      </c>
      <c r="I466" s="190">
        <f t="shared" si="121"/>
        <v>0</v>
      </c>
    </row>
    <row r="467" spans="1:14">
      <c r="A467" s="44"/>
      <c r="B467" s="191" t="s">
        <v>30</v>
      </c>
      <c r="C467" s="190">
        <f t="shared" si="112"/>
        <v>900</v>
      </c>
      <c r="D467" s="190">
        <f>D469</f>
        <v>0</v>
      </c>
      <c r="E467" s="190">
        <f t="shared" ref="E467:I467" si="122">E469</f>
        <v>200</v>
      </c>
      <c r="F467" s="190">
        <f t="shared" si="122"/>
        <v>700</v>
      </c>
      <c r="G467" s="190">
        <f t="shared" si="122"/>
        <v>0</v>
      </c>
      <c r="H467" s="190">
        <f t="shared" si="122"/>
        <v>0</v>
      </c>
      <c r="I467" s="190">
        <f t="shared" si="122"/>
        <v>0</v>
      </c>
    </row>
    <row r="468" spans="1:14" s="212" customFormat="1" ht="49.7">
      <c r="A468" s="353" t="s">
        <v>223</v>
      </c>
      <c r="B468" s="420" t="s">
        <v>29</v>
      </c>
      <c r="C468" s="203">
        <f t="shared" si="112"/>
        <v>900</v>
      </c>
      <c r="D468" s="203">
        <v>0</v>
      </c>
      <c r="E468" s="203">
        <v>200</v>
      </c>
      <c r="F468" s="203">
        <v>700</v>
      </c>
      <c r="G468" s="203">
        <v>0</v>
      </c>
      <c r="H468" s="203">
        <v>0</v>
      </c>
      <c r="I468" s="203">
        <v>0</v>
      </c>
      <c r="J468" s="624"/>
      <c r="K468" s="551"/>
      <c r="L468" s="551"/>
      <c r="M468" s="551"/>
      <c r="N468" s="551"/>
    </row>
    <row r="469" spans="1:14">
      <c r="A469" s="202"/>
      <c r="B469" s="218" t="s">
        <v>30</v>
      </c>
      <c r="C469" s="203">
        <f t="shared" si="112"/>
        <v>900</v>
      </c>
      <c r="D469" s="203">
        <v>0</v>
      </c>
      <c r="E469" s="203">
        <v>200</v>
      </c>
      <c r="F469" s="203">
        <v>700</v>
      </c>
      <c r="G469" s="203">
        <v>0</v>
      </c>
      <c r="H469" s="203">
        <v>0</v>
      </c>
      <c r="I469" s="203">
        <v>0</v>
      </c>
      <c r="J469" s="552"/>
      <c r="K469" s="551"/>
      <c r="L469" s="551"/>
      <c r="M469" s="551"/>
      <c r="N469" s="551"/>
    </row>
    <row r="470" spans="1:14">
      <c r="A470" s="634" t="s">
        <v>128</v>
      </c>
      <c r="B470" s="689"/>
      <c r="C470" s="689"/>
      <c r="D470" s="689"/>
      <c r="E470" s="689"/>
      <c r="F470" s="689"/>
      <c r="G470" s="689"/>
      <c r="H470" s="689"/>
      <c r="I470" s="690"/>
    </row>
    <row r="471" spans="1:14">
      <c r="A471" s="31" t="s">
        <v>54</v>
      </c>
      <c r="B471" s="35" t="s">
        <v>29</v>
      </c>
      <c r="C471" s="72">
        <f t="shared" ref="C471:C483" si="123">D471+E471+F471+G471+H471+I471</f>
        <v>68292.065999999992</v>
      </c>
      <c r="D471" s="72">
        <f>D473</f>
        <v>349.92600000000004</v>
      </c>
      <c r="E471" s="72">
        <f t="shared" ref="E471:I474" si="124">E473</f>
        <v>2900</v>
      </c>
      <c r="F471" s="72">
        <f t="shared" si="124"/>
        <v>17027.27</v>
      </c>
      <c r="G471" s="72">
        <f t="shared" si="124"/>
        <v>6900</v>
      </c>
      <c r="H471" s="72">
        <f t="shared" si="124"/>
        <v>6626.95</v>
      </c>
      <c r="I471" s="72">
        <f t="shared" si="124"/>
        <v>34487.919999999998</v>
      </c>
    </row>
    <row r="472" spans="1:14">
      <c r="A472" s="21" t="s">
        <v>87</v>
      </c>
      <c r="B472" s="41" t="s">
        <v>30</v>
      </c>
      <c r="C472" s="72">
        <f t="shared" si="123"/>
        <v>68292.065999999992</v>
      </c>
      <c r="D472" s="72">
        <f>D474</f>
        <v>349.92600000000004</v>
      </c>
      <c r="E472" s="72">
        <f t="shared" si="124"/>
        <v>2900</v>
      </c>
      <c r="F472" s="72">
        <f t="shared" si="124"/>
        <v>17027.27</v>
      </c>
      <c r="G472" s="72">
        <f t="shared" si="124"/>
        <v>6900</v>
      </c>
      <c r="H472" s="72">
        <f t="shared" si="124"/>
        <v>6626.95</v>
      </c>
      <c r="I472" s="72">
        <f t="shared" si="124"/>
        <v>34487.919999999998</v>
      </c>
    </row>
    <row r="473" spans="1:14">
      <c r="A473" s="192" t="s">
        <v>60</v>
      </c>
      <c r="B473" s="189" t="s">
        <v>29</v>
      </c>
      <c r="C473" s="190">
        <f t="shared" si="123"/>
        <v>68292.065999999992</v>
      </c>
      <c r="D473" s="190">
        <f>D475</f>
        <v>349.92600000000004</v>
      </c>
      <c r="E473" s="190">
        <f t="shared" si="124"/>
        <v>2900</v>
      </c>
      <c r="F473" s="190">
        <f t="shared" si="124"/>
        <v>17027.27</v>
      </c>
      <c r="G473" s="190">
        <f t="shared" si="124"/>
        <v>6900</v>
      </c>
      <c r="H473" s="190">
        <f t="shared" si="124"/>
        <v>6626.95</v>
      </c>
      <c r="I473" s="190">
        <f t="shared" si="124"/>
        <v>34487.919999999998</v>
      </c>
    </row>
    <row r="474" spans="1:14">
      <c r="A474" s="44" t="s">
        <v>48</v>
      </c>
      <c r="B474" s="191" t="s">
        <v>30</v>
      </c>
      <c r="C474" s="190">
        <f t="shared" si="123"/>
        <v>68292.065999999992</v>
      </c>
      <c r="D474" s="190">
        <f>D476</f>
        <v>349.92600000000004</v>
      </c>
      <c r="E474" s="190">
        <f t="shared" si="124"/>
        <v>2900</v>
      </c>
      <c r="F474" s="190">
        <f t="shared" si="124"/>
        <v>17027.27</v>
      </c>
      <c r="G474" s="190">
        <f t="shared" si="124"/>
        <v>6900</v>
      </c>
      <c r="H474" s="190">
        <f t="shared" si="124"/>
        <v>6626.95</v>
      </c>
      <c r="I474" s="190">
        <f t="shared" si="124"/>
        <v>34487.919999999998</v>
      </c>
    </row>
    <row r="475" spans="1:14" ht="12.95">
      <c r="A475" s="19" t="s">
        <v>37</v>
      </c>
      <c r="B475" s="73" t="s">
        <v>29</v>
      </c>
      <c r="C475" s="72">
        <f t="shared" si="123"/>
        <v>68292.065999999992</v>
      </c>
      <c r="D475" s="72">
        <f>D479</f>
        <v>349.92600000000004</v>
      </c>
      <c r="E475" s="72">
        <f t="shared" ref="E475:I476" si="125">E479</f>
        <v>2900</v>
      </c>
      <c r="F475" s="72">
        <f t="shared" si="125"/>
        <v>17027.27</v>
      </c>
      <c r="G475" s="72">
        <f t="shared" si="125"/>
        <v>6900</v>
      </c>
      <c r="H475" s="72">
        <f t="shared" si="125"/>
        <v>6626.95</v>
      </c>
      <c r="I475" s="72">
        <f t="shared" si="125"/>
        <v>34487.919999999998</v>
      </c>
    </row>
    <row r="476" spans="1:14" ht="12.95">
      <c r="A476" s="16"/>
      <c r="B476" s="40" t="s">
        <v>30</v>
      </c>
      <c r="C476" s="72">
        <f t="shared" si="123"/>
        <v>68292.065999999992</v>
      </c>
      <c r="D476" s="72">
        <f>D480</f>
        <v>349.92600000000004</v>
      </c>
      <c r="E476" s="72">
        <f t="shared" si="125"/>
        <v>2900</v>
      </c>
      <c r="F476" s="72">
        <f t="shared" si="125"/>
        <v>17027.27</v>
      </c>
      <c r="G476" s="72">
        <f t="shared" si="125"/>
        <v>6900</v>
      </c>
      <c r="H476" s="72">
        <f t="shared" si="125"/>
        <v>6626.95</v>
      </c>
      <c r="I476" s="72">
        <f t="shared" si="125"/>
        <v>34487.919999999998</v>
      </c>
    </row>
    <row r="477" spans="1:14">
      <c r="A477" s="31" t="s">
        <v>57</v>
      </c>
      <c r="B477" s="24" t="s">
        <v>29</v>
      </c>
      <c r="C477" s="72">
        <f t="shared" si="123"/>
        <v>68292.065999999992</v>
      </c>
      <c r="D477" s="72">
        <f>D479</f>
        <v>349.92600000000004</v>
      </c>
      <c r="E477" s="72">
        <f t="shared" ref="E477:I480" si="126">E479</f>
        <v>2900</v>
      </c>
      <c r="F477" s="72">
        <f t="shared" si="126"/>
        <v>17027.27</v>
      </c>
      <c r="G477" s="72">
        <f t="shared" si="126"/>
        <v>6900</v>
      </c>
      <c r="H477" s="72">
        <f t="shared" si="126"/>
        <v>6626.95</v>
      </c>
      <c r="I477" s="72">
        <f t="shared" si="126"/>
        <v>34487.919999999998</v>
      </c>
    </row>
    <row r="478" spans="1:14">
      <c r="A478" s="31"/>
      <c r="B478" s="26" t="s">
        <v>30</v>
      </c>
      <c r="C478" s="72">
        <f t="shared" si="123"/>
        <v>68292.065999999992</v>
      </c>
      <c r="D478" s="72">
        <f>D480</f>
        <v>349.92600000000004</v>
      </c>
      <c r="E478" s="72">
        <f t="shared" si="126"/>
        <v>2900</v>
      </c>
      <c r="F478" s="72">
        <f t="shared" si="126"/>
        <v>17027.27</v>
      </c>
      <c r="G478" s="72">
        <f t="shared" si="126"/>
        <v>6900</v>
      </c>
      <c r="H478" s="72">
        <f t="shared" si="126"/>
        <v>6626.95</v>
      </c>
      <c r="I478" s="72">
        <f t="shared" si="126"/>
        <v>34487.919999999998</v>
      </c>
    </row>
    <row r="479" spans="1:14">
      <c r="A479" s="75" t="s">
        <v>58</v>
      </c>
      <c r="B479" s="189" t="s">
        <v>29</v>
      </c>
      <c r="C479" s="190">
        <f t="shared" si="123"/>
        <v>68292.065999999992</v>
      </c>
      <c r="D479" s="190">
        <f>D481</f>
        <v>349.92600000000004</v>
      </c>
      <c r="E479" s="190">
        <f t="shared" si="126"/>
        <v>2900</v>
      </c>
      <c r="F479" s="190">
        <f t="shared" si="126"/>
        <v>17027.27</v>
      </c>
      <c r="G479" s="190">
        <f t="shared" si="126"/>
        <v>6900</v>
      </c>
      <c r="H479" s="190">
        <f t="shared" si="126"/>
        <v>6626.95</v>
      </c>
      <c r="I479" s="190">
        <f t="shared" si="126"/>
        <v>34487.919999999998</v>
      </c>
    </row>
    <row r="480" spans="1:14">
      <c r="A480" s="44"/>
      <c r="B480" s="191" t="s">
        <v>30</v>
      </c>
      <c r="C480" s="190">
        <f t="shared" si="123"/>
        <v>68292.065999999992</v>
      </c>
      <c r="D480" s="190">
        <f>D482</f>
        <v>349.92600000000004</v>
      </c>
      <c r="E480" s="190">
        <f t="shared" si="126"/>
        <v>2900</v>
      </c>
      <c r="F480" s="190">
        <f t="shared" si="126"/>
        <v>17027.27</v>
      </c>
      <c r="G480" s="190">
        <f t="shared" si="126"/>
        <v>6900</v>
      </c>
      <c r="H480" s="190">
        <f t="shared" si="126"/>
        <v>6626.95</v>
      </c>
      <c r="I480" s="190">
        <f t="shared" si="126"/>
        <v>34487.919999999998</v>
      </c>
    </row>
    <row r="481" spans="1:15">
      <c r="A481" s="81" t="s">
        <v>224</v>
      </c>
      <c r="B481" s="35" t="s">
        <v>29</v>
      </c>
      <c r="C481" s="72">
        <f t="shared" si="123"/>
        <v>68292.065999999992</v>
      </c>
      <c r="D481" s="72">
        <f>D483+D485+D487+D489+D491+D493</f>
        <v>349.92600000000004</v>
      </c>
      <c r="E481" s="72">
        <f t="shared" ref="E481:I481" si="127">E483+E485+E487+E489+E491+E493</f>
        <v>2900</v>
      </c>
      <c r="F481" s="72">
        <f t="shared" si="127"/>
        <v>17027.27</v>
      </c>
      <c r="G481" s="72">
        <f t="shared" si="127"/>
        <v>6900</v>
      </c>
      <c r="H481" s="72">
        <f t="shared" si="127"/>
        <v>6626.95</v>
      </c>
      <c r="I481" s="72">
        <f t="shared" si="127"/>
        <v>34487.919999999998</v>
      </c>
    </row>
    <row r="482" spans="1:15">
      <c r="A482" s="12"/>
      <c r="B482" s="41" t="s">
        <v>30</v>
      </c>
      <c r="C482" s="72">
        <f t="shared" si="123"/>
        <v>68292.065999999992</v>
      </c>
      <c r="D482" s="72">
        <f>D484+D486+D488+D490+D492+D494</f>
        <v>349.92600000000004</v>
      </c>
      <c r="E482" s="72">
        <f t="shared" ref="E482:I482" si="128">E484+E486+E488+E490+E492+E494</f>
        <v>2900</v>
      </c>
      <c r="F482" s="72">
        <f t="shared" si="128"/>
        <v>17027.27</v>
      </c>
      <c r="G482" s="72">
        <f t="shared" si="128"/>
        <v>6900</v>
      </c>
      <c r="H482" s="72">
        <f t="shared" si="128"/>
        <v>6626.95</v>
      </c>
      <c r="I482" s="72">
        <f t="shared" si="128"/>
        <v>34487.919999999998</v>
      </c>
    </row>
    <row r="483" spans="1:15" s="253" customFormat="1" ht="40.5" customHeight="1">
      <c r="A483" s="432" t="s">
        <v>225</v>
      </c>
      <c r="B483" s="216" t="s">
        <v>29</v>
      </c>
      <c r="C483" s="203">
        <f t="shared" si="123"/>
        <v>238</v>
      </c>
      <c r="D483" s="203">
        <v>0</v>
      </c>
      <c r="E483" s="261">
        <v>0</v>
      </c>
      <c r="F483" s="203">
        <v>238</v>
      </c>
      <c r="G483" s="203">
        <v>0</v>
      </c>
      <c r="H483" s="203">
        <v>0</v>
      </c>
      <c r="I483" s="203">
        <v>0</v>
      </c>
      <c r="J483" s="699"/>
      <c r="K483" s="700"/>
      <c r="L483" s="700"/>
      <c r="M483" s="700"/>
      <c r="N483" s="700"/>
      <c r="O483" s="700"/>
    </row>
    <row r="484" spans="1:15" s="249" customFormat="1" ht="15.75" customHeight="1">
      <c r="A484" s="202" t="s">
        <v>131</v>
      </c>
      <c r="B484" s="217" t="s">
        <v>30</v>
      </c>
      <c r="C484" s="203">
        <f>D484+E484+F484+G484+H484+I484</f>
        <v>238</v>
      </c>
      <c r="D484" s="203">
        <v>0</v>
      </c>
      <c r="E484" s="261">
        <v>0</v>
      </c>
      <c r="F484" s="203">
        <v>238</v>
      </c>
      <c r="G484" s="203">
        <v>0</v>
      </c>
      <c r="H484" s="203">
        <v>0</v>
      </c>
      <c r="I484" s="203">
        <v>0</v>
      </c>
      <c r="J484" s="699"/>
      <c r="K484" s="700"/>
      <c r="L484" s="700"/>
      <c r="M484" s="700"/>
      <c r="N484" s="700"/>
      <c r="O484" s="700"/>
    </row>
    <row r="485" spans="1:15" s="253" customFormat="1" ht="31.5" customHeight="1">
      <c r="A485" s="429" t="s">
        <v>226</v>
      </c>
      <c r="B485" s="216" t="s">
        <v>29</v>
      </c>
      <c r="C485" s="203">
        <f t="shared" ref="C485:C492" si="129">D485+E485+F485+G485+H485+I485</f>
        <v>21045.267</v>
      </c>
      <c r="D485" s="203">
        <f>116.25+2.067</f>
        <v>118.31700000000001</v>
      </c>
      <c r="E485" s="261">
        <v>500</v>
      </c>
      <c r="F485" s="203">
        <v>6900</v>
      </c>
      <c r="G485" s="203">
        <v>6900</v>
      </c>
      <c r="H485" s="203">
        <f>6596.95+30</f>
        <v>6626.95</v>
      </c>
      <c r="I485" s="203">
        <v>0</v>
      </c>
      <c r="J485" s="701" t="s">
        <v>227</v>
      </c>
      <c r="K485" s="702"/>
      <c r="L485" s="702"/>
      <c r="M485" s="702"/>
      <c r="N485" s="702"/>
      <c r="O485" s="702"/>
    </row>
    <row r="486" spans="1:15" s="27" customFormat="1" ht="15.75" customHeight="1">
      <c r="A486" s="21"/>
      <c r="B486" s="26" t="s">
        <v>30</v>
      </c>
      <c r="C486" s="64">
        <f t="shared" si="129"/>
        <v>21045.267</v>
      </c>
      <c r="D486" s="72">
        <f>116.25+2.067</f>
        <v>118.31700000000001</v>
      </c>
      <c r="E486" s="266">
        <v>500</v>
      </c>
      <c r="F486" s="64">
        <v>6900</v>
      </c>
      <c r="G486" s="72">
        <v>6900</v>
      </c>
      <c r="H486" s="72">
        <f>6596.95+30</f>
        <v>6626.95</v>
      </c>
      <c r="I486" s="72">
        <v>0</v>
      </c>
      <c r="J486" s="701"/>
      <c r="K486" s="702"/>
      <c r="L486" s="702"/>
      <c r="M486" s="702"/>
      <c r="N486" s="702"/>
      <c r="O486" s="702"/>
    </row>
    <row r="487" spans="1:15" s="253" customFormat="1" ht="27.75" customHeight="1">
      <c r="A487" s="433" t="s">
        <v>228</v>
      </c>
      <c r="B487" s="216" t="s">
        <v>29</v>
      </c>
      <c r="C487" s="203">
        <f t="shared" si="129"/>
        <v>10983.489</v>
      </c>
      <c r="D487" s="203">
        <f>97.899+18.95</f>
        <v>116.849</v>
      </c>
      <c r="E487" s="261">
        <v>100</v>
      </c>
      <c r="F487" s="203">
        <v>0</v>
      </c>
      <c r="G487" s="203">
        <v>0</v>
      </c>
      <c r="H487" s="203">
        <v>0</v>
      </c>
      <c r="I487" s="203">
        <f>10766.64+100-100</f>
        <v>10766.64</v>
      </c>
      <c r="J487" s="691" t="s">
        <v>229</v>
      </c>
      <c r="K487" s="692"/>
      <c r="L487" s="692"/>
      <c r="M487" s="692"/>
      <c r="N487" s="692"/>
      <c r="O487" s="692"/>
    </row>
    <row r="488" spans="1:15" s="249" customFormat="1" ht="15.75" customHeight="1">
      <c r="A488" s="202"/>
      <c r="B488" s="217" t="s">
        <v>30</v>
      </c>
      <c r="C488" s="203">
        <f t="shared" si="129"/>
        <v>10983.489</v>
      </c>
      <c r="D488" s="203">
        <f>97.899+18.95</f>
        <v>116.849</v>
      </c>
      <c r="E488" s="261">
        <v>100</v>
      </c>
      <c r="F488" s="203">
        <v>0</v>
      </c>
      <c r="G488" s="203">
        <v>0</v>
      </c>
      <c r="H488" s="203">
        <v>0</v>
      </c>
      <c r="I488" s="203">
        <f>10766.64+100-100</f>
        <v>10766.64</v>
      </c>
      <c r="J488" s="691"/>
      <c r="K488" s="692"/>
      <c r="L488" s="692"/>
      <c r="M488" s="692"/>
      <c r="N488" s="692"/>
      <c r="O488" s="692"/>
    </row>
    <row r="489" spans="1:15" s="253" customFormat="1" ht="39.75" customHeight="1">
      <c r="A489" s="429" t="s">
        <v>230</v>
      </c>
      <c r="B489" s="216" t="s">
        <v>29</v>
      </c>
      <c r="C489" s="203">
        <f t="shared" si="129"/>
        <v>18919.87</v>
      </c>
      <c r="D489" s="203">
        <f>95.92+2.99</f>
        <v>98.91</v>
      </c>
      <c r="E489" s="266">
        <v>500</v>
      </c>
      <c r="F489" s="203">
        <v>0</v>
      </c>
      <c r="G489" s="203">
        <v>0</v>
      </c>
      <c r="H489" s="203">
        <v>0</v>
      </c>
      <c r="I489" s="72">
        <f>18340.96-20+500-500</f>
        <v>18320.96</v>
      </c>
      <c r="J489" s="693" t="s">
        <v>231</v>
      </c>
      <c r="K489" s="694"/>
      <c r="L489" s="694"/>
      <c r="M489" s="694"/>
      <c r="N489" s="694"/>
      <c r="O489" s="694"/>
    </row>
    <row r="490" spans="1:15" s="27" customFormat="1" ht="15.75" customHeight="1">
      <c r="A490" s="21"/>
      <c r="B490" s="26" t="s">
        <v>30</v>
      </c>
      <c r="C490" s="64">
        <f t="shared" si="129"/>
        <v>18919.87</v>
      </c>
      <c r="D490" s="72">
        <f>95.92+2.99</f>
        <v>98.91</v>
      </c>
      <c r="E490" s="266">
        <v>500</v>
      </c>
      <c r="F490" s="64">
        <v>0</v>
      </c>
      <c r="G490" s="72">
        <v>0</v>
      </c>
      <c r="H490" s="72">
        <v>0</v>
      </c>
      <c r="I490" s="72">
        <f>18340.96-20+500-500</f>
        <v>18320.96</v>
      </c>
      <c r="J490" s="693"/>
      <c r="K490" s="694"/>
      <c r="L490" s="694"/>
      <c r="M490" s="694"/>
      <c r="N490" s="694"/>
      <c r="O490" s="694"/>
    </row>
    <row r="491" spans="1:15" s="253" customFormat="1" ht="27" customHeight="1">
      <c r="A491" s="426" t="s">
        <v>232</v>
      </c>
      <c r="B491" s="216" t="s">
        <v>29</v>
      </c>
      <c r="C491" s="203">
        <f t="shared" si="129"/>
        <v>10905.12</v>
      </c>
      <c r="D491" s="203">
        <v>15.85</v>
      </c>
      <c r="E491" s="261">
        <v>0</v>
      </c>
      <c r="F491" s="203">
        <v>9889.27</v>
      </c>
      <c r="G491" s="427">
        <v>0</v>
      </c>
      <c r="H491" s="203">
        <v>0</v>
      </c>
      <c r="I491" s="203">
        <v>1000</v>
      </c>
      <c r="J491" s="695" t="s">
        <v>233</v>
      </c>
      <c r="K491" s="696"/>
      <c r="L491" s="696"/>
      <c r="M491" s="696"/>
      <c r="N491" s="696"/>
      <c r="O491" s="696"/>
    </row>
    <row r="492" spans="1:15" s="213" customFormat="1" ht="15.75" customHeight="1">
      <c r="A492" s="215" t="s">
        <v>131</v>
      </c>
      <c r="B492" s="226" t="s">
        <v>30</v>
      </c>
      <c r="C492" s="240">
        <f t="shared" si="129"/>
        <v>10905.12</v>
      </c>
      <c r="D492" s="240">
        <v>15.85</v>
      </c>
      <c r="E492" s="264">
        <v>0</v>
      </c>
      <c r="F492" s="240">
        <v>9889.27</v>
      </c>
      <c r="G492" s="320">
        <v>0</v>
      </c>
      <c r="H492" s="240">
        <v>0</v>
      </c>
      <c r="I492" s="240">
        <v>1000</v>
      </c>
      <c r="J492" s="695"/>
      <c r="K492" s="696"/>
      <c r="L492" s="696"/>
      <c r="M492" s="696"/>
      <c r="N492" s="696"/>
      <c r="O492" s="696"/>
    </row>
    <row r="493" spans="1:15" s="253" customFormat="1" ht="27" customHeight="1">
      <c r="A493" s="539" t="s">
        <v>234</v>
      </c>
      <c r="B493" s="216" t="s">
        <v>29</v>
      </c>
      <c r="C493" s="203">
        <f t="shared" ref="C493:C494" si="130">D493+E493+F493+G493+H493+I493</f>
        <v>6200.32</v>
      </c>
      <c r="D493" s="203">
        <v>0</v>
      </c>
      <c r="E493" s="261">
        <v>1800</v>
      </c>
      <c r="F493" s="203">
        <v>0</v>
      </c>
      <c r="G493" s="427">
        <v>0</v>
      </c>
      <c r="H493" s="203">
        <v>0</v>
      </c>
      <c r="I493" s="240">
        <f>6200.32-1800</f>
        <v>4400.32</v>
      </c>
      <c r="J493" s="695" t="s">
        <v>235</v>
      </c>
      <c r="K493" s="696"/>
      <c r="L493" s="696"/>
      <c r="M493" s="696"/>
      <c r="N493" s="696"/>
      <c r="O493" s="696"/>
    </row>
    <row r="494" spans="1:15" s="213" customFormat="1" ht="15.75" customHeight="1">
      <c r="A494" s="215" t="s">
        <v>131</v>
      </c>
      <c r="B494" s="226" t="s">
        <v>30</v>
      </c>
      <c r="C494" s="240">
        <f t="shared" si="130"/>
        <v>6200.32</v>
      </c>
      <c r="D494" s="240">
        <v>0</v>
      </c>
      <c r="E494" s="264">
        <v>1800</v>
      </c>
      <c r="F494" s="240">
        <v>0</v>
      </c>
      <c r="G494" s="320">
        <v>0</v>
      </c>
      <c r="H494" s="240">
        <v>0</v>
      </c>
      <c r="I494" s="240">
        <f>6200.32-1800</f>
        <v>4400.32</v>
      </c>
      <c r="J494" s="695"/>
      <c r="K494" s="696"/>
      <c r="L494" s="696"/>
      <c r="M494" s="696"/>
      <c r="N494" s="696"/>
      <c r="O494" s="696"/>
    </row>
    <row r="495" spans="1:15">
      <c r="A495" s="657" t="s">
        <v>236</v>
      </c>
      <c r="B495" s="659"/>
      <c r="C495" s="659"/>
      <c r="D495" s="659"/>
      <c r="E495" s="659"/>
      <c r="F495" s="659"/>
      <c r="G495" s="659"/>
      <c r="H495" s="659"/>
      <c r="I495" s="660"/>
    </row>
    <row r="496" spans="1:15">
      <c r="A496" s="577" t="s">
        <v>54</v>
      </c>
      <c r="B496" s="578"/>
      <c r="C496" s="578"/>
      <c r="D496" s="578"/>
      <c r="E496" s="578"/>
      <c r="F496" s="578"/>
      <c r="G496" s="578"/>
      <c r="H496" s="578"/>
      <c r="I496" s="579"/>
    </row>
    <row r="497" spans="1:9">
      <c r="A497" s="7" t="s">
        <v>28</v>
      </c>
      <c r="B497" s="3" t="s">
        <v>29</v>
      </c>
      <c r="C497" s="52">
        <f t="shared" ref="C497:C536" si="131">D497+E497+F497+G497+H497+I497</f>
        <v>536535.26300000004</v>
      </c>
      <c r="D497" s="64">
        <f t="shared" ref="D497:I498" si="132">D499+D519</f>
        <v>137177.88699999999</v>
      </c>
      <c r="E497" s="64">
        <f t="shared" si="132"/>
        <v>105881</v>
      </c>
      <c r="F497" s="64">
        <f t="shared" si="132"/>
        <v>90435.040000000008</v>
      </c>
      <c r="G497" s="64">
        <f t="shared" si="132"/>
        <v>80118.009999999995</v>
      </c>
      <c r="H497" s="64">
        <f t="shared" si="132"/>
        <v>65853.919999999998</v>
      </c>
      <c r="I497" s="64">
        <f t="shared" si="132"/>
        <v>57069.405999999995</v>
      </c>
    </row>
    <row r="498" spans="1:9" ht="12.95" thickBot="1">
      <c r="A498" s="8"/>
      <c r="B498" s="9" t="s">
        <v>30</v>
      </c>
      <c r="C498" s="52">
        <f t="shared" si="131"/>
        <v>536535.26300000004</v>
      </c>
      <c r="D498" s="64">
        <f t="shared" si="132"/>
        <v>137177.88699999999</v>
      </c>
      <c r="E498" s="64">
        <f t="shared" si="132"/>
        <v>105881</v>
      </c>
      <c r="F498" s="64">
        <f t="shared" si="132"/>
        <v>90435.040000000008</v>
      </c>
      <c r="G498" s="64">
        <f t="shared" si="132"/>
        <v>80118.009999999995</v>
      </c>
      <c r="H498" s="64">
        <f t="shared" si="132"/>
        <v>65853.919999999998</v>
      </c>
      <c r="I498" s="64">
        <f t="shared" si="132"/>
        <v>57069.405999999995</v>
      </c>
    </row>
    <row r="499" spans="1:9">
      <c r="A499" s="14" t="s">
        <v>31</v>
      </c>
      <c r="B499" s="3" t="s">
        <v>29</v>
      </c>
      <c r="C499" s="52">
        <f t="shared" si="131"/>
        <v>363098.36099999998</v>
      </c>
      <c r="D499" s="52">
        <f>D501+D507+D503+D505</f>
        <v>84899.02</v>
      </c>
      <c r="E499" s="52">
        <f t="shared" ref="E499:I500" si="133">E501+E507+E503+E505</f>
        <v>36581</v>
      </c>
      <c r="F499" s="52">
        <f t="shared" si="133"/>
        <v>87870.040000000008</v>
      </c>
      <c r="G499" s="52">
        <f t="shared" si="133"/>
        <v>77818.009999999995</v>
      </c>
      <c r="H499" s="52">
        <f t="shared" si="133"/>
        <v>65853.919999999998</v>
      </c>
      <c r="I499" s="52">
        <f t="shared" si="133"/>
        <v>10076.370999999999</v>
      </c>
    </row>
    <row r="500" spans="1:9">
      <c r="A500" s="10" t="s">
        <v>32</v>
      </c>
      <c r="B500" s="4" t="s">
        <v>30</v>
      </c>
      <c r="C500" s="52">
        <f t="shared" si="131"/>
        <v>363098.36099999998</v>
      </c>
      <c r="D500" s="52">
        <f>D502+D508+D504+D506</f>
        <v>84899.02</v>
      </c>
      <c r="E500" s="52">
        <f t="shared" si="133"/>
        <v>36581</v>
      </c>
      <c r="F500" s="52">
        <f t="shared" si="133"/>
        <v>87870.040000000008</v>
      </c>
      <c r="G500" s="52">
        <f t="shared" si="133"/>
        <v>77818.009999999995</v>
      </c>
      <c r="H500" s="52">
        <f t="shared" si="133"/>
        <v>65853.919999999998</v>
      </c>
      <c r="I500" s="52">
        <f t="shared" si="133"/>
        <v>10076.370999999999</v>
      </c>
    </row>
    <row r="501" spans="1:9" s="211" customFormat="1" ht="25.5" customHeight="1">
      <c r="A501" s="214" t="s">
        <v>49</v>
      </c>
      <c r="B501" s="281" t="s">
        <v>29</v>
      </c>
      <c r="C501" s="246">
        <f t="shared" si="131"/>
        <v>6177</v>
      </c>
      <c r="D501" s="246">
        <f>D585</f>
        <v>1273</v>
      </c>
      <c r="E501" s="246">
        <f t="shared" ref="E501:I502" si="134">E585</f>
        <v>4904</v>
      </c>
      <c r="F501" s="246">
        <f t="shared" si="134"/>
        <v>0</v>
      </c>
      <c r="G501" s="246">
        <f t="shared" si="134"/>
        <v>0</v>
      </c>
      <c r="H501" s="246">
        <f t="shared" si="134"/>
        <v>0</v>
      </c>
      <c r="I501" s="246">
        <f t="shared" si="134"/>
        <v>0</v>
      </c>
    </row>
    <row r="502" spans="1:9" s="211" customFormat="1" ht="12.95">
      <c r="A502" s="225"/>
      <c r="B502" s="226" t="s">
        <v>30</v>
      </c>
      <c r="C502" s="246">
        <f t="shared" si="131"/>
        <v>6177</v>
      </c>
      <c r="D502" s="246">
        <f>D586</f>
        <v>1273</v>
      </c>
      <c r="E502" s="246">
        <f t="shared" si="134"/>
        <v>4904</v>
      </c>
      <c r="F502" s="246">
        <f t="shared" si="134"/>
        <v>0</v>
      </c>
      <c r="G502" s="246">
        <f t="shared" si="134"/>
        <v>0</v>
      </c>
      <c r="H502" s="246">
        <f t="shared" si="134"/>
        <v>0</v>
      </c>
      <c r="I502" s="246">
        <f t="shared" si="134"/>
        <v>0</v>
      </c>
    </row>
    <row r="503" spans="1:9" ht="25.7">
      <c r="A503" s="214" t="s">
        <v>103</v>
      </c>
      <c r="B503" s="59" t="s">
        <v>29</v>
      </c>
      <c r="C503" s="52">
        <f>D503+E503+F503+G503+H503+I503</f>
        <v>2540.12</v>
      </c>
      <c r="D503" s="52">
        <f t="shared" ref="D503:I504" si="135">D587+D1472</f>
        <v>2540.12</v>
      </c>
      <c r="E503" s="52">
        <f t="shared" si="135"/>
        <v>0</v>
      </c>
      <c r="F503" s="52">
        <f t="shared" si="135"/>
        <v>0</v>
      </c>
      <c r="G503" s="52">
        <f t="shared" si="135"/>
        <v>0</v>
      </c>
      <c r="H503" s="52">
        <f t="shared" si="135"/>
        <v>0</v>
      </c>
      <c r="I503" s="52">
        <f t="shared" si="135"/>
        <v>0</v>
      </c>
    </row>
    <row r="504" spans="1:9" ht="12.95">
      <c r="A504" s="16"/>
      <c r="B504" s="62" t="s">
        <v>30</v>
      </c>
      <c r="C504" s="52">
        <f>D504+E504+F504+G504+H504+I504</f>
        <v>2540.12</v>
      </c>
      <c r="D504" s="52">
        <f t="shared" si="135"/>
        <v>2540.12</v>
      </c>
      <c r="E504" s="52">
        <f t="shared" si="135"/>
        <v>0</v>
      </c>
      <c r="F504" s="52">
        <f t="shared" si="135"/>
        <v>0</v>
      </c>
      <c r="G504" s="52">
        <f t="shared" si="135"/>
        <v>0</v>
      </c>
      <c r="H504" s="52">
        <f t="shared" si="135"/>
        <v>0</v>
      </c>
      <c r="I504" s="52">
        <f t="shared" si="135"/>
        <v>0</v>
      </c>
    </row>
    <row r="505" spans="1:9" s="211" customFormat="1" ht="25.7">
      <c r="A505" s="296" t="s">
        <v>36</v>
      </c>
      <c r="B505" s="281" t="s">
        <v>29</v>
      </c>
      <c r="C505" s="246">
        <f>D505+E505+F505+G505+H505+I505</f>
        <v>37939</v>
      </c>
      <c r="D505" s="246">
        <f>D589</f>
        <v>37939</v>
      </c>
      <c r="E505" s="246">
        <f t="shared" ref="E505:I506" si="136">E589</f>
        <v>0</v>
      </c>
      <c r="F505" s="246">
        <f t="shared" si="136"/>
        <v>0</v>
      </c>
      <c r="G505" s="246">
        <f t="shared" si="136"/>
        <v>0</v>
      </c>
      <c r="H505" s="246">
        <f t="shared" si="136"/>
        <v>0</v>
      </c>
      <c r="I505" s="246">
        <f t="shared" si="136"/>
        <v>0</v>
      </c>
    </row>
    <row r="506" spans="1:9" s="211" customFormat="1" ht="12.95">
      <c r="A506" s="225"/>
      <c r="B506" s="226" t="s">
        <v>30</v>
      </c>
      <c r="C506" s="246">
        <f>D506+E506+F506+G506+H506+I506</f>
        <v>37939</v>
      </c>
      <c r="D506" s="246">
        <f>D590</f>
        <v>37939</v>
      </c>
      <c r="E506" s="246">
        <f t="shared" si="136"/>
        <v>0</v>
      </c>
      <c r="F506" s="246">
        <f t="shared" si="136"/>
        <v>0</v>
      </c>
      <c r="G506" s="246">
        <f t="shared" si="136"/>
        <v>0</v>
      </c>
      <c r="H506" s="246">
        <f t="shared" si="136"/>
        <v>0</v>
      </c>
      <c r="I506" s="246">
        <f t="shared" si="136"/>
        <v>0</v>
      </c>
    </row>
    <row r="507" spans="1:9" s="20" customFormat="1" ht="12.95">
      <c r="A507" s="19" t="s">
        <v>37</v>
      </c>
      <c r="B507" s="59" t="s">
        <v>29</v>
      </c>
      <c r="C507" s="64">
        <f t="shared" si="131"/>
        <v>316442.24099999998</v>
      </c>
      <c r="D507" s="64">
        <f>D509+D517</f>
        <v>43146.9</v>
      </c>
      <c r="E507" s="64">
        <f t="shared" ref="E507:I508" si="137">E509+E517</f>
        <v>31677</v>
      </c>
      <c r="F507" s="64">
        <f t="shared" si="137"/>
        <v>87870.040000000008</v>
      </c>
      <c r="G507" s="64">
        <f t="shared" si="137"/>
        <v>77818.009999999995</v>
      </c>
      <c r="H507" s="64">
        <f t="shared" si="137"/>
        <v>65853.919999999998</v>
      </c>
      <c r="I507" s="64">
        <f t="shared" si="137"/>
        <v>10076.370999999999</v>
      </c>
    </row>
    <row r="508" spans="1:9" s="20" customFormat="1" ht="12.95">
      <c r="A508" s="16"/>
      <c r="B508" s="62" t="s">
        <v>30</v>
      </c>
      <c r="C508" s="64">
        <f t="shared" si="131"/>
        <v>316442.24099999998</v>
      </c>
      <c r="D508" s="64">
        <f>D510+D518</f>
        <v>43146.9</v>
      </c>
      <c r="E508" s="64">
        <f>E510+E518</f>
        <v>31677</v>
      </c>
      <c r="F508" s="64">
        <f t="shared" si="137"/>
        <v>87870.040000000008</v>
      </c>
      <c r="G508" s="64">
        <f t="shared" si="137"/>
        <v>77818.009999999995</v>
      </c>
      <c r="H508" s="64">
        <f t="shared" si="137"/>
        <v>65853.919999999998</v>
      </c>
      <c r="I508" s="64">
        <f t="shared" si="137"/>
        <v>10076.370999999999</v>
      </c>
    </row>
    <row r="509" spans="1:9" s="20" customFormat="1" ht="12.95">
      <c r="A509" s="15" t="s">
        <v>38</v>
      </c>
      <c r="B509" s="63" t="s">
        <v>29</v>
      </c>
      <c r="C509" s="64">
        <f t="shared" si="131"/>
        <v>50256.050999999999</v>
      </c>
      <c r="D509" s="64">
        <f>D511+D513+D515</f>
        <v>37928.080000000002</v>
      </c>
      <c r="E509" s="64">
        <f t="shared" ref="E509:I510" si="138">E511+E513+E515</f>
        <v>9220</v>
      </c>
      <c r="F509" s="64">
        <f t="shared" si="138"/>
        <v>0</v>
      </c>
      <c r="G509" s="64">
        <f t="shared" si="138"/>
        <v>0</v>
      </c>
      <c r="H509" s="64">
        <f t="shared" si="138"/>
        <v>0</v>
      </c>
      <c r="I509" s="64">
        <f t="shared" si="138"/>
        <v>3107.971</v>
      </c>
    </row>
    <row r="510" spans="1:9" s="20" customFormat="1" ht="12.95">
      <c r="A510" s="30"/>
      <c r="B510" s="62" t="s">
        <v>30</v>
      </c>
      <c r="C510" s="64">
        <f t="shared" si="131"/>
        <v>50256.050999999999</v>
      </c>
      <c r="D510" s="64">
        <f>D512+D514+D516</f>
        <v>37928.080000000002</v>
      </c>
      <c r="E510" s="64">
        <f t="shared" si="138"/>
        <v>9220</v>
      </c>
      <c r="F510" s="64">
        <f t="shared" si="138"/>
        <v>0</v>
      </c>
      <c r="G510" s="64">
        <f t="shared" si="138"/>
        <v>0</v>
      </c>
      <c r="H510" s="64">
        <f t="shared" si="138"/>
        <v>0</v>
      </c>
      <c r="I510" s="64">
        <f t="shared" si="138"/>
        <v>3107.971</v>
      </c>
    </row>
    <row r="511" spans="1:9" s="20" customFormat="1" ht="12.95">
      <c r="A511" s="15" t="s">
        <v>40</v>
      </c>
      <c r="B511" s="63" t="s">
        <v>29</v>
      </c>
      <c r="C511" s="64">
        <f t="shared" si="131"/>
        <v>27362.05</v>
      </c>
      <c r="D511" s="64">
        <f>D595</f>
        <v>26697.05</v>
      </c>
      <c r="E511" s="64">
        <f t="shared" ref="E511:I514" si="139">E595</f>
        <v>665</v>
      </c>
      <c r="F511" s="64">
        <f t="shared" si="139"/>
        <v>0</v>
      </c>
      <c r="G511" s="64">
        <f t="shared" si="139"/>
        <v>0</v>
      </c>
      <c r="H511" s="64">
        <f t="shared" si="139"/>
        <v>0</v>
      </c>
      <c r="I511" s="64">
        <f t="shared" si="139"/>
        <v>0</v>
      </c>
    </row>
    <row r="512" spans="1:9" s="20" customFormat="1" ht="12.95">
      <c r="A512" s="30"/>
      <c r="B512" s="62" t="s">
        <v>30</v>
      </c>
      <c r="C512" s="64">
        <f t="shared" si="131"/>
        <v>27362.05</v>
      </c>
      <c r="D512" s="64">
        <f>D596</f>
        <v>26697.05</v>
      </c>
      <c r="E512" s="64">
        <f t="shared" si="139"/>
        <v>665</v>
      </c>
      <c r="F512" s="64">
        <f t="shared" si="139"/>
        <v>0</v>
      </c>
      <c r="G512" s="64">
        <f t="shared" si="139"/>
        <v>0</v>
      </c>
      <c r="H512" s="64">
        <f t="shared" si="139"/>
        <v>0</v>
      </c>
      <c r="I512" s="64">
        <f t="shared" si="139"/>
        <v>0</v>
      </c>
    </row>
    <row r="513" spans="1:9" s="20" customFormat="1" ht="12.95">
      <c r="A513" s="15" t="s">
        <v>41</v>
      </c>
      <c r="B513" s="63" t="s">
        <v>29</v>
      </c>
      <c r="C513" s="64">
        <f t="shared" si="131"/>
        <v>1441.42</v>
      </c>
      <c r="D513" s="64">
        <f>D597</f>
        <v>1067.81</v>
      </c>
      <c r="E513" s="64">
        <f t="shared" si="139"/>
        <v>200</v>
      </c>
      <c r="F513" s="64">
        <f t="shared" si="139"/>
        <v>0</v>
      </c>
      <c r="G513" s="64">
        <f t="shared" si="139"/>
        <v>0</v>
      </c>
      <c r="H513" s="64">
        <f t="shared" si="139"/>
        <v>0</v>
      </c>
      <c r="I513" s="64">
        <f t="shared" si="139"/>
        <v>173.61</v>
      </c>
    </row>
    <row r="514" spans="1:9" s="20" customFormat="1" ht="12.95">
      <c r="A514" s="30"/>
      <c r="B514" s="62" t="s">
        <v>30</v>
      </c>
      <c r="C514" s="64">
        <f t="shared" si="131"/>
        <v>1441.42</v>
      </c>
      <c r="D514" s="64">
        <f>D598</f>
        <v>1067.81</v>
      </c>
      <c r="E514" s="64">
        <f t="shared" si="139"/>
        <v>200</v>
      </c>
      <c r="F514" s="64">
        <f t="shared" si="139"/>
        <v>0</v>
      </c>
      <c r="G514" s="64">
        <f t="shared" si="139"/>
        <v>0</v>
      </c>
      <c r="H514" s="64">
        <f t="shared" si="139"/>
        <v>0</v>
      </c>
      <c r="I514" s="64">
        <f t="shared" si="139"/>
        <v>173.61</v>
      </c>
    </row>
    <row r="515" spans="1:9" s="20" customFormat="1" ht="12.95">
      <c r="A515" s="15" t="s">
        <v>42</v>
      </c>
      <c r="B515" s="63" t="s">
        <v>29</v>
      </c>
      <c r="C515" s="64">
        <f t="shared" si="131"/>
        <v>21452.581000000002</v>
      </c>
      <c r="D515" s="64">
        <f t="shared" ref="D515:I516" si="140">D547+D599+D1478+D2068</f>
        <v>10163.219999999999</v>
      </c>
      <c r="E515" s="64">
        <f t="shared" si="140"/>
        <v>8355</v>
      </c>
      <c r="F515" s="64">
        <f t="shared" si="140"/>
        <v>0</v>
      </c>
      <c r="G515" s="64">
        <f t="shared" si="140"/>
        <v>0</v>
      </c>
      <c r="H515" s="64">
        <f t="shared" si="140"/>
        <v>0</v>
      </c>
      <c r="I515" s="64">
        <f t="shared" si="140"/>
        <v>2934.3609999999999</v>
      </c>
    </row>
    <row r="516" spans="1:9" s="20" customFormat="1" ht="12.95">
      <c r="A516" s="30"/>
      <c r="B516" s="62" t="s">
        <v>30</v>
      </c>
      <c r="C516" s="64">
        <f t="shared" si="131"/>
        <v>21452.581000000002</v>
      </c>
      <c r="D516" s="64">
        <f t="shared" si="140"/>
        <v>10163.219999999999</v>
      </c>
      <c r="E516" s="64">
        <f t="shared" si="140"/>
        <v>8355</v>
      </c>
      <c r="F516" s="64">
        <f t="shared" si="140"/>
        <v>0</v>
      </c>
      <c r="G516" s="64">
        <f t="shared" si="140"/>
        <v>0</v>
      </c>
      <c r="H516" s="64">
        <f t="shared" si="140"/>
        <v>0</v>
      </c>
      <c r="I516" s="64">
        <f t="shared" si="140"/>
        <v>2934.3609999999999</v>
      </c>
    </row>
    <row r="517" spans="1:9" s="213" customFormat="1" ht="12.95">
      <c r="A517" s="308" t="s">
        <v>43</v>
      </c>
      <c r="B517" s="237" t="s">
        <v>29</v>
      </c>
      <c r="C517" s="240">
        <f t="shared" si="131"/>
        <v>266186.19</v>
      </c>
      <c r="D517" s="240">
        <f t="shared" ref="D517:I518" si="141">D2070+D2043</f>
        <v>5218.8200000000006</v>
      </c>
      <c r="E517" s="240">
        <f t="shared" si="141"/>
        <v>22457</v>
      </c>
      <c r="F517" s="240">
        <f t="shared" si="141"/>
        <v>87870.040000000008</v>
      </c>
      <c r="G517" s="240">
        <f t="shared" si="141"/>
        <v>77818.009999999995</v>
      </c>
      <c r="H517" s="240">
        <f t="shared" si="141"/>
        <v>65853.919999999998</v>
      </c>
      <c r="I517" s="240">
        <f t="shared" si="141"/>
        <v>6968.4</v>
      </c>
    </row>
    <row r="518" spans="1:9" s="213" customFormat="1" ht="12.95">
      <c r="A518" s="309"/>
      <c r="B518" s="226" t="s">
        <v>30</v>
      </c>
      <c r="C518" s="240">
        <f t="shared" si="131"/>
        <v>266186.19</v>
      </c>
      <c r="D518" s="240">
        <f t="shared" si="141"/>
        <v>5218.8200000000006</v>
      </c>
      <c r="E518" s="240">
        <f t="shared" si="141"/>
        <v>22457</v>
      </c>
      <c r="F518" s="240">
        <f t="shared" si="141"/>
        <v>87870.040000000008</v>
      </c>
      <c r="G518" s="240">
        <f t="shared" si="141"/>
        <v>77818.009999999995</v>
      </c>
      <c r="H518" s="240">
        <f t="shared" si="141"/>
        <v>65853.919999999998</v>
      </c>
      <c r="I518" s="240">
        <f t="shared" si="141"/>
        <v>6968.4</v>
      </c>
    </row>
    <row r="519" spans="1:9" s="20" customFormat="1">
      <c r="A519" s="14" t="s">
        <v>47</v>
      </c>
      <c r="B519" s="63" t="s">
        <v>29</v>
      </c>
      <c r="C519" s="64">
        <f t="shared" si="131"/>
        <v>173436.902</v>
      </c>
      <c r="D519" s="52">
        <f>D521+D523+D525</f>
        <v>52278.866999999998</v>
      </c>
      <c r="E519" s="52">
        <f t="shared" ref="E519:I520" si="142">E521+E523+E525</f>
        <v>69300</v>
      </c>
      <c r="F519" s="52">
        <f t="shared" si="142"/>
        <v>2565</v>
      </c>
      <c r="G519" s="52">
        <f t="shared" si="142"/>
        <v>2300</v>
      </c>
      <c r="H519" s="52">
        <f t="shared" si="142"/>
        <v>0</v>
      </c>
      <c r="I519" s="52">
        <f t="shared" si="142"/>
        <v>46993.034999999996</v>
      </c>
    </row>
    <row r="520" spans="1:9">
      <c r="A520" s="12" t="s">
        <v>48</v>
      </c>
      <c r="B520" s="4" t="s">
        <v>30</v>
      </c>
      <c r="C520" s="52">
        <f t="shared" si="131"/>
        <v>173436.902</v>
      </c>
      <c r="D520" s="52">
        <f>D522+D524+D526</f>
        <v>52278.866999999998</v>
      </c>
      <c r="E520" s="52">
        <f t="shared" si="142"/>
        <v>69300</v>
      </c>
      <c r="F520" s="52">
        <f t="shared" si="142"/>
        <v>2565</v>
      </c>
      <c r="G520" s="52">
        <f t="shared" si="142"/>
        <v>2300</v>
      </c>
      <c r="H520" s="52">
        <f t="shared" si="142"/>
        <v>0</v>
      </c>
      <c r="I520" s="52">
        <f t="shared" si="142"/>
        <v>46993.034999999996</v>
      </c>
    </row>
    <row r="521" spans="1:9" ht="25.7">
      <c r="A521" s="214" t="s">
        <v>49</v>
      </c>
      <c r="B521" s="59" t="s">
        <v>29</v>
      </c>
      <c r="C521" s="52">
        <f>D521+E521+F521+G521+H521+I521</f>
        <v>28225</v>
      </c>
      <c r="D521" s="52">
        <f t="shared" ref="D521:I522" si="143">D603+D2074</f>
        <v>427</v>
      </c>
      <c r="E521" s="52">
        <f t="shared" si="143"/>
        <v>27798</v>
      </c>
      <c r="F521" s="52">
        <f t="shared" si="143"/>
        <v>0</v>
      </c>
      <c r="G521" s="52">
        <f t="shared" si="143"/>
        <v>0</v>
      </c>
      <c r="H521" s="52">
        <f t="shared" si="143"/>
        <v>0</v>
      </c>
      <c r="I521" s="52">
        <f t="shared" si="143"/>
        <v>0</v>
      </c>
    </row>
    <row r="522" spans="1:9" ht="12.95">
      <c r="A522" s="16"/>
      <c r="B522" s="62" t="s">
        <v>30</v>
      </c>
      <c r="C522" s="52">
        <f>D522+E522+F522+G522+H522+I522</f>
        <v>28225</v>
      </c>
      <c r="D522" s="52">
        <f t="shared" si="143"/>
        <v>427</v>
      </c>
      <c r="E522" s="52">
        <f t="shared" si="143"/>
        <v>27798</v>
      </c>
      <c r="F522" s="52">
        <f t="shared" si="143"/>
        <v>0</v>
      </c>
      <c r="G522" s="52">
        <f t="shared" si="143"/>
        <v>0</v>
      </c>
      <c r="H522" s="52">
        <f t="shared" si="143"/>
        <v>0</v>
      </c>
      <c r="I522" s="52">
        <f t="shared" si="143"/>
        <v>0</v>
      </c>
    </row>
    <row r="523" spans="1:9" s="211" customFormat="1" ht="25.7">
      <c r="A523" s="296" t="s">
        <v>36</v>
      </c>
      <c r="B523" s="281" t="s">
        <v>29</v>
      </c>
      <c r="C523" s="246">
        <f>D523+E523+F523+G523+H523+I523</f>
        <v>23590</v>
      </c>
      <c r="D523" s="246">
        <f t="shared" ref="D523:I524" si="144">D605</f>
        <v>14624.970000000001</v>
      </c>
      <c r="E523" s="246">
        <f t="shared" si="144"/>
        <v>7837</v>
      </c>
      <c r="F523" s="246">
        <f t="shared" si="144"/>
        <v>0</v>
      </c>
      <c r="G523" s="246">
        <f t="shared" si="144"/>
        <v>0</v>
      </c>
      <c r="H523" s="246">
        <f t="shared" si="144"/>
        <v>0</v>
      </c>
      <c r="I523" s="246">
        <f t="shared" si="144"/>
        <v>1128.0299999999995</v>
      </c>
    </row>
    <row r="524" spans="1:9" s="211" customFormat="1" ht="12.95">
      <c r="A524" s="225"/>
      <c r="B524" s="226" t="s">
        <v>30</v>
      </c>
      <c r="C524" s="246">
        <f>D524+E524+F524+G524+H524+I524</f>
        <v>23590</v>
      </c>
      <c r="D524" s="246">
        <f t="shared" si="144"/>
        <v>14624.970000000001</v>
      </c>
      <c r="E524" s="246">
        <f t="shared" si="144"/>
        <v>7837</v>
      </c>
      <c r="F524" s="246">
        <f t="shared" si="144"/>
        <v>0</v>
      </c>
      <c r="G524" s="246">
        <f t="shared" si="144"/>
        <v>0</v>
      </c>
      <c r="H524" s="246">
        <f t="shared" si="144"/>
        <v>0</v>
      </c>
      <c r="I524" s="246">
        <f t="shared" si="144"/>
        <v>1128.0299999999995</v>
      </c>
    </row>
    <row r="525" spans="1:9" ht="12.95">
      <c r="A525" s="19" t="s">
        <v>37</v>
      </c>
      <c r="B525" s="3" t="s">
        <v>29</v>
      </c>
      <c r="C525" s="52">
        <f t="shared" si="131"/>
        <v>121621.902</v>
      </c>
      <c r="D525" s="52">
        <f>D527+D535</f>
        <v>37226.896999999997</v>
      </c>
      <c r="E525" s="52">
        <f t="shared" ref="E525:I526" si="145">E527+E535</f>
        <v>33665</v>
      </c>
      <c r="F525" s="52">
        <f t="shared" si="145"/>
        <v>2565</v>
      </c>
      <c r="G525" s="52">
        <f t="shared" si="145"/>
        <v>2300</v>
      </c>
      <c r="H525" s="52">
        <f t="shared" si="145"/>
        <v>0</v>
      </c>
      <c r="I525" s="52">
        <f t="shared" si="145"/>
        <v>45865.004999999997</v>
      </c>
    </row>
    <row r="526" spans="1:9" ht="12.95">
      <c r="A526" s="16"/>
      <c r="B526" s="4" t="s">
        <v>30</v>
      </c>
      <c r="C526" s="52">
        <f t="shared" si="131"/>
        <v>121621.902</v>
      </c>
      <c r="D526" s="52">
        <f>D528+D536</f>
        <v>37226.896999999997</v>
      </c>
      <c r="E526" s="52">
        <f>E528+E536</f>
        <v>33665</v>
      </c>
      <c r="F526" s="52">
        <f t="shared" si="145"/>
        <v>2565</v>
      </c>
      <c r="G526" s="52">
        <f t="shared" si="145"/>
        <v>2300</v>
      </c>
      <c r="H526" s="52">
        <f t="shared" si="145"/>
        <v>0</v>
      </c>
      <c r="I526" s="52">
        <f t="shared" si="145"/>
        <v>45865.004999999997</v>
      </c>
    </row>
    <row r="527" spans="1:9" ht="12.95">
      <c r="A527" s="19" t="s">
        <v>50</v>
      </c>
      <c r="B527" s="160" t="s">
        <v>29</v>
      </c>
      <c r="C527" s="52">
        <f t="shared" si="131"/>
        <v>106555.652</v>
      </c>
      <c r="D527" s="52">
        <f>D529+D531+D533</f>
        <v>32637.327000000001</v>
      </c>
      <c r="E527" s="52">
        <f t="shared" ref="E527:I528" si="146">E529+E531+E533</f>
        <v>25857</v>
      </c>
      <c r="F527" s="52">
        <f t="shared" si="146"/>
        <v>2565</v>
      </c>
      <c r="G527" s="52">
        <f t="shared" si="146"/>
        <v>2300</v>
      </c>
      <c r="H527" s="52">
        <f t="shared" si="146"/>
        <v>0</v>
      </c>
      <c r="I527" s="52">
        <f t="shared" si="146"/>
        <v>43196.324999999997</v>
      </c>
    </row>
    <row r="528" spans="1:9">
      <c r="A528" s="10"/>
      <c r="B528" s="4" t="s">
        <v>30</v>
      </c>
      <c r="C528" s="52">
        <f t="shared" si="131"/>
        <v>106555.652</v>
      </c>
      <c r="D528" s="52">
        <f>D530+D532+D534</f>
        <v>32637.327000000001</v>
      </c>
      <c r="E528" s="52">
        <f>E530+E532+E534</f>
        <v>25857</v>
      </c>
      <c r="F528" s="52">
        <f t="shared" si="146"/>
        <v>2565</v>
      </c>
      <c r="G528" s="52">
        <f t="shared" si="146"/>
        <v>2300</v>
      </c>
      <c r="H528" s="52">
        <f t="shared" si="146"/>
        <v>0</v>
      </c>
      <c r="I528" s="52">
        <f t="shared" si="146"/>
        <v>43196.324999999997</v>
      </c>
    </row>
    <row r="529" spans="1:9">
      <c r="A529" s="79" t="s">
        <v>40</v>
      </c>
      <c r="B529" s="160" t="s">
        <v>29</v>
      </c>
      <c r="C529" s="52">
        <f t="shared" si="131"/>
        <v>29644.36</v>
      </c>
      <c r="D529" s="52">
        <f>D611</f>
        <v>21714.36</v>
      </c>
      <c r="E529" s="52">
        <f t="shared" ref="E529:I532" si="147">E611</f>
        <v>7930</v>
      </c>
      <c r="F529" s="52">
        <f t="shared" si="147"/>
        <v>0</v>
      </c>
      <c r="G529" s="52">
        <f t="shared" si="147"/>
        <v>0</v>
      </c>
      <c r="H529" s="52">
        <f t="shared" si="147"/>
        <v>0</v>
      </c>
      <c r="I529" s="52">
        <f t="shared" si="147"/>
        <v>0</v>
      </c>
    </row>
    <row r="530" spans="1:9">
      <c r="A530" s="10"/>
      <c r="B530" s="4" t="s">
        <v>30</v>
      </c>
      <c r="C530" s="52">
        <f t="shared" si="131"/>
        <v>29644.36</v>
      </c>
      <c r="D530" s="52">
        <f>D612</f>
        <v>21714.36</v>
      </c>
      <c r="E530" s="52">
        <f t="shared" si="147"/>
        <v>7930</v>
      </c>
      <c r="F530" s="52">
        <f t="shared" si="147"/>
        <v>0</v>
      </c>
      <c r="G530" s="52">
        <f t="shared" si="147"/>
        <v>0</v>
      </c>
      <c r="H530" s="52">
        <f t="shared" si="147"/>
        <v>0</v>
      </c>
      <c r="I530" s="52">
        <f t="shared" si="147"/>
        <v>0</v>
      </c>
    </row>
    <row r="531" spans="1:9">
      <c r="A531" s="31" t="s">
        <v>41</v>
      </c>
      <c r="B531" s="160" t="s">
        <v>29</v>
      </c>
      <c r="C531" s="52">
        <f t="shared" si="131"/>
        <v>173.89</v>
      </c>
      <c r="D531" s="52">
        <f>D613</f>
        <v>85.89</v>
      </c>
      <c r="E531" s="52">
        <f t="shared" si="147"/>
        <v>88</v>
      </c>
      <c r="F531" s="52">
        <f t="shared" si="147"/>
        <v>0</v>
      </c>
      <c r="G531" s="52">
        <f t="shared" si="147"/>
        <v>0</v>
      </c>
      <c r="H531" s="52">
        <f t="shared" si="147"/>
        <v>0</v>
      </c>
      <c r="I531" s="52">
        <f t="shared" si="147"/>
        <v>0</v>
      </c>
    </row>
    <row r="532" spans="1:9">
      <c r="A532" s="10"/>
      <c r="B532" s="4" t="s">
        <v>30</v>
      </c>
      <c r="C532" s="52">
        <f t="shared" si="131"/>
        <v>173.89</v>
      </c>
      <c r="D532" s="52">
        <f>D614</f>
        <v>85.89</v>
      </c>
      <c r="E532" s="52">
        <f t="shared" si="147"/>
        <v>88</v>
      </c>
      <c r="F532" s="52">
        <f t="shared" si="147"/>
        <v>0</v>
      </c>
      <c r="G532" s="52">
        <f t="shared" si="147"/>
        <v>0</v>
      </c>
      <c r="H532" s="52">
        <f t="shared" si="147"/>
        <v>0</v>
      </c>
      <c r="I532" s="52">
        <f t="shared" si="147"/>
        <v>0</v>
      </c>
    </row>
    <row r="533" spans="1:9" ht="12.95">
      <c r="A533" s="32" t="s">
        <v>51</v>
      </c>
      <c r="B533" s="24" t="s">
        <v>29</v>
      </c>
      <c r="C533" s="52">
        <f t="shared" si="131"/>
        <v>76737.402000000002</v>
      </c>
      <c r="D533" s="52">
        <f t="shared" ref="D533:I534" si="148">D615+D1486+D2080</f>
        <v>10837.077000000001</v>
      </c>
      <c r="E533" s="52">
        <f t="shared" si="148"/>
        <v>17839</v>
      </c>
      <c r="F533" s="52">
        <f t="shared" si="148"/>
        <v>2565</v>
      </c>
      <c r="G533" s="52">
        <f t="shared" si="148"/>
        <v>2300</v>
      </c>
      <c r="H533" s="52">
        <f t="shared" si="148"/>
        <v>0</v>
      </c>
      <c r="I533" s="52">
        <f t="shared" si="148"/>
        <v>43196.324999999997</v>
      </c>
    </row>
    <row r="534" spans="1:9">
      <c r="A534" s="12"/>
      <c r="B534" s="26" t="s">
        <v>30</v>
      </c>
      <c r="C534" s="52">
        <f t="shared" si="131"/>
        <v>76737.402000000002</v>
      </c>
      <c r="D534" s="52">
        <f t="shared" si="148"/>
        <v>10837.077000000001</v>
      </c>
      <c r="E534" s="52">
        <f t="shared" si="148"/>
        <v>17839</v>
      </c>
      <c r="F534" s="52">
        <f t="shared" si="148"/>
        <v>2565</v>
      </c>
      <c r="G534" s="52">
        <f t="shared" si="148"/>
        <v>2300</v>
      </c>
      <c r="H534" s="52">
        <f t="shared" si="148"/>
        <v>0</v>
      </c>
      <c r="I534" s="52">
        <f t="shared" si="148"/>
        <v>43196.324999999997</v>
      </c>
    </row>
    <row r="535" spans="1:9" ht="12.95">
      <c r="A535" s="19" t="s">
        <v>52</v>
      </c>
      <c r="B535" s="24" t="s">
        <v>29</v>
      </c>
      <c r="C535" s="52">
        <f t="shared" si="131"/>
        <v>15066.25</v>
      </c>
      <c r="D535" s="52">
        <f>D2082</f>
        <v>4589.57</v>
      </c>
      <c r="E535" s="52">
        <f t="shared" ref="E535:I536" si="149">E2082</f>
        <v>7808</v>
      </c>
      <c r="F535" s="52">
        <f t="shared" si="149"/>
        <v>0</v>
      </c>
      <c r="G535" s="52">
        <f t="shared" si="149"/>
        <v>0</v>
      </c>
      <c r="H535" s="52">
        <f t="shared" si="149"/>
        <v>0</v>
      </c>
      <c r="I535" s="52">
        <f t="shared" si="149"/>
        <v>2668.6800000000003</v>
      </c>
    </row>
    <row r="536" spans="1:9">
      <c r="A536" s="12"/>
      <c r="B536" s="26" t="s">
        <v>30</v>
      </c>
      <c r="C536" s="52">
        <f t="shared" si="131"/>
        <v>15066.25</v>
      </c>
      <c r="D536" s="52">
        <f>D2083</f>
        <v>4589.57</v>
      </c>
      <c r="E536" s="52">
        <f t="shared" si="149"/>
        <v>7808</v>
      </c>
      <c r="F536" s="52">
        <f t="shared" si="149"/>
        <v>0</v>
      </c>
      <c r="G536" s="52">
        <f t="shared" si="149"/>
        <v>0</v>
      </c>
      <c r="H536" s="52">
        <f t="shared" si="149"/>
        <v>0</v>
      </c>
      <c r="I536" s="52">
        <f t="shared" si="149"/>
        <v>2668.6800000000003</v>
      </c>
    </row>
    <row r="537" spans="1:9">
      <c r="A537" s="635" t="s">
        <v>237</v>
      </c>
      <c r="B537" s="636"/>
      <c r="C537" s="636"/>
      <c r="D537" s="636"/>
      <c r="E537" s="636"/>
      <c r="F537" s="636"/>
      <c r="G537" s="636"/>
      <c r="H537" s="636"/>
      <c r="I537" s="637"/>
    </row>
    <row r="538" spans="1:9">
      <c r="A538" s="577" t="s">
        <v>54</v>
      </c>
      <c r="B538" s="578"/>
      <c r="C538" s="578"/>
      <c r="D538" s="578"/>
      <c r="E538" s="578"/>
      <c r="F538" s="578"/>
      <c r="G538" s="578"/>
      <c r="H538" s="578"/>
      <c r="I538" s="579"/>
    </row>
    <row r="539" spans="1:9">
      <c r="A539" s="7" t="s">
        <v>28</v>
      </c>
      <c r="B539" s="3" t="s">
        <v>29</v>
      </c>
      <c r="C539" s="130">
        <f>D539+E539+F539+G539+H539+I539</f>
        <v>5358.16</v>
      </c>
      <c r="D539" s="130">
        <f t="shared" ref="D539:I546" si="150">D541</f>
        <v>3628.16</v>
      </c>
      <c r="E539" s="130">
        <f t="shared" si="150"/>
        <v>0</v>
      </c>
      <c r="F539" s="130">
        <f t="shared" si="150"/>
        <v>0</v>
      </c>
      <c r="G539" s="130">
        <f t="shared" si="150"/>
        <v>0</v>
      </c>
      <c r="H539" s="130">
        <f t="shared" si="150"/>
        <v>0</v>
      </c>
      <c r="I539" s="130">
        <f t="shared" si="150"/>
        <v>1730</v>
      </c>
    </row>
    <row r="540" spans="1:9">
      <c r="A540" s="7"/>
      <c r="B540" s="4" t="s">
        <v>30</v>
      </c>
      <c r="C540" s="130">
        <f>D540+E540+F540+G540+H540+I540</f>
        <v>5358.16</v>
      </c>
      <c r="D540" s="130">
        <f t="shared" si="150"/>
        <v>3628.16</v>
      </c>
      <c r="E540" s="130">
        <f t="shared" si="150"/>
        <v>0</v>
      </c>
      <c r="F540" s="130">
        <f t="shared" si="150"/>
        <v>0</v>
      </c>
      <c r="G540" s="130">
        <f t="shared" si="150"/>
        <v>0</v>
      </c>
      <c r="H540" s="130">
        <f t="shared" si="150"/>
        <v>0</v>
      </c>
      <c r="I540" s="130">
        <f t="shared" si="150"/>
        <v>1730</v>
      </c>
    </row>
    <row r="541" spans="1:9">
      <c r="A541" s="96" t="s">
        <v>238</v>
      </c>
      <c r="B541" s="3" t="s">
        <v>29</v>
      </c>
      <c r="C541" s="52">
        <f t="shared" ref="C541:C542" si="151">D541+E541+F541+G541+H541+I541</f>
        <v>5358.16</v>
      </c>
      <c r="D541" s="52">
        <f t="shared" si="150"/>
        <v>3628.16</v>
      </c>
      <c r="E541" s="52">
        <f t="shared" si="150"/>
        <v>0</v>
      </c>
      <c r="F541" s="52">
        <f t="shared" si="150"/>
        <v>0</v>
      </c>
      <c r="G541" s="52">
        <f t="shared" si="150"/>
        <v>0</v>
      </c>
      <c r="H541" s="52">
        <f t="shared" si="150"/>
        <v>0</v>
      </c>
      <c r="I541" s="52">
        <f t="shared" si="150"/>
        <v>1730</v>
      </c>
    </row>
    <row r="542" spans="1:9">
      <c r="A542" s="10" t="s">
        <v>32</v>
      </c>
      <c r="B542" s="4" t="s">
        <v>30</v>
      </c>
      <c r="C542" s="52">
        <f t="shared" si="151"/>
        <v>5358.16</v>
      </c>
      <c r="D542" s="52">
        <f t="shared" si="150"/>
        <v>3628.16</v>
      </c>
      <c r="E542" s="52">
        <f t="shared" si="150"/>
        <v>0</v>
      </c>
      <c r="F542" s="52">
        <f t="shared" si="150"/>
        <v>0</v>
      </c>
      <c r="G542" s="52">
        <f t="shared" si="150"/>
        <v>0</v>
      </c>
      <c r="H542" s="52">
        <f t="shared" si="150"/>
        <v>0</v>
      </c>
      <c r="I542" s="52">
        <f t="shared" si="150"/>
        <v>1730</v>
      </c>
    </row>
    <row r="543" spans="1:9" ht="12.95">
      <c r="A543" s="19" t="s">
        <v>37</v>
      </c>
      <c r="B543" s="160" t="s">
        <v>29</v>
      </c>
      <c r="C543" s="52">
        <f>C545</f>
        <v>78.16</v>
      </c>
      <c r="D543" s="52">
        <f t="shared" si="150"/>
        <v>3628.16</v>
      </c>
      <c r="E543" s="52">
        <f t="shared" si="150"/>
        <v>0</v>
      </c>
      <c r="F543" s="52">
        <f t="shared" si="150"/>
        <v>0</v>
      </c>
      <c r="G543" s="52">
        <f t="shared" si="150"/>
        <v>0</v>
      </c>
      <c r="H543" s="52">
        <f t="shared" si="150"/>
        <v>0</v>
      </c>
      <c r="I543" s="52">
        <f t="shared" si="150"/>
        <v>1730</v>
      </c>
    </row>
    <row r="544" spans="1:9">
      <c r="A544" s="10"/>
      <c r="B544" s="4" t="s">
        <v>30</v>
      </c>
      <c r="C544" s="52">
        <f>C546</f>
        <v>78.16</v>
      </c>
      <c r="D544" s="52">
        <f t="shared" si="150"/>
        <v>3628.16</v>
      </c>
      <c r="E544" s="52">
        <f t="shared" si="150"/>
        <v>0</v>
      </c>
      <c r="F544" s="52">
        <f t="shared" si="150"/>
        <v>0</v>
      </c>
      <c r="G544" s="52">
        <f t="shared" si="150"/>
        <v>0</v>
      </c>
      <c r="H544" s="52">
        <f t="shared" si="150"/>
        <v>0</v>
      </c>
      <c r="I544" s="52">
        <f t="shared" si="150"/>
        <v>1730</v>
      </c>
    </row>
    <row r="545" spans="1:13" ht="12.95">
      <c r="A545" s="15" t="s">
        <v>38</v>
      </c>
      <c r="B545" s="160" t="s">
        <v>29</v>
      </c>
      <c r="C545" s="52">
        <f>C547</f>
        <v>78.16</v>
      </c>
      <c r="D545" s="52">
        <f t="shared" si="150"/>
        <v>3628.16</v>
      </c>
      <c r="E545" s="52">
        <f t="shared" si="150"/>
        <v>0</v>
      </c>
      <c r="F545" s="52">
        <f t="shared" si="150"/>
        <v>0</v>
      </c>
      <c r="G545" s="52">
        <f t="shared" si="150"/>
        <v>0</v>
      </c>
      <c r="H545" s="52">
        <f t="shared" si="150"/>
        <v>0</v>
      </c>
      <c r="I545" s="52">
        <f t="shared" si="150"/>
        <v>1730</v>
      </c>
    </row>
    <row r="546" spans="1:13">
      <c r="A546" s="10"/>
      <c r="B546" s="4" t="s">
        <v>30</v>
      </c>
      <c r="C546" s="52">
        <f>C548</f>
        <v>78.16</v>
      </c>
      <c r="D546" s="52">
        <f t="shared" si="150"/>
        <v>3628.16</v>
      </c>
      <c r="E546" s="52">
        <f t="shared" si="150"/>
        <v>0</v>
      </c>
      <c r="F546" s="52">
        <f t="shared" si="150"/>
        <v>0</v>
      </c>
      <c r="G546" s="52">
        <f t="shared" si="150"/>
        <v>0</v>
      </c>
      <c r="H546" s="52">
        <f t="shared" si="150"/>
        <v>0</v>
      </c>
      <c r="I546" s="52">
        <f t="shared" si="150"/>
        <v>1730</v>
      </c>
    </row>
    <row r="547" spans="1:13" ht="12.95">
      <c r="A547" s="34" t="s">
        <v>42</v>
      </c>
      <c r="B547" s="160" t="s">
        <v>29</v>
      </c>
      <c r="C547" s="52">
        <f>C558</f>
        <v>78.16</v>
      </c>
      <c r="D547" s="52">
        <f t="shared" ref="D547:I548" si="152">D558+D571</f>
        <v>3628.16</v>
      </c>
      <c r="E547" s="52">
        <f t="shared" si="152"/>
        <v>0</v>
      </c>
      <c r="F547" s="52">
        <f t="shared" si="152"/>
        <v>0</v>
      </c>
      <c r="G547" s="52">
        <f t="shared" si="152"/>
        <v>0</v>
      </c>
      <c r="H547" s="52">
        <f t="shared" si="152"/>
        <v>0</v>
      </c>
      <c r="I547" s="52">
        <f t="shared" si="152"/>
        <v>1730</v>
      </c>
    </row>
    <row r="548" spans="1:13">
      <c r="A548" s="10"/>
      <c r="B548" s="4" t="s">
        <v>30</v>
      </c>
      <c r="C548" s="52">
        <f>C559</f>
        <v>78.16</v>
      </c>
      <c r="D548" s="52">
        <f t="shared" si="152"/>
        <v>3628.16</v>
      </c>
      <c r="E548" s="52">
        <f t="shared" si="152"/>
        <v>0</v>
      </c>
      <c r="F548" s="52">
        <f t="shared" si="152"/>
        <v>0</v>
      </c>
      <c r="G548" s="52">
        <f t="shared" si="152"/>
        <v>0</v>
      </c>
      <c r="H548" s="52">
        <f t="shared" si="152"/>
        <v>0</v>
      </c>
      <c r="I548" s="52">
        <f t="shared" si="152"/>
        <v>1730</v>
      </c>
    </row>
    <row r="549" spans="1:13">
      <c r="A549" s="632" t="s">
        <v>59</v>
      </c>
      <c r="B549" s="763"/>
      <c r="C549" s="763"/>
      <c r="D549" s="763"/>
      <c r="E549" s="763"/>
      <c r="F549" s="763"/>
      <c r="G549" s="763"/>
      <c r="H549" s="763"/>
      <c r="I549" s="764"/>
    </row>
    <row r="550" spans="1:13" ht="13.5" customHeight="1">
      <c r="A550" s="241" t="s">
        <v>54</v>
      </c>
      <c r="B550" s="129" t="s">
        <v>29</v>
      </c>
      <c r="C550" s="130">
        <f t="shared" ref="C550:C561" si="153">D550+E550+F550+G550+H550+I550</f>
        <v>78.16</v>
      </c>
      <c r="D550" s="130">
        <f t="shared" ref="D550:I559" si="154">D552</f>
        <v>78.16</v>
      </c>
      <c r="E550" s="130">
        <f t="shared" si="154"/>
        <v>0</v>
      </c>
      <c r="F550" s="130">
        <f t="shared" si="154"/>
        <v>0</v>
      </c>
      <c r="G550" s="130">
        <f t="shared" si="154"/>
        <v>0</v>
      </c>
      <c r="H550" s="130">
        <f t="shared" si="154"/>
        <v>0</v>
      </c>
      <c r="I550" s="130">
        <f t="shared" si="154"/>
        <v>0</v>
      </c>
    </row>
    <row r="551" spans="1:13">
      <c r="A551" s="21" t="s">
        <v>239</v>
      </c>
      <c r="B551" s="132" t="s">
        <v>30</v>
      </c>
      <c r="C551" s="130">
        <f t="shared" si="153"/>
        <v>78.16</v>
      </c>
      <c r="D551" s="130">
        <f t="shared" si="154"/>
        <v>78.16</v>
      </c>
      <c r="E551" s="130">
        <f t="shared" si="154"/>
        <v>0</v>
      </c>
      <c r="F551" s="130">
        <f t="shared" si="154"/>
        <v>0</v>
      </c>
      <c r="G551" s="130">
        <f t="shared" si="154"/>
        <v>0</v>
      </c>
      <c r="H551" s="130">
        <f t="shared" si="154"/>
        <v>0</v>
      </c>
      <c r="I551" s="130">
        <f t="shared" si="154"/>
        <v>0</v>
      </c>
    </row>
    <row r="552" spans="1:13">
      <c r="A552" s="96" t="s">
        <v>238</v>
      </c>
      <c r="B552" s="160" t="s">
        <v>29</v>
      </c>
      <c r="C552" s="52">
        <f t="shared" si="153"/>
        <v>78.16</v>
      </c>
      <c r="D552" s="52">
        <f t="shared" si="154"/>
        <v>78.16</v>
      </c>
      <c r="E552" s="52">
        <f t="shared" si="154"/>
        <v>0</v>
      </c>
      <c r="F552" s="52">
        <f t="shared" si="154"/>
        <v>0</v>
      </c>
      <c r="G552" s="52">
        <f t="shared" si="154"/>
        <v>0</v>
      </c>
      <c r="H552" s="52">
        <f t="shared" si="154"/>
        <v>0</v>
      </c>
      <c r="I552" s="52">
        <f t="shared" si="154"/>
        <v>0</v>
      </c>
    </row>
    <row r="553" spans="1:13">
      <c r="A553" s="10" t="s">
        <v>32</v>
      </c>
      <c r="B553" s="4" t="s">
        <v>30</v>
      </c>
      <c r="C553" s="52">
        <f t="shared" si="153"/>
        <v>78.16</v>
      </c>
      <c r="D553" s="52">
        <f t="shared" si="154"/>
        <v>78.16</v>
      </c>
      <c r="E553" s="52">
        <f t="shared" si="154"/>
        <v>0</v>
      </c>
      <c r="F553" s="52">
        <f t="shared" si="154"/>
        <v>0</v>
      </c>
      <c r="G553" s="52">
        <f t="shared" si="154"/>
        <v>0</v>
      </c>
      <c r="H553" s="52">
        <f t="shared" si="154"/>
        <v>0</v>
      </c>
      <c r="I553" s="52">
        <f t="shared" si="154"/>
        <v>0</v>
      </c>
    </row>
    <row r="554" spans="1:13" ht="12.95">
      <c r="A554" s="19" t="s">
        <v>37</v>
      </c>
      <c r="B554" s="160" t="s">
        <v>29</v>
      </c>
      <c r="C554" s="52">
        <f t="shared" si="153"/>
        <v>78.16</v>
      </c>
      <c r="D554" s="52">
        <f t="shared" si="154"/>
        <v>78.16</v>
      </c>
      <c r="E554" s="52">
        <f t="shared" si="154"/>
        <v>0</v>
      </c>
      <c r="F554" s="52">
        <f t="shared" si="154"/>
        <v>0</v>
      </c>
      <c r="G554" s="52">
        <f t="shared" si="154"/>
        <v>0</v>
      </c>
      <c r="H554" s="52">
        <f t="shared" si="154"/>
        <v>0</v>
      </c>
      <c r="I554" s="52">
        <f t="shared" si="154"/>
        <v>0</v>
      </c>
    </row>
    <row r="555" spans="1:13">
      <c r="A555" s="10"/>
      <c r="B555" s="4" t="s">
        <v>30</v>
      </c>
      <c r="C555" s="52">
        <f t="shared" si="153"/>
        <v>78.16</v>
      </c>
      <c r="D555" s="52">
        <f t="shared" si="154"/>
        <v>78.16</v>
      </c>
      <c r="E555" s="52">
        <f t="shared" si="154"/>
        <v>0</v>
      </c>
      <c r="F555" s="52">
        <f t="shared" si="154"/>
        <v>0</v>
      </c>
      <c r="G555" s="52">
        <f t="shared" si="154"/>
        <v>0</v>
      </c>
      <c r="H555" s="52">
        <f t="shared" si="154"/>
        <v>0</v>
      </c>
      <c r="I555" s="52">
        <f t="shared" si="154"/>
        <v>0</v>
      </c>
    </row>
    <row r="556" spans="1:13" ht="12.95">
      <c r="A556" s="15" t="s">
        <v>38</v>
      </c>
      <c r="B556" s="160" t="s">
        <v>29</v>
      </c>
      <c r="C556" s="52">
        <f t="shared" si="153"/>
        <v>78.16</v>
      </c>
      <c r="D556" s="64">
        <f t="shared" si="154"/>
        <v>78.16</v>
      </c>
      <c r="E556" s="64">
        <f t="shared" si="154"/>
        <v>0</v>
      </c>
      <c r="F556" s="64">
        <f t="shared" si="154"/>
        <v>0</v>
      </c>
      <c r="G556" s="64">
        <f t="shared" si="154"/>
        <v>0</v>
      </c>
      <c r="H556" s="64">
        <f t="shared" si="154"/>
        <v>0</v>
      </c>
      <c r="I556" s="64">
        <f t="shared" si="154"/>
        <v>0</v>
      </c>
    </row>
    <row r="557" spans="1:13">
      <c r="A557" s="10"/>
      <c r="B557" s="4" t="s">
        <v>30</v>
      </c>
      <c r="C557" s="52">
        <f t="shared" si="153"/>
        <v>78.16</v>
      </c>
      <c r="D557" s="64">
        <f t="shared" si="154"/>
        <v>78.16</v>
      </c>
      <c r="E557" s="64">
        <f t="shared" si="154"/>
        <v>0</v>
      </c>
      <c r="F557" s="64">
        <f t="shared" si="154"/>
        <v>0</v>
      </c>
      <c r="G557" s="64">
        <f t="shared" si="154"/>
        <v>0</v>
      </c>
      <c r="H557" s="64">
        <f t="shared" si="154"/>
        <v>0</v>
      </c>
      <c r="I557" s="64">
        <f t="shared" si="154"/>
        <v>0</v>
      </c>
    </row>
    <row r="558" spans="1:13" ht="12.95">
      <c r="A558" s="34" t="s">
        <v>42</v>
      </c>
      <c r="B558" s="160" t="s">
        <v>29</v>
      </c>
      <c r="C558" s="52">
        <f t="shared" si="153"/>
        <v>78.16</v>
      </c>
      <c r="D558" s="52">
        <f>D560</f>
        <v>78.16</v>
      </c>
      <c r="E558" s="52">
        <f t="shared" si="154"/>
        <v>0</v>
      </c>
      <c r="F558" s="52">
        <f t="shared" si="154"/>
        <v>0</v>
      </c>
      <c r="G558" s="52">
        <f t="shared" si="154"/>
        <v>0</v>
      </c>
      <c r="H558" s="52">
        <f t="shared" si="154"/>
        <v>0</v>
      </c>
      <c r="I558" s="52">
        <f t="shared" si="154"/>
        <v>0</v>
      </c>
    </row>
    <row r="559" spans="1:13">
      <c r="A559" s="10"/>
      <c r="B559" s="4" t="s">
        <v>30</v>
      </c>
      <c r="C559" s="52">
        <f t="shared" si="153"/>
        <v>78.16</v>
      </c>
      <c r="D559" s="52">
        <f>D561</f>
        <v>78.16</v>
      </c>
      <c r="E559" s="52">
        <f t="shared" si="154"/>
        <v>0</v>
      </c>
      <c r="F559" s="52">
        <f t="shared" si="154"/>
        <v>0</v>
      </c>
      <c r="G559" s="52">
        <f t="shared" si="154"/>
        <v>0</v>
      </c>
      <c r="H559" s="52">
        <f t="shared" si="154"/>
        <v>0</v>
      </c>
      <c r="I559" s="52">
        <f t="shared" si="154"/>
        <v>0</v>
      </c>
    </row>
    <row r="560" spans="1:13" s="212" customFormat="1" ht="27.75" customHeight="1">
      <c r="A560" s="419" t="s">
        <v>240</v>
      </c>
      <c r="B560" s="237" t="s">
        <v>29</v>
      </c>
      <c r="C560" s="240">
        <f t="shared" si="153"/>
        <v>78.16</v>
      </c>
      <c r="D560" s="240">
        <v>78.16</v>
      </c>
      <c r="E560" s="240">
        <v>0</v>
      </c>
      <c r="F560" s="240">
        <v>0</v>
      </c>
      <c r="G560" s="240">
        <v>0</v>
      </c>
      <c r="H560" s="240">
        <v>0</v>
      </c>
      <c r="I560" s="240">
        <v>0</v>
      </c>
      <c r="J560" s="585" t="s">
        <v>241</v>
      </c>
      <c r="K560" s="551"/>
      <c r="L560" s="551"/>
      <c r="M560" s="551"/>
    </row>
    <row r="561" spans="1:13">
      <c r="A561" s="12"/>
      <c r="B561" s="62" t="s">
        <v>30</v>
      </c>
      <c r="C561" s="64">
        <f t="shared" si="153"/>
        <v>78.16</v>
      </c>
      <c r="D561" s="240">
        <v>78.16</v>
      </c>
      <c r="E561" s="64">
        <v>0</v>
      </c>
      <c r="F561" s="64">
        <v>0</v>
      </c>
      <c r="G561" s="64">
        <v>0</v>
      </c>
      <c r="H561" s="64">
        <v>0</v>
      </c>
      <c r="I561" s="64">
        <v>0</v>
      </c>
      <c r="J561" s="552"/>
      <c r="K561" s="551"/>
      <c r="L561" s="551"/>
      <c r="M561" s="551"/>
    </row>
    <row r="562" spans="1:13">
      <c r="A562" s="634" t="s">
        <v>242</v>
      </c>
      <c r="B562" s="689"/>
      <c r="C562" s="689"/>
      <c r="D562" s="689"/>
      <c r="E562" s="689"/>
      <c r="F562" s="689"/>
      <c r="G562" s="689"/>
      <c r="H562" s="689"/>
      <c r="I562" s="690"/>
    </row>
    <row r="563" spans="1:13" ht="13.5" customHeight="1">
      <c r="A563" s="241" t="s">
        <v>54</v>
      </c>
      <c r="B563" s="129" t="s">
        <v>29</v>
      </c>
      <c r="C563" s="130">
        <f t="shared" ref="C563:C578" si="155">D563+E563+F563+G563+H563+I563</f>
        <v>5280</v>
      </c>
      <c r="D563" s="130">
        <f t="shared" ref="D563:I572" si="156">D565</f>
        <v>3550</v>
      </c>
      <c r="E563" s="130">
        <f t="shared" si="156"/>
        <v>0</v>
      </c>
      <c r="F563" s="130">
        <f t="shared" si="156"/>
        <v>0</v>
      </c>
      <c r="G563" s="130">
        <f t="shared" si="156"/>
        <v>0</v>
      </c>
      <c r="H563" s="130">
        <f t="shared" si="156"/>
        <v>0</v>
      </c>
      <c r="I563" s="130">
        <f t="shared" si="156"/>
        <v>1730</v>
      </c>
    </row>
    <row r="564" spans="1:13">
      <c r="A564" s="21" t="s">
        <v>239</v>
      </c>
      <c r="B564" s="132" t="s">
        <v>30</v>
      </c>
      <c r="C564" s="130">
        <f t="shared" si="155"/>
        <v>5280</v>
      </c>
      <c r="D564" s="130">
        <f t="shared" si="156"/>
        <v>3550</v>
      </c>
      <c r="E564" s="130">
        <f t="shared" si="156"/>
        <v>0</v>
      </c>
      <c r="F564" s="130">
        <f t="shared" si="156"/>
        <v>0</v>
      </c>
      <c r="G564" s="130">
        <f t="shared" si="156"/>
        <v>0</v>
      </c>
      <c r="H564" s="130">
        <f t="shared" si="156"/>
        <v>0</v>
      </c>
      <c r="I564" s="130">
        <f t="shared" si="156"/>
        <v>1730</v>
      </c>
    </row>
    <row r="565" spans="1:13">
      <c r="A565" s="96" t="s">
        <v>238</v>
      </c>
      <c r="B565" s="160" t="s">
        <v>29</v>
      </c>
      <c r="C565" s="52">
        <f t="shared" si="155"/>
        <v>5280</v>
      </c>
      <c r="D565" s="52">
        <f t="shared" si="156"/>
        <v>3550</v>
      </c>
      <c r="E565" s="52">
        <f t="shared" si="156"/>
        <v>0</v>
      </c>
      <c r="F565" s="52">
        <f t="shared" si="156"/>
        <v>0</v>
      </c>
      <c r="G565" s="52">
        <f t="shared" si="156"/>
        <v>0</v>
      </c>
      <c r="H565" s="52">
        <f t="shared" si="156"/>
        <v>0</v>
      </c>
      <c r="I565" s="52">
        <f t="shared" si="156"/>
        <v>1730</v>
      </c>
    </row>
    <row r="566" spans="1:13">
      <c r="A566" s="10" t="s">
        <v>32</v>
      </c>
      <c r="B566" s="4" t="s">
        <v>30</v>
      </c>
      <c r="C566" s="52">
        <f t="shared" si="155"/>
        <v>5280</v>
      </c>
      <c r="D566" s="52">
        <f t="shared" si="156"/>
        <v>3550</v>
      </c>
      <c r="E566" s="52">
        <f t="shared" si="156"/>
        <v>0</v>
      </c>
      <c r="F566" s="52">
        <f t="shared" si="156"/>
        <v>0</v>
      </c>
      <c r="G566" s="52">
        <f t="shared" si="156"/>
        <v>0</v>
      </c>
      <c r="H566" s="52">
        <f t="shared" si="156"/>
        <v>0</v>
      </c>
      <c r="I566" s="52">
        <f t="shared" si="156"/>
        <v>1730</v>
      </c>
    </row>
    <row r="567" spans="1:13" ht="12.95">
      <c r="A567" s="19" t="s">
        <v>37</v>
      </c>
      <c r="B567" s="160" t="s">
        <v>29</v>
      </c>
      <c r="C567" s="52">
        <f t="shared" si="155"/>
        <v>5280</v>
      </c>
      <c r="D567" s="52">
        <f t="shared" si="156"/>
        <v>3550</v>
      </c>
      <c r="E567" s="52">
        <f t="shared" si="156"/>
        <v>0</v>
      </c>
      <c r="F567" s="52">
        <f t="shared" si="156"/>
        <v>0</v>
      </c>
      <c r="G567" s="52">
        <f t="shared" si="156"/>
        <v>0</v>
      </c>
      <c r="H567" s="52">
        <f t="shared" si="156"/>
        <v>0</v>
      </c>
      <c r="I567" s="52">
        <f t="shared" si="156"/>
        <v>1730</v>
      </c>
    </row>
    <row r="568" spans="1:13">
      <c r="A568" s="10"/>
      <c r="B568" s="4" t="s">
        <v>30</v>
      </c>
      <c r="C568" s="52">
        <f t="shared" si="155"/>
        <v>5280</v>
      </c>
      <c r="D568" s="52">
        <f t="shared" si="156"/>
        <v>3550</v>
      </c>
      <c r="E568" s="52">
        <f t="shared" si="156"/>
        <v>0</v>
      </c>
      <c r="F568" s="52">
        <f t="shared" si="156"/>
        <v>0</v>
      </c>
      <c r="G568" s="52">
        <f t="shared" si="156"/>
        <v>0</v>
      </c>
      <c r="H568" s="52">
        <f t="shared" si="156"/>
        <v>0</v>
      </c>
      <c r="I568" s="52">
        <f t="shared" si="156"/>
        <v>1730</v>
      </c>
    </row>
    <row r="569" spans="1:13" ht="12.95">
      <c r="A569" s="15" t="s">
        <v>38</v>
      </c>
      <c r="B569" s="160" t="s">
        <v>29</v>
      </c>
      <c r="C569" s="52">
        <f t="shared" si="155"/>
        <v>5280</v>
      </c>
      <c r="D569" s="64">
        <f t="shared" si="156"/>
        <v>3550</v>
      </c>
      <c r="E569" s="64">
        <f t="shared" si="156"/>
        <v>0</v>
      </c>
      <c r="F569" s="64">
        <f t="shared" si="156"/>
        <v>0</v>
      </c>
      <c r="G569" s="64">
        <f t="shared" si="156"/>
        <v>0</v>
      </c>
      <c r="H569" s="64">
        <f t="shared" si="156"/>
        <v>0</v>
      </c>
      <c r="I569" s="64">
        <f t="shared" si="156"/>
        <v>1730</v>
      </c>
    </row>
    <row r="570" spans="1:13">
      <c r="A570" s="10"/>
      <c r="B570" s="4" t="s">
        <v>30</v>
      </c>
      <c r="C570" s="52">
        <f t="shared" si="155"/>
        <v>5280</v>
      </c>
      <c r="D570" s="64">
        <f t="shared" si="156"/>
        <v>3550</v>
      </c>
      <c r="E570" s="64">
        <f t="shared" si="156"/>
        <v>0</v>
      </c>
      <c r="F570" s="64">
        <f t="shared" si="156"/>
        <v>0</v>
      </c>
      <c r="G570" s="64">
        <f t="shared" si="156"/>
        <v>0</v>
      </c>
      <c r="H570" s="64">
        <f t="shared" si="156"/>
        <v>0</v>
      </c>
      <c r="I570" s="64">
        <f t="shared" si="156"/>
        <v>1730</v>
      </c>
    </row>
    <row r="571" spans="1:13" ht="12.95">
      <c r="A571" s="34" t="s">
        <v>42</v>
      </c>
      <c r="B571" s="160" t="s">
        <v>29</v>
      </c>
      <c r="C571" s="52">
        <f t="shared" si="155"/>
        <v>5280</v>
      </c>
      <c r="D571" s="52">
        <f>D573</f>
        <v>3550</v>
      </c>
      <c r="E571" s="52">
        <f t="shared" si="156"/>
        <v>0</v>
      </c>
      <c r="F571" s="52">
        <f t="shared" si="156"/>
        <v>0</v>
      </c>
      <c r="G571" s="52">
        <f t="shared" si="156"/>
        <v>0</v>
      </c>
      <c r="H571" s="52">
        <f t="shared" si="156"/>
        <v>0</v>
      </c>
      <c r="I571" s="52">
        <f t="shared" si="156"/>
        <v>1730</v>
      </c>
    </row>
    <row r="572" spans="1:13">
      <c r="A572" s="10"/>
      <c r="B572" s="4" t="s">
        <v>30</v>
      </c>
      <c r="C572" s="52">
        <f t="shared" si="155"/>
        <v>5280</v>
      </c>
      <c r="D572" s="52">
        <f>D574</f>
        <v>3550</v>
      </c>
      <c r="E572" s="52">
        <f t="shared" si="156"/>
        <v>0</v>
      </c>
      <c r="F572" s="52">
        <f t="shared" si="156"/>
        <v>0</v>
      </c>
      <c r="G572" s="52">
        <f t="shared" si="156"/>
        <v>0</v>
      </c>
      <c r="H572" s="52">
        <f t="shared" si="156"/>
        <v>0</v>
      </c>
      <c r="I572" s="52">
        <f t="shared" si="156"/>
        <v>1730</v>
      </c>
    </row>
    <row r="573" spans="1:13" s="209" customFormat="1" ht="24.95">
      <c r="A573" s="310" t="s">
        <v>104</v>
      </c>
      <c r="B573" s="63" t="s">
        <v>29</v>
      </c>
      <c r="C573" s="64">
        <f t="shared" si="155"/>
        <v>5280</v>
      </c>
      <c r="D573" s="64">
        <f>D575+D577</f>
        <v>3550</v>
      </c>
      <c r="E573" s="64">
        <f t="shared" ref="E573:I574" si="157">E575+E577</f>
        <v>0</v>
      </c>
      <c r="F573" s="64">
        <f t="shared" si="157"/>
        <v>0</v>
      </c>
      <c r="G573" s="64">
        <f t="shared" si="157"/>
        <v>0</v>
      </c>
      <c r="H573" s="64">
        <f t="shared" si="157"/>
        <v>0</v>
      </c>
      <c r="I573" s="64">
        <f t="shared" si="157"/>
        <v>1730</v>
      </c>
    </row>
    <row r="574" spans="1:13">
      <c r="A574" s="12"/>
      <c r="B574" s="62" t="s">
        <v>30</v>
      </c>
      <c r="C574" s="64">
        <f t="shared" si="155"/>
        <v>5280</v>
      </c>
      <c r="D574" s="64">
        <f>D576+D578</f>
        <v>3550</v>
      </c>
      <c r="E574" s="64">
        <f t="shared" si="157"/>
        <v>0</v>
      </c>
      <c r="F574" s="64">
        <f t="shared" si="157"/>
        <v>0</v>
      </c>
      <c r="G574" s="64">
        <f t="shared" si="157"/>
        <v>0</v>
      </c>
      <c r="H574" s="64">
        <f t="shared" si="157"/>
        <v>0</v>
      </c>
      <c r="I574" s="64">
        <f t="shared" si="157"/>
        <v>1730</v>
      </c>
    </row>
    <row r="575" spans="1:13" s="209" customFormat="1">
      <c r="A575" s="397" t="s">
        <v>243</v>
      </c>
      <c r="B575" s="63" t="s">
        <v>29</v>
      </c>
      <c r="C575" s="64">
        <f t="shared" si="155"/>
        <v>1021</v>
      </c>
      <c r="D575" s="64">
        <v>710</v>
      </c>
      <c r="E575" s="64">
        <v>0</v>
      </c>
      <c r="F575" s="64">
        <v>0</v>
      </c>
      <c r="G575" s="64">
        <v>0</v>
      </c>
      <c r="H575" s="64">
        <v>0</v>
      </c>
      <c r="I575" s="64">
        <v>311</v>
      </c>
    </row>
    <row r="576" spans="1:13">
      <c r="A576" s="12"/>
      <c r="B576" s="62" t="s">
        <v>30</v>
      </c>
      <c r="C576" s="64">
        <f t="shared" si="155"/>
        <v>1021</v>
      </c>
      <c r="D576" s="64">
        <v>710</v>
      </c>
      <c r="E576" s="64">
        <v>0</v>
      </c>
      <c r="F576" s="64">
        <v>0</v>
      </c>
      <c r="G576" s="64">
        <v>0</v>
      </c>
      <c r="H576" s="64">
        <v>0</v>
      </c>
      <c r="I576" s="64">
        <v>311</v>
      </c>
    </row>
    <row r="577" spans="1:9" s="209" customFormat="1">
      <c r="A577" s="397" t="s">
        <v>244</v>
      </c>
      <c r="B577" s="63" t="s">
        <v>29</v>
      </c>
      <c r="C577" s="64">
        <f t="shared" si="155"/>
        <v>4259</v>
      </c>
      <c r="D577" s="64">
        <v>2840</v>
      </c>
      <c r="E577" s="64">
        <v>0</v>
      </c>
      <c r="F577" s="64">
        <v>0</v>
      </c>
      <c r="G577" s="64">
        <v>0</v>
      </c>
      <c r="H577" s="64">
        <v>0</v>
      </c>
      <c r="I577" s="64">
        <v>1419</v>
      </c>
    </row>
    <row r="578" spans="1:9">
      <c r="A578" s="12"/>
      <c r="B578" s="62" t="s">
        <v>30</v>
      </c>
      <c r="C578" s="64">
        <f t="shared" si="155"/>
        <v>4259</v>
      </c>
      <c r="D578" s="64">
        <v>2840</v>
      </c>
      <c r="E578" s="64">
        <v>0</v>
      </c>
      <c r="F578" s="64">
        <v>0</v>
      </c>
      <c r="G578" s="64">
        <v>0</v>
      </c>
      <c r="H578" s="64">
        <v>0</v>
      </c>
      <c r="I578" s="64">
        <v>1419</v>
      </c>
    </row>
    <row r="579" spans="1:9">
      <c r="A579" s="688" t="s">
        <v>245</v>
      </c>
      <c r="B579" s="636"/>
      <c r="C579" s="636"/>
      <c r="D579" s="636"/>
      <c r="E579" s="636"/>
      <c r="F579" s="636"/>
      <c r="G579" s="636"/>
      <c r="H579" s="636"/>
      <c r="I579" s="637"/>
    </row>
    <row r="580" spans="1:9">
      <c r="A580" s="577" t="s">
        <v>54</v>
      </c>
      <c r="B580" s="578"/>
      <c r="C580" s="578"/>
      <c r="D580" s="578"/>
      <c r="E580" s="578"/>
      <c r="F580" s="578"/>
      <c r="G580" s="578"/>
      <c r="H580" s="578"/>
      <c r="I580" s="579"/>
    </row>
    <row r="581" spans="1:9">
      <c r="A581" s="7" t="s">
        <v>28</v>
      </c>
      <c r="B581" s="160" t="s">
        <v>29</v>
      </c>
      <c r="C581" s="52">
        <f t="shared" ref="C581:C616" si="158">D581+E581+F581+G581+H581+I581</f>
        <v>133923.89000000001</v>
      </c>
      <c r="D581" s="52">
        <f t="shared" ref="D581:I582" si="159">D583+D601</f>
        <v>103832.25</v>
      </c>
      <c r="E581" s="52">
        <f t="shared" si="159"/>
        <v>28790</v>
      </c>
      <c r="F581" s="52">
        <f t="shared" si="159"/>
        <v>0</v>
      </c>
      <c r="G581" s="52">
        <f t="shared" si="159"/>
        <v>0</v>
      </c>
      <c r="H581" s="52">
        <f t="shared" si="159"/>
        <v>0</v>
      </c>
      <c r="I581" s="52">
        <f t="shared" si="159"/>
        <v>1301.6399999999994</v>
      </c>
    </row>
    <row r="582" spans="1:9">
      <c r="A582" s="7"/>
      <c r="B582" s="4" t="s">
        <v>30</v>
      </c>
      <c r="C582" s="52">
        <f t="shared" si="158"/>
        <v>133923.89000000001</v>
      </c>
      <c r="D582" s="52">
        <f t="shared" si="159"/>
        <v>103832.25</v>
      </c>
      <c r="E582" s="52">
        <f t="shared" si="159"/>
        <v>28790</v>
      </c>
      <c r="F582" s="52">
        <f t="shared" si="159"/>
        <v>0</v>
      </c>
      <c r="G582" s="52">
        <f t="shared" si="159"/>
        <v>0</v>
      </c>
      <c r="H582" s="52">
        <f t="shared" si="159"/>
        <v>0</v>
      </c>
      <c r="I582" s="52">
        <f t="shared" si="159"/>
        <v>1301.6399999999994</v>
      </c>
    </row>
    <row r="583" spans="1:9">
      <c r="A583" s="96" t="s">
        <v>238</v>
      </c>
      <c r="B583" s="160" t="s">
        <v>29</v>
      </c>
      <c r="C583" s="52">
        <f t="shared" si="158"/>
        <v>73181.959999999992</v>
      </c>
      <c r="D583" s="52">
        <f>D585+D591+D589+D587</f>
        <v>67227.349999999991</v>
      </c>
      <c r="E583" s="52">
        <f t="shared" ref="E583:I584" si="160">E585+E591+E589+E587</f>
        <v>5781</v>
      </c>
      <c r="F583" s="52">
        <f t="shared" si="160"/>
        <v>0</v>
      </c>
      <c r="G583" s="52">
        <f t="shared" si="160"/>
        <v>0</v>
      </c>
      <c r="H583" s="52">
        <f t="shared" si="160"/>
        <v>0</v>
      </c>
      <c r="I583" s="52">
        <f t="shared" si="160"/>
        <v>173.61</v>
      </c>
    </row>
    <row r="584" spans="1:9">
      <c r="A584" s="10" t="s">
        <v>32</v>
      </c>
      <c r="B584" s="4" t="s">
        <v>30</v>
      </c>
      <c r="C584" s="52">
        <f t="shared" si="158"/>
        <v>73181.959999999992</v>
      </c>
      <c r="D584" s="52">
        <f>D586+D592+D590+D588</f>
        <v>67227.349999999991</v>
      </c>
      <c r="E584" s="52">
        <f t="shared" si="160"/>
        <v>5781</v>
      </c>
      <c r="F584" s="52">
        <f t="shared" si="160"/>
        <v>0</v>
      </c>
      <c r="G584" s="52">
        <f t="shared" si="160"/>
        <v>0</v>
      </c>
      <c r="H584" s="52">
        <f t="shared" si="160"/>
        <v>0</v>
      </c>
      <c r="I584" s="52">
        <f t="shared" si="160"/>
        <v>173.61</v>
      </c>
    </row>
    <row r="585" spans="1:9" s="211" customFormat="1" ht="25.5" customHeight="1">
      <c r="A585" s="214" t="s">
        <v>49</v>
      </c>
      <c r="B585" s="281" t="s">
        <v>29</v>
      </c>
      <c r="C585" s="246">
        <f t="shared" si="158"/>
        <v>6177</v>
      </c>
      <c r="D585" s="246">
        <f t="shared" ref="D585:I586" si="161">D622+D776</f>
        <v>1273</v>
      </c>
      <c r="E585" s="246">
        <f t="shared" si="161"/>
        <v>4904</v>
      </c>
      <c r="F585" s="246">
        <f t="shared" si="161"/>
        <v>0</v>
      </c>
      <c r="G585" s="246">
        <f t="shared" si="161"/>
        <v>0</v>
      </c>
      <c r="H585" s="246">
        <f t="shared" si="161"/>
        <v>0</v>
      </c>
      <c r="I585" s="246">
        <f t="shared" si="161"/>
        <v>0</v>
      </c>
    </row>
    <row r="586" spans="1:9" s="211" customFormat="1" ht="12.95">
      <c r="A586" s="225"/>
      <c r="B586" s="226" t="s">
        <v>30</v>
      </c>
      <c r="C586" s="246">
        <f t="shared" si="158"/>
        <v>6177</v>
      </c>
      <c r="D586" s="246">
        <f t="shared" si="161"/>
        <v>1273</v>
      </c>
      <c r="E586" s="246">
        <f t="shared" si="161"/>
        <v>4904</v>
      </c>
      <c r="F586" s="246">
        <f t="shared" si="161"/>
        <v>0</v>
      </c>
      <c r="G586" s="246">
        <f t="shared" si="161"/>
        <v>0</v>
      </c>
      <c r="H586" s="246">
        <f t="shared" si="161"/>
        <v>0</v>
      </c>
      <c r="I586" s="246">
        <f t="shared" si="161"/>
        <v>0</v>
      </c>
    </row>
    <row r="587" spans="1:9" s="211" customFormat="1" ht="25.7">
      <c r="A587" s="290" t="s">
        <v>103</v>
      </c>
      <c r="B587" s="281" t="s">
        <v>29</v>
      </c>
      <c r="C587" s="246">
        <f t="shared" si="158"/>
        <v>31.12</v>
      </c>
      <c r="D587" s="246">
        <f>D1170</f>
        <v>31.12</v>
      </c>
      <c r="E587" s="246">
        <f t="shared" ref="E587:I588" si="162">E1170</f>
        <v>0</v>
      </c>
      <c r="F587" s="246">
        <f t="shared" si="162"/>
        <v>0</v>
      </c>
      <c r="G587" s="246">
        <f t="shared" si="162"/>
        <v>0</v>
      </c>
      <c r="H587" s="246">
        <f t="shared" si="162"/>
        <v>0</v>
      </c>
      <c r="I587" s="246">
        <f t="shared" si="162"/>
        <v>0</v>
      </c>
    </row>
    <row r="588" spans="1:9" s="211" customFormat="1" ht="12.95">
      <c r="A588" s="225"/>
      <c r="B588" s="226" t="s">
        <v>30</v>
      </c>
      <c r="C588" s="246">
        <f t="shared" si="158"/>
        <v>31.12</v>
      </c>
      <c r="D588" s="246">
        <f>D1171</f>
        <v>31.12</v>
      </c>
      <c r="E588" s="246">
        <f t="shared" si="162"/>
        <v>0</v>
      </c>
      <c r="F588" s="246">
        <f t="shared" si="162"/>
        <v>0</v>
      </c>
      <c r="G588" s="246">
        <f t="shared" si="162"/>
        <v>0</v>
      </c>
      <c r="H588" s="246">
        <f t="shared" si="162"/>
        <v>0</v>
      </c>
      <c r="I588" s="246">
        <f t="shared" si="162"/>
        <v>0</v>
      </c>
    </row>
    <row r="589" spans="1:9" s="211" customFormat="1" ht="25.7">
      <c r="A589" s="296" t="s">
        <v>36</v>
      </c>
      <c r="B589" s="281" t="s">
        <v>29</v>
      </c>
      <c r="C589" s="246">
        <f t="shared" si="158"/>
        <v>37939</v>
      </c>
      <c r="D589" s="246">
        <f>D626</f>
        <v>37939</v>
      </c>
      <c r="E589" s="246">
        <f t="shared" ref="E589:I590" si="163">E626</f>
        <v>0</v>
      </c>
      <c r="F589" s="246">
        <f t="shared" si="163"/>
        <v>0</v>
      </c>
      <c r="G589" s="246">
        <f t="shared" si="163"/>
        <v>0</v>
      </c>
      <c r="H589" s="246">
        <f t="shared" si="163"/>
        <v>0</v>
      </c>
      <c r="I589" s="246">
        <f t="shared" si="163"/>
        <v>0</v>
      </c>
    </row>
    <row r="590" spans="1:9" s="211" customFormat="1" ht="12.95">
      <c r="A590" s="225"/>
      <c r="B590" s="226" t="s">
        <v>30</v>
      </c>
      <c r="C590" s="246">
        <f t="shared" si="158"/>
        <v>37939</v>
      </c>
      <c r="D590" s="246">
        <f>D627</f>
        <v>37939</v>
      </c>
      <c r="E590" s="246">
        <f t="shared" si="163"/>
        <v>0</v>
      </c>
      <c r="F590" s="246">
        <f t="shared" si="163"/>
        <v>0</v>
      </c>
      <c r="G590" s="246">
        <f t="shared" si="163"/>
        <v>0</v>
      </c>
      <c r="H590" s="246">
        <f t="shared" si="163"/>
        <v>0</v>
      </c>
      <c r="I590" s="246">
        <f t="shared" si="163"/>
        <v>0</v>
      </c>
    </row>
    <row r="591" spans="1:9" ht="12.95">
      <c r="A591" s="19" t="s">
        <v>37</v>
      </c>
      <c r="B591" s="3" t="s">
        <v>29</v>
      </c>
      <c r="C591" s="52">
        <f t="shared" si="158"/>
        <v>29034.84</v>
      </c>
      <c r="D591" s="52">
        <f>D593</f>
        <v>27984.23</v>
      </c>
      <c r="E591" s="52">
        <f t="shared" ref="E591:I592" si="164">E593</f>
        <v>877</v>
      </c>
      <c r="F591" s="52">
        <f t="shared" si="164"/>
        <v>0</v>
      </c>
      <c r="G591" s="52">
        <f t="shared" si="164"/>
        <v>0</v>
      </c>
      <c r="H591" s="52">
        <f t="shared" si="164"/>
        <v>0</v>
      </c>
      <c r="I591" s="52">
        <f t="shared" si="164"/>
        <v>173.61</v>
      </c>
    </row>
    <row r="592" spans="1:9" ht="12.95">
      <c r="A592" s="16"/>
      <c r="B592" s="4" t="s">
        <v>30</v>
      </c>
      <c r="C592" s="52">
        <f t="shared" si="158"/>
        <v>29034.84</v>
      </c>
      <c r="D592" s="52">
        <f>D594</f>
        <v>27984.23</v>
      </c>
      <c r="E592" s="52">
        <f t="shared" si="164"/>
        <v>877</v>
      </c>
      <c r="F592" s="52">
        <f t="shared" si="164"/>
        <v>0</v>
      </c>
      <c r="G592" s="52">
        <f t="shared" si="164"/>
        <v>0</v>
      </c>
      <c r="H592" s="52">
        <f t="shared" si="164"/>
        <v>0</v>
      </c>
      <c r="I592" s="52">
        <f t="shared" si="164"/>
        <v>173.61</v>
      </c>
    </row>
    <row r="593" spans="1:9">
      <c r="A593" s="28" t="s">
        <v>50</v>
      </c>
      <c r="B593" s="160" t="s">
        <v>29</v>
      </c>
      <c r="C593" s="52">
        <f t="shared" si="158"/>
        <v>29034.84</v>
      </c>
      <c r="D593" s="52">
        <f>D595+D597+D599</f>
        <v>27984.23</v>
      </c>
      <c r="E593" s="52">
        <f t="shared" ref="E593:I594" si="165">E595+E597+E599</f>
        <v>877</v>
      </c>
      <c r="F593" s="52">
        <f t="shared" si="165"/>
        <v>0</v>
      </c>
      <c r="G593" s="52">
        <f t="shared" si="165"/>
        <v>0</v>
      </c>
      <c r="H593" s="52">
        <f t="shared" si="165"/>
        <v>0</v>
      </c>
      <c r="I593" s="52">
        <f t="shared" si="165"/>
        <v>173.61</v>
      </c>
    </row>
    <row r="594" spans="1:9">
      <c r="A594" s="10"/>
      <c r="B594" s="4" t="s">
        <v>30</v>
      </c>
      <c r="C594" s="52">
        <f t="shared" si="158"/>
        <v>29034.84</v>
      </c>
      <c r="D594" s="52">
        <f>D596+D598+D600</f>
        <v>27984.23</v>
      </c>
      <c r="E594" s="52">
        <f t="shared" si="165"/>
        <v>877</v>
      </c>
      <c r="F594" s="52">
        <f t="shared" si="165"/>
        <v>0</v>
      </c>
      <c r="G594" s="52">
        <f t="shared" si="165"/>
        <v>0</v>
      </c>
      <c r="H594" s="52">
        <f t="shared" si="165"/>
        <v>0</v>
      </c>
      <c r="I594" s="52">
        <f t="shared" si="165"/>
        <v>173.61</v>
      </c>
    </row>
    <row r="595" spans="1:9">
      <c r="A595" s="11" t="s">
        <v>40</v>
      </c>
      <c r="B595" s="160" t="s">
        <v>29</v>
      </c>
      <c r="C595" s="52">
        <f t="shared" si="158"/>
        <v>27362.05</v>
      </c>
      <c r="D595" s="52">
        <f t="shared" ref="D595:I596" si="166">D636+D745+D1180+D1359+D1462</f>
        <v>26697.05</v>
      </c>
      <c r="E595" s="52">
        <f t="shared" si="166"/>
        <v>665</v>
      </c>
      <c r="F595" s="52">
        <f t="shared" si="166"/>
        <v>0</v>
      </c>
      <c r="G595" s="52">
        <f t="shared" si="166"/>
        <v>0</v>
      </c>
      <c r="H595" s="52">
        <f t="shared" si="166"/>
        <v>0</v>
      </c>
      <c r="I595" s="52">
        <f t="shared" si="166"/>
        <v>0</v>
      </c>
    </row>
    <row r="596" spans="1:9">
      <c r="A596" s="12"/>
      <c r="B596" s="4" t="s">
        <v>30</v>
      </c>
      <c r="C596" s="52">
        <f t="shared" si="158"/>
        <v>27362.05</v>
      </c>
      <c r="D596" s="52">
        <f t="shared" si="166"/>
        <v>26697.05</v>
      </c>
      <c r="E596" s="52">
        <f t="shared" si="166"/>
        <v>665</v>
      </c>
      <c r="F596" s="52">
        <f t="shared" si="166"/>
        <v>0</v>
      </c>
      <c r="G596" s="52">
        <f t="shared" si="166"/>
        <v>0</v>
      </c>
      <c r="H596" s="52">
        <f t="shared" si="166"/>
        <v>0</v>
      </c>
      <c r="I596" s="52">
        <f t="shared" si="166"/>
        <v>0</v>
      </c>
    </row>
    <row r="597" spans="1:9">
      <c r="A597" s="11" t="s">
        <v>41</v>
      </c>
      <c r="B597" s="160" t="s">
        <v>29</v>
      </c>
      <c r="C597" s="52">
        <f t="shared" si="158"/>
        <v>1441.42</v>
      </c>
      <c r="D597" s="52">
        <f t="shared" ref="D597:I598" si="167">D718+D765+D1371</f>
        <v>1067.81</v>
      </c>
      <c r="E597" s="52">
        <f t="shared" si="167"/>
        <v>200</v>
      </c>
      <c r="F597" s="52">
        <f t="shared" si="167"/>
        <v>0</v>
      </c>
      <c r="G597" s="52">
        <f t="shared" si="167"/>
        <v>0</v>
      </c>
      <c r="H597" s="52">
        <f t="shared" si="167"/>
        <v>0</v>
      </c>
      <c r="I597" s="52">
        <f t="shared" si="167"/>
        <v>173.61</v>
      </c>
    </row>
    <row r="598" spans="1:9">
      <c r="A598" s="12"/>
      <c r="B598" s="4" t="s">
        <v>30</v>
      </c>
      <c r="C598" s="52">
        <f t="shared" si="158"/>
        <v>1441.42</v>
      </c>
      <c r="D598" s="52">
        <f t="shared" si="167"/>
        <v>1067.81</v>
      </c>
      <c r="E598" s="52">
        <f t="shared" si="167"/>
        <v>200</v>
      </c>
      <c r="F598" s="52">
        <f t="shared" si="167"/>
        <v>0</v>
      </c>
      <c r="G598" s="52">
        <f t="shared" si="167"/>
        <v>0</v>
      </c>
      <c r="H598" s="52">
        <f t="shared" si="167"/>
        <v>0</v>
      </c>
      <c r="I598" s="52">
        <f t="shared" si="167"/>
        <v>173.61</v>
      </c>
    </row>
    <row r="599" spans="1:9" ht="12.95">
      <c r="A599" s="32" t="s">
        <v>42</v>
      </c>
      <c r="B599" s="160" t="s">
        <v>29</v>
      </c>
      <c r="C599" s="52">
        <f t="shared" si="158"/>
        <v>231.37</v>
      </c>
      <c r="D599" s="52">
        <f>D680+D726+D788</f>
        <v>219.37</v>
      </c>
      <c r="E599" s="52">
        <f t="shared" ref="E599:I600" si="168">E680+E726+E788</f>
        <v>12</v>
      </c>
      <c r="F599" s="52">
        <f t="shared" si="168"/>
        <v>0</v>
      </c>
      <c r="G599" s="52">
        <f t="shared" si="168"/>
        <v>0</v>
      </c>
      <c r="H599" s="52">
        <f t="shared" si="168"/>
        <v>0</v>
      </c>
      <c r="I599" s="52">
        <f t="shared" si="168"/>
        <v>0</v>
      </c>
    </row>
    <row r="600" spans="1:9">
      <c r="A600" s="12"/>
      <c r="B600" s="4" t="s">
        <v>30</v>
      </c>
      <c r="C600" s="52">
        <f t="shared" si="158"/>
        <v>231.37</v>
      </c>
      <c r="D600" s="52">
        <f>D681+D727+D789</f>
        <v>219.37</v>
      </c>
      <c r="E600" s="52">
        <f t="shared" si="168"/>
        <v>12</v>
      </c>
      <c r="F600" s="52">
        <f t="shared" si="168"/>
        <v>0</v>
      </c>
      <c r="G600" s="52">
        <f t="shared" si="168"/>
        <v>0</v>
      </c>
      <c r="H600" s="52">
        <f t="shared" si="168"/>
        <v>0</v>
      </c>
      <c r="I600" s="52">
        <f t="shared" si="168"/>
        <v>0</v>
      </c>
    </row>
    <row r="601" spans="1:9">
      <c r="A601" s="14" t="s">
        <v>47</v>
      </c>
      <c r="B601" s="129" t="s">
        <v>29</v>
      </c>
      <c r="C601" s="130">
        <f t="shared" si="158"/>
        <v>60741.93</v>
      </c>
      <c r="D601" s="130">
        <f>D603+D605+D607</f>
        <v>36604.9</v>
      </c>
      <c r="E601" s="130">
        <f t="shared" ref="E601:I602" si="169">E603+E605+E607</f>
        <v>23009</v>
      </c>
      <c r="F601" s="130">
        <f t="shared" si="169"/>
        <v>0</v>
      </c>
      <c r="G601" s="130">
        <f t="shared" si="169"/>
        <v>0</v>
      </c>
      <c r="H601" s="130">
        <f t="shared" si="169"/>
        <v>0</v>
      </c>
      <c r="I601" s="130">
        <f t="shared" si="169"/>
        <v>1128.0299999999995</v>
      </c>
    </row>
    <row r="602" spans="1:9">
      <c r="A602" s="12" t="s">
        <v>48</v>
      </c>
      <c r="B602" s="132" t="s">
        <v>30</v>
      </c>
      <c r="C602" s="130">
        <f t="shared" si="158"/>
        <v>60741.93</v>
      </c>
      <c r="D602" s="130">
        <f>D604+D606+D608</f>
        <v>36604.9</v>
      </c>
      <c r="E602" s="130">
        <f t="shared" si="169"/>
        <v>23009</v>
      </c>
      <c r="F602" s="130">
        <f t="shared" si="169"/>
        <v>0</v>
      </c>
      <c r="G602" s="130">
        <f t="shared" si="169"/>
        <v>0</v>
      </c>
      <c r="H602" s="130">
        <f t="shared" si="169"/>
        <v>0</v>
      </c>
      <c r="I602" s="130">
        <f t="shared" si="169"/>
        <v>1128.0299999999995</v>
      </c>
    </row>
    <row r="603" spans="1:9" s="211" customFormat="1" ht="25.5" customHeight="1">
      <c r="A603" s="214" t="s">
        <v>49</v>
      </c>
      <c r="B603" s="281" t="s">
        <v>29</v>
      </c>
      <c r="C603" s="246">
        <f t="shared" si="158"/>
        <v>7122</v>
      </c>
      <c r="D603" s="246">
        <f>D799</f>
        <v>0</v>
      </c>
      <c r="E603" s="246">
        <f t="shared" ref="E603:I604" si="170">E799</f>
        <v>7122</v>
      </c>
      <c r="F603" s="246">
        <f t="shared" si="170"/>
        <v>0</v>
      </c>
      <c r="G603" s="246">
        <f t="shared" si="170"/>
        <v>0</v>
      </c>
      <c r="H603" s="246">
        <f t="shared" si="170"/>
        <v>0</v>
      </c>
      <c r="I603" s="246">
        <f t="shared" si="170"/>
        <v>0</v>
      </c>
    </row>
    <row r="604" spans="1:9" s="211" customFormat="1" ht="12.95">
      <c r="A604" s="225"/>
      <c r="B604" s="226" t="s">
        <v>30</v>
      </c>
      <c r="C604" s="246">
        <f t="shared" si="158"/>
        <v>7122</v>
      </c>
      <c r="D604" s="246">
        <f>D800</f>
        <v>0</v>
      </c>
      <c r="E604" s="246">
        <f t="shared" si="170"/>
        <v>7122</v>
      </c>
      <c r="F604" s="246">
        <f t="shared" si="170"/>
        <v>0</v>
      </c>
      <c r="G604" s="246">
        <f t="shared" si="170"/>
        <v>0</v>
      </c>
      <c r="H604" s="246">
        <f t="shared" si="170"/>
        <v>0</v>
      </c>
      <c r="I604" s="246">
        <f t="shared" si="170"/>
        <v>0</v>
      </c>
    </row>
    <row r="605" spans="1:9" s="211" customFormat="1" ht="25.7">
      <c r="A605" s="296" t="s">
        <v>36</v>
      </c>
      <c r="B605" s="281" t="s">
        <v>29</v>
      </c>
      <c r="C605" s="246">
        <f>D605+E605+F605+G605+H605+I605</f>
        <v>23590</v>
      </c>
      <c r="D605" s="246">
        <f>D807</f>
        <v>14624.970000000001</v>
      </c>
      <c r="E605" s="246">
        <f t="shared" ref="E605:I606" si="171">E807</f>
        <v>7837</v>
      </c>
      <c r="F605" s="246">
        <f t="shared" si="171"/>
        <v>0</v>
      </c>
      <c r="G605" s="246">
        <f t="shared" si="171"/>
        <v>0</v>
      </c>
      <c r="H605" s="246">
        <f t="shared" si="171"/>
        <v>0</v>
      </c>
      <c r="I605" s="246">
        <f t="shared" si="171"/>
        <v>1128.0299999999995</v>
      </c>
    </row>
    <row r="606" spans="1:9" s="211" customFormat="1" ht="12.95">
      <c r="A606" s="225"/>
      <c r="B606" s="226" t="s">
        <v>30</v>
      </c>
      <c r="C606" s="246">
        <f>D606+E606+F606+G606+H606+I606</f>
        <v>23590</v>
      </c>
      <c r="D606" s="246">
        <f>D808</f>
        <v>14624.970000000001</v>
      </c>
      <c r="E606" s="246">
        <f t="shared" si="171"/>
        <v>7837</v>
      </c>
      <c r="F606" s="246">
        <f t="shared" si="171"/>
        <v>0</v>
      </c>
      <c r="G606" s="246">
        <f t="shared" si="171"/>
        <v>0</v>
      </c>
      <c r="H606" s="246">
        <f t="shared" si="171"/>
        <v>0</v>
      </c>
      <c r="I606" s="246">
        <f t="shared" si="171"/>
        <v>1128.0299999999995</v>
      </c>
    </row>
    <row r="607" spans="1:9" ht="12.95">
      <c r="A607" s="19" t="s">
        <v>37</v>
      </c>
      <c r="B607" s="3" t="s">
        <v>29</v>
      </c>
      <c r="C607" s="52">
        <f t="shared" si="158"/>
        <v>30029.93</v>
      </c>
      <c r="D607" s="52">
        <f>D609</f>
        <v>21979.93</v>
      </c>
      <c r="E607" s="52">
        <f t="shared" ref="E607:I608" si="172">E609</f>
        <v>8050</v>
      </c>
      <c r="F607" s="52">
        <f t="shared" si="172"/>
        <v>0</v>
      </c>
      <c r="G607" s="52">
        <f t="shared" si="172"/>
        <v>0</v>
      </c>
      <c r="H607" s="52">
        <f t="shared" si="172"/>
        <v>0</v>
      </c>
      <c r="I607" s="52">
        <f t="shared" si="172"/>
        <v>0</v>
      </c>
    </row>
    <row r="608" spans="1:9" ht="12.95">
      <c r="A608" s="16"/>
      <c r="B608" s="4" t="s">
        <v>30</v>
      </c>
      <c r="C608" s="52">
        <f t="shared" si="158"/>
        <v>30029.93</v>
      </c>
      <c r="D608" s="52">
        <f>D610</f>
        <v>21979.93</v>
      </c>
      <c r="E608" s="52">
        <f t="shared" si="172"/>
        <v>8050</v>
      </c>
      <c r="F608" s="52">
        <f t="shared" si="172"/>
        <v>0</v>
      </c>
      <c r="G608" s="52">
        <f t="shared" si="172"/>
        <v>0</v>
      </c>
      <c r="H608" s="52">
        <f t="shared" si="172"/>
        <v>0</v>
      </c>
      <c r="I608" s="52">
        <f t="shared" si="172"/>
        <v>0</v>
      </c>
    </row>
    <row r="609" spans="1:17">
      <c r="A609" s="28" t="s">
        <v>50</v>
      </c>
      <c r="B609" s="24" t="s">
        <v>29</v>
      </c>
      <c r="C609" s="52">
        <f t="shared" si="158"/>
        <v>30029.93</v>
      </c>
      <c r="D609" s="52">
        <f>D611+D613+D615</f>
        <v>21979.93</v>
      </c>
      <c r="E609" s="52">
        <f t="shared" ref="E609:I610" si="173">E611+E613+E615</f>
        <v>8050</v>
      </c>
      <c r="F609" s="52">
        <f t="shared" si="173"/>
        <v>0</v>
      </c>
      <c r="G609" s="52">
        <f t="shared" si="173"/>
        <v>0</v>
      </c>
      <c r="H609" s="52">
        <f t="shared" si="173"/>
        <v>0</v>
      </c>
      <c r="I609" s="52">
        <f t="shared" si="173"/>
        <v>0</v>
      </c>
    </row>
    <row r="610" spans="1:17">
      <c r="A610" s="12"/>
      <c r="B610" s="35" t="s">
        <v>30</v>
      </c>
      <c r="C610" s="52">
        <f t="shared" si="158"/>
        <v>30029.93</v>
      </c>
      <c r="D610" s="52">
        <f>D612+D614+D616</f>
        <v>21979.93</v>
      </c>
      <c r="E610" s="52">
        <f t="shared" si="173"/>
        <v>8050</v>
      </c>
      <c r="F610" s="52">
        <f t="shared" si="173"/>
        <v>0</v>
      </c>
      <c r="G610" s="52">
        <f t="shared" si="173"/>
        <v>0</v>
      </c>
      <c r="H610" s="52">
        <f t="shared" si="173"/>
        <v>0</v>
      </c>
      <c r="I610" s="52">
        <f t="shared" si="173"/>
        <v>0</v>
      </c>
    </row>
    <row r="611" spans="1:17">
      <c r="A611" s="79" t="s">
        <v>40</v>
      </c>
      <c r="B611" s="24" t="s">
        <v>29</v>
      </c>
      <c r="C611" s="52">
        <f t="shared" si="158"/>
        <v>29644.36</v>
      </c>
      <c r="D611" s="52">
        <f t="shared" ref="D611:I612" si="174">D829+D1194+D1387</f>
        <v>21714.36</v>
      </c>
      <c r="E611" s="52">
        <f t="shared" si="174"/>
        <v>7930</v>
      </c>
      <c r="F611" s="52">
        <f t="shared" si="174"/>
        <v>0</v>
      </c>
      <c r="G611" s="52">
        <f t="shared" si="174"/>
        <v>0</v>
      </c>
      <c r="H611" s="52">
        <f t="shared" si="174"/>
        <v>0</v>
      </c>
      <c r="I611" s="52">
        <f t="shared" si="174"/>
        <v>0</v>
      </c>
    </row>
    <row r="612" spans="1:17">
      <c r="A612" s="10"/>
      <c r="B612" s="26" t="s">
        <v>30</v>
      </c>
      <c r="C612" s="52">
        <f t="shared" si="158"/>
        <v>29644.36</v>
      </c>
      <c r="D612" s="52">
        <f t="shared" si="174"/>
        <v>21714.36</v>
      </c>
      <c r="E612" s="52">
        <f t="shared" si="174"/>
        <v>7930</v>
      </c>
      <c r="F612" s="52">
        <f t="shared" si="174"/>
        <v>0</v>
      </c>
      <c r="G612" s="52">
        <f t="shared" si="174"/>
        <v>0</v>
      </c>
      <c r="H612" s="52">
        <f t="shared" si="174"/>
        <v>0</v>
      </c>
      <c r="I612" s="52">
        <f t="shared" si="174"/>
        <v>0</v>
      </c>
    </row>
    <row r="613" spans="1:17">
      <c r="A613" s="31" t="s">
        <v>41</v>
      </c>
      <c r="B613" s="348" t="s">
        <v>29</v>
      </c>
      <c r="C613" s="52">
        <f t="shared" si="158"/>
        <v>173.89</v>
      </c>
      <c r="D613" s="52">
        <f>D1127+D1316+D1421</f>
        <v>85.89</v>
      </c>
      <c r="E613" s="52">
        <f t="shared" ref="E613:I613" si="175">E1127+E1316+E1421</f>
        <v>88</v>
      </c>
      <c r="F613" s="52">
        <f t="shared" si="175"/>
        <v>0</v>
      </c>
      <c r="G613" s="52">
        <f t="shared" si="175"/>
        <v>0</v>
      </c>
      <c r="H613" s="52">
        <f t="shared" si="175"/>
        <v>0</v>
      </c>
      <c r="I613" s="52">
        <f t="shared" si="175"/>
        <v>0</v>
      </c>
    </row>
    <row r="614" spans="1:17">
      <c r="A614" s="7"/>
      <c r="B614" s="348" t="s">
        <v>30</v>
      </c>
      <c r="C614" s="52">
        <f t="shared" si="158"/>
        <v>173.89</v>
      </c>
      <c r="D614" s="52">
        <f>D1128+D1317+D1422</f>
        <v>85.89</v>
      </c>
      <c r="E614" s="52">
        <f t="shared" ref="E614:I614" si="176">E1128+E1317+E1422</f>
        <v>88</v>
      </c>
      <c r="F614" s="52">
        <f t="shared" si="176"/>
        <v>0</v>
      </c>
      <c r="G614" s="52">
        <f t="shared" si="176"/>
        <v>0</v>
      </c>
      <c r="H614" s="52">
        <f t="shared" si="176"/>
        <v>0</v>
      </c>
      <c r="I614" s="52">
        <f t="shared" si="176"/>
        <v>0</v>
      </c>
    </row>
    <row r="615" spans="1:17" ht="12.95">
      <c r="A615" s="34" t="s">
        <v>51</v>
      </c>
      <c r="B615" s="24" t="s">
        <v>29</v>
      </c>
      <c r="C615" s="52">
        <f t="shared" si="158"/>
        <v>211.67999999999998</v>
      </c>
      <c r="D615" s="52">
        <f t="shared" ref="D615:I616" si="177">D699+D1137+D1322+D1441</f>
        <v>179.67999999999998</v>
      </c>
      <c r="E615" s="52">
        <f t="shared" si="177"/>
        <v>32</v>
      </c>
      <c r="F615" s="52">
        <f t="shared" si="177"/>
        <v>0</v>
      </c>
      <c r="G615" s="52">
        <f t="shared" si="177"/>
        <v>0</v>
      </c>
      <c r="H615" s="52">
        <f t="shared" si="177"/>
        <v>0</v>
      </c>
      <c r="I615" s="52">
        <f t="shared" si="177"/>
        <v>0</v>
      </c>
    </row>
    <row r="616" spans="1:17">
      <c r="A616" s="10"/>
      <c r="B616" s="26" t="s">
        <v>30</v>
      </c>
      <c r="C616" s="52">
        <f t="shared" si="158"/>
        <v>211.67999999999998</v>
      </c>
      <c r="D616" s="52">
        <f t="shared" si="177"/>
        <v>179.67999999999998</v>
      </c>
      <c r="E616" s="52">
        <f t="shared" si="177"/>
        <v>32</v>
      </c>
      <c r="F616" s="52">
        <f t="shared" si="177"/>
        <v>0</v>
      </c>
      <c r="G616" s="52">
        <f t="shared" si="177"/>
        <v>0</v>
      </c>
      <c r="H616" s="52">
        <f t="shared" si="177"/>
        <v>0</v>
      </c>
      <c r="I616" s="52">
        <f t="shared" si="177"/>
        <v>0</v>
      </c>
    </row>
    <row r="617" spans="1:17">
      <c r="A617" s="632" t="s">
        <v>59</v>
      </c>
      <c r="B617" s="633"/>
      <c r="C617" s="633"/>
      <c r="D617" s="633"/>
      <c r="E617" s="633"/>
      <c r="F617" s="633"/>
      <c r="G617" s="633"/>
      <c r="H617" s="633"/>
      <c r="I617" s="670"/>
    </row>
    <row r="618" spans="1:17" s="101" customFormat="1">
      <c r="A618" s="92" t="s">
        <v>54</v>
      </c>
      <c r="B618" s="170" t="s">
        <v>29</v>
      </c>
      <c r="C618" s="171">
        <f t="shared" ref="C618:C681" si="178">D618+E618+F618+G618+H618+I618</f>
        <v>70175.929999999993</v>
      </c>
      <c r="D618" s="171">
        <f t="shared" ref="D618:I619" si="179">D620</f>
        <v>65113.93</v>
      </c>
      <c r="E618" s="171">
        <f t="shared" si="179"/>
        <v>5062</v>
      </c>
      <c r="F618" s="171">
        <f t="shared" si="179"/>
        <v>0</v>
      </c>
      <c r="G618" s="171">
        <f t="shared" si="179"/>
        <v>0</v>
      </c>
      <c r="H618" s="171">
        <f t="shared" si="179"/>
        <v>0</v>
      </c>
      <c r="I618" s="171">
        <f t="shared" si="179"/>
        <v>0</v>
      </c>
    </row>
    <row r="619" spans="1:17" s="101" customFormat="1">
      <c r="A619" s="108" t="s">
        <v>87</v>
      </c>
      <c r="B619" s="173" t="s">
        <v>30</v>
      </c>
      <c r="C619" s="171">
        <f t="shared" si="178"/>
        <v>70175.929999999993</v>
      </c>
      <c r="D619" s="171">
        <f t="shared" si="179"/>
        <v>65113.93</v>
      </c>
      <c r="E619" s="171">
        <f t="shared" si="179"/>
        <v>5062</v>
      </c>
      <c r="F619" s="171">
        <f t="shared" si="179"/>
        <v>0</v>
      </c>
      <c r="G619" s="171">
        <f t="shared" si="179"/>
        <v>0</v>
      </c>
      <c r="H619" s="171">
        <f t="shared" si="179"/>
        <v>0</v>
      </c>
      <c r="I619" s="171">
        <f t="shared" si="179"/>
        <v>0</v>
      </c>
    </row>
    <row r="620" spans="1:17" s="101" customFormat="1">
      <c r="A620" s="144" t="s">
        <v>31</v>
      </c>
      <c r="B620" s="163" t="s">
        <v>29</v>
      </c>
      <c r="C620" s="83">
        <f t="shared" si="178"/>
        <v>70175.929999999993</v>
      </c>
      <c r="D620" s="83">
        <f t="shared" ref="D620:I621" si="180">D622+D626+D632</f>
        <v>65113.93</v>
      </c>
      <c r="E620" s="83">
        <f t="shared" si="180"/>
        <v>5062</v>
      </c>
      <c r="F620" s="83">
        <f t="shared" si="180"/>
        <v>0</v>
      </c>
      <c r="G620" s="83">
        <f t="shared" si="180"/>
        <v>0</v>
      </c>
      <c r="H620" s="83">
        <f t="shared" si="180"/>
        <v>0</v>
      </c>
      <c r="I620" s="83">
        <f t="shared" si="180"/>
        <v>0</v>
      </c>
    </row>
    <row r="621" spans="1:17" s="101" customFormat="1">
      <c r="A621" s="108" t="s">
        <v>32</v>
      </c>
      <c r="B621" s="164" t="s">
        <v>30</v>
      </c>
      <c r="C621" s="83">
        <f t="shared" si="178"/>
        <v>70175.929999999993</v>
      </c>
      <c r="D621" s="83">
        <f t="shared" si="180"/>
        <v>65113.93</v>
      </c>
      <c r="E621" s="83">
        <f t="shared" si="180"/>
        <v>5062</v>
      </c>
      <c r="F621" s="83">
        <f t="shared" si="180"/>
        <v>0</v>
      </c>
      <c r="G621" s="83">
        <f t="shared" si="180"/>
        <v>0</v>
      </c>
      <c r="H621" s="83">
        <f t="shared" si="180"/>
        <v>0</v>
      </c>
      <c r="I621" s="83">
        <f t="shared" si="180"/>
        <v>0</v>
      </c>
    </row>
    <row r="622" spans="1:17" ht="25.7">
      <c r="A622" s="181" t="s">
        <v>49</v>
      </c>
      <c r="B622" s="63" t="s">
        <v>29</v>
      </c>
      <c r="C622" s="52">
        <f t="shared" si="178"/>
        <v>6078</v>
      </c>
      <c r="D622" s="52">
        <f>D624</f>
        <v>1273</v>
      </c>
      <c r="E622" s="52">
        <f t="shared" ref="E622:I622" si="181">E624</f>
        <v>4805</v>
      </c>
      <c r="F622" s="52">
        <f t="shared" si="181"/>
        <v>0</v>
      </c>
      <c r="G622" s="52">
        <f t="shared" si="181"/>
        <v>0</v>
      </c>
      <c r="H622" s="52">
        <f t="shared" si="181"/>
        <v>0</v>
      </c>
      <c r="I622" s="52">
        <f t="shared" si="181"/>
        <v>0</v>
      </c>
    </row>
    <row r="623" spans="1:17" ht="12.95">
      <c r="A623" s="16"/>
      <c r="B623" s="62" t="s">
        <v>30</v>
      </c>
      <c r="C623" s="52">
        <f t="shared" si="178"/>
        <v>6078</v>
      </c>
      <c r="D623" s="52">
        <f>D625</f>
        <v>1273</v>
      </c>
      <c r="E623" s="52">
        <f t="shared" ref="E623:I623" si="182">E625</f>
        <v>4805</v>
      </c>
      <c r="F623" s="52">
        <f t="shared" si="182"/>
        <v>0</v>
      </c>
      <c r="G623" s="52">
        <f t="shared" si="182"/>
        <v>0</v>
      </c>
      <c r="H623" s="52">
        <f t="shared" si="182"/>
        <v>0</v>
      </c>
      <c r="I623" s="52">
        <f t="shared" si="182"/>
        <v>0</v>
      </c>
    </row>
    <row r="624" spans="1:17" s="212" customFormat="1" ht="27.75" customHeight="1">
      <c r="A624" s="332" t="s">
        <v>246</v>
      </c>
      <c r="B624" s="237" t="s">
        <v>29</v>
      </c>
      <c r="C624" s="240">
        <f t="shared" si="178"/>
        <v>6078</v>
      </c>
      <c r="D624" s="240">
        <v>1273</v>
      </c>
      <c r="E624" s="240">
        <v>4805</v>
      </c>
      <c r="F624" s="240">
        <v>0</v>
      </c>
      <c r="G624" s="240">
        <v>0</v>
      </c>
      <c r="H624" s="240">
        <v>0</v>
      </c>
      <c r="I624" s="240">
        <v>0</v>
      </c>
      <c r="J624" s="585"/>
      <c r="K624" s="586"/>
      <c r="L624" s="586"/>
      <c r="M624" s="586"/>
      <c r="N624" s="586"/>
      <c r="O624" s="586"/>
      <c r="P624" s="586"/>
      <c r="Q624" s="586"/>
    </row>
    <row r="625" spans="1:17" s="212" customFormat="1" ht="12.95">
      <c r="A625" s="297"/>
      <c r="B625" s="226" t="s">
        <v>30</v>
      </c>
      <c r="C625" s="240">
        <f t="shared" si="178"/>
        <v>6078</v>
      </c>
      <c r="D625" s="240">
        <v>1273</v>
      </c>
      <c r="E625" s="240">
        <v>4805</v>
      </c>
      <c r="F625" s="240">
        <v>0</v>
      </c>
      <c r="G625" s="240">
        <v>0</v>
      </c>
      <c r="H625" s="240">
        <v>0</v>
      </c>
      <c r="I625" s="240">
        <v>0</v>
      </c>
      <c r="J625" s="585"/>
      <c r="K625" s="586"/>
      <c r="L625" s="586"/>
      <c r="M625" s="586"/>
      <c r="N625" s="586"/>
      <c r="O625" s="586"/>
      <c r="P625" s="586"/>
      <c r="Q625" s="586"/>
    </row>
    <row r="626" spans="1:17" ht="25.7">
      <c r="A626" s="258" t="s">
        <v>36</v>
      </c>
      <c r="B626" s="63" t="s">
        <v>29</v>
      </c>
      <c r="C626" s="52">
        <f t="shared" si="178"/>
        <v>37939</v>
      </c>
      <c r="D626" s="52">
        <f>D628+D630</f>
        <v>37939</v>
      </c>
      <c r="E626" s="52">
        <f t="shared" ref="E626:I627" si="183">E628+E630</f>
        <v>0</v>
      </c>
      <c r="F626" s="52">
        <f t="shared" si="183"/>
        <v>0</v>
      </c>
      <c r="G626" s="52">
        <f t="shared" si="183"/>
        <v>0</v>
      </c>
      <c r="H626" s="52">
        <f t="shared" si="183"/>
        <v>0</v>
      </c>
      <c r="I626" s="52">
        <f t="shared" si="183"/>
        <v>0</v>
      </c>
    </row>
    <row r="627" spans="1:17" ht="12.95">
      <c r="A627" s="16"/>
      <c r="B627" s="62" t="s">
        <v>30</v>
      </c>
      <c r="C627" s="52">
        <f t="shared" si="178"/>
        <v>37939</v>
      </c>
      <c r="D627" s="52">
        <f>D629+D631</f>
        <v>37939</v>
      </c>
      <c r="E627" s="52">
        <f>E629+E631</f>
        <v>0</v>
      </c>
      <c r="F627" s="52">
        <f t="shared" si="183"/>
        <v>0</v>
      </c>
      <c r="G627" s="52">
        <f t="shared" si="183"/>
        <v>0</v>
      </c>
      <c r="H627" s="52">
        <f t="shared" si="183"/>
        <v>0</v>
      </c>
      <c r="I627" s="52">
        <f t="shared" si="183"/>
        <v>0</v>
      </c>
    </row>
    <row r="628" spans="1:17" s="212" customFormat="1" ht="52.5" customHeight="1">
      <c r="A628" s="435" t="s">
        <v>247</v>
      </c>
      <c r="B628" s="237" t="s">
        <v>29</v>
      </c>
      <c r="C628" s="240">
        <f t="shared" si="178"/>
        <v>2034</v>
      </c>
      <c r="D628" s="240">
        <f>1879+155</f>
        <v>2034</v>
      </c>
      <c r="E628" s="240">
        <v>0</v>
      </c>
      <c r="F628" s="240">
        <v>0</v>
      </c>
      <c r="G628" s="240">
        <v>0</v>
      </c>
      <c r="H628" s="240">
        <v>0</v>
      </c>
      <c r="I628" s="240">
        <v>0</v>
      </c>
      <c r="J628" s="550"/>
      <c r="K628" s="584"/>
      <c r="L628" s="584"/>
      <c r="M628" s="584"/>
      <c r="N628" s="584"/>
      <c r="O628" s="584"/>
      <c r="P628" s="584"/>
      <c r="Q628" s="584"/>
    </row>
    <row r="629" spans="1:17" s="213" customFormat="1" ht="12.95">
      <c r="A629" s="297"/>
      <c r="B629" s="226" t="s">
        <v>30</v>
      </c>
      <c r="C629" s="240">
        <f t="shared" si="178"/>
        <v>2034</v>
      </c>
      <c r="D629" s="240">
        <f>1879+155</f>
        <v>2034</v>
      </c>
      <c r="E629" s="240">
        <v>0</v>
      </c>
      <c r="F629" s="240">
        <v>0</v>
      </c>
      <c r="G629" s="240">
        <v>0</v>
      </c>
      <c r="H629" s="240">
        <v>0</v>
      </c>
      <c r="I629" s="240">
        <v>0</v>
      </c>
      <c r="J629" s="550"/>
      <c r="K629" s="584"/>
      <c r="L629" s="584"/>
      <c r="M629" s="584"/>
      <c r="N629" s="584"/>
      <c r="O629" s="584"/>
      <c r="P629" s="584"/>
      <c r="Q629" s="584"/>
    </row>
    <row r="630" spans="1:17" s="212" customFormat="1" ht="27.75" customHeight="1">
      <c r="A630" s="415" t="s">
        <v>248</v>
      </c>
      <c r="B630" s="237" t="s">
        <v>29</v>
      </c>
      <c r="C630" s="240">
        <f t="shared" si="178"/>
        <v>35905</v>
      </c>
      <c r="D630" s="240">
        <f>6463+29442</f>
        <v>35905</v>
      </c>
      <c r="E630" s="240">
        <v>0</v>
      </c>
      <c r="F630" s="240">
        <v>0</v>
      </c>
      <c r="G630" s="240">
        <v>0</v>
      </c>
      <c r="H630" s="240">
        <v>0</v>
      </c>
      <c r="I630" s="240">
        <v>0</v>
      </c>
      <c r="J630" s="582"/>
      <c r="K630" s="583"/>
      <c r="L630" s="583"/>
      <c r="M630" s="583"/>
      <c r="N630" s="583"/>
      <c r="O630" s="583"/>
      <c r="P630" s="583"/>
      <c r="Q630" s="583"/>
    </row>
    <row r="631" spans="1:17" s="206" customFormat="1" ht="12.95">
      <c r="A631" s="43"/>
      <c r="B631" s="62" t="s">
        <v>30</v>
      </c>
      <c r="C631" s="78">
        <f t="shared" si="178"/>
        <v>35905</v>
      </c>
      <c r="D631" s="240">
        <f>6463+29442</f>
        <v>35905</v>
      </c>
      <c r="E631" s="240">
        <v>0</v>
      </c>
      <c r="F631" s="78">
        <v>0</v>
      </c>
      <c r="G631" s="78">
        <v>0</v>
      </c>
      <c r="H631" s="78">
        <v>0</v>
      </c>
      <c r="I631" s="240">
        <v>0</v>
      </c>
      <c r="J631" s="582"/>
      <c r="K631" s="583"/>
      <c r="L631" s="583"/>
      <c r="M631" s="583"/>
      <c r="N631" s="583"/>
      <c r="O631" s="583"/>
      <c r="P631" s="583"/>
      <c r="Q631" s="583"/>
    </row>
    <row r="632" spans="1:17" s="101" customFormat="1" ht="12.95">
      <c r="A632" s="89" t="s">
        <v>37</v>
      </c>
      <c r="B632" s="90" t="s">
        <v>29</v>
      </c>
      <c r="C632" s="83">
        <f t="shared" si="178"/>
        <v>26158.93</v>
      </c>
      <c r="D632" s="83">
        <f t="shared" ref="D632:I633" si="184">D634</f>
        <v>25901.93</v>
      </c>
      <c r="E632" s="83">
        <f t="shared" si="184"/>
        <v>257</v>
      </c>
      <c r="F632" s="83">
        <f t="shared" si="184"/>
        <v>0</v>
      </c>
      <c r="G632" s="83">
        <f t="shared" si="184"/>
        <v>0</v>
      </c>
      <c r="H632" s="83">
        <f t="shared" si="184"/>
        <v>0</v>
      </c>
      <c r="I632" s="83">
        <f t="shared" si="184"/>
        <v>0</v>
      </c>
    </row>
    <row r="633" spans="1:17" s="101" customFormat="1" ht="12.95">
      <c r="A633" s="91"/>
      <c r="B633" s="164" t="s">
        <v>30</v>
      </c>
      <c r="C633" s="83">
        <f t="shared" si="178"/>
        <v>26158.93</v>
      </c>
      <c r="D633" s="83">
        <f t="shared" si="184"/>
        <v>25901.93</v>
      </c>
      <c r="E633" s="83">
        <f t="shared" si="184"/>
        <v>257</v>
      </c>
      <c r="F633" s="83">
        <f t="shared" si="184"/>
        <v>0</v>
      </c>
      <c r="G633" s="83">
        <f t="shared" si="184"/>
        <v>0</v>
      </c>
      <c r="H633" s="83">
        <f t="shared" si="184"/>
        <v>0</v>
      </c>
      <c r="I633" s="83">
        <f t="shared" si="184"/>
        <v>0</v>
      </c>
    </row>
    <row r="634" spans="1:17" s="101" customFormat="1">
      <c r="A634" s="110" t="s">
        <v>50</v>
      </c>
      <c r="B634" s="163" t="s">
        <v>29</v>
      </c>
      <c r="C634" s="83">
        <f t="shared" si="178"/>
        <v>26158.93</v>
      </c>
      <c r="D634" s="83">
        <f>D636+D680</f>
        <v>25901.93</v>
      </c>
      <c r="E634" s="83">
        <f t="shared" ref="E634:I635" si="185">E636+E680</f>
        <v>257</v>
      </c>
      <c r="F634" s="83">
        <f t="shared" si="185"/>
        <v>0</v>
      </c>
      <c r="G634" s="83">
        <f t="shared" si="185"/>
        <v>0</v>
      </c>
      <c r="H634" s="83">
        <f t="shared" si="185"/>
        <v>0</v>
      </c>
      <c r="I634" s="83">
        <f t="shared" si="185"/>
        <v>0</v>
      </c>
    </row>
    <row r="635" spans="1:17" s="101" customFormat="1">
      <c r="A635" s="103"/>
      <c r="B635" s="164" t="s">
        <v>30</v>
      </c>
      <c r="C635" s="83">
        <f t="shared" si="178"/>
        <v>26158.93</v>
      </c>
      <c r="D635" s="83">
        <f>D637+D681</f>
        <v>25901.93</v>
      </c>
      <c r="E635" s="83">
        <f t="shared" si="185"/>
        <v>257</v>
      </c>
      <c r="F635" s="83">
        <f t="shared" si="185"/>
        <v>0</v>
      </c>
      <c r="G635" s="83">
        <f t="shared" si="185"/>
        <v>0</v>
      </c>
      <c r="H635" s="83">
        <f t="shared" si="185"/>
        <v>0</v>
      </c>
      <c r="I635" s="83">
        <f t="shared" si="185"/>
        <v>0</v>
      </c>
    </row>
    <row r="636" spans="1:17" s="126" customFormat="1">
      <c r="A636" s="121" t="s">
        <v>40</v>
      </c>
      <c r="B636" s="124" t="s">
        <v>29</v>
      </c>
      <c r="C636" s="125">
        <f t="shared" si="178"/>
        <v>25954.57</v>
      </c>
      <c r="D636" s="125">
        <f>D638+D640+D642+D644+D646+D648+D650+D652+D654+D656+D658+D660+D662+D664+D666+D668+D670+D672+D674+D676+D678</f>
        <v>25709.57</v>
      </c>
      <c r="E636" s="125">
        <f t="shared" ref="E636:I637" si="186">E638+E640+E642+E644+E646+E648+E650+E652+E654+E656+E658+E660+E662+E664+E666+E668+E670+E672+E674+E676+E678</f>
        <v>245</v>
      </c>
      <c r="F636" s="125">
        <f t="shared" si="186"/>
        <v>0</v>
      </c>
      <c r="G636" s="125">
        <f t="shared" si="186"/>
        <v>0</v>
      </c>
      <c r="H636" s="125">
        <f t="shared" si="186"/>
        <v>0</v>
      </c>
      <c r="I636" s="125">
        <f t="shared" si="186"/>
        <v>0</v>
      </c>
    </row>
    <row r="637" spans="1:17" s="126" customFormat="1">
      <c r="A637" s="134"/>
      <c r="B637" s="127" t="s">
        <v>30</v>
      </c>
      <c r="C637" s="125">
        <f t="shared" si="178"/>
        <v>25954.57</v>
      </c>
      <c r="D637" s="125">
        <f>D639+D641+D643+D645+D647+D649+D651+D653+D655+D657+D659+D661+D663+D665+D667+D669+D671+D673+D675+D677+D679</f>
        <v>25709.57</v>
      </c>
      <c r="E637" s="125">
        <f t="shared" si="186"/>
        <v>245</v>
      </c>
      <c r="F637" s="125">
        <f t="shared" si="186"/>
        <v>0</v>
      </c>
      <c r="G637" s="125">
        <f t="shared" si="186"/>
        <v>0</v>
      </c>
      <c r="H637" s="125">
        <f t="shared" si="186"/>
        <v>0</v>
      </c>
      <c r="I637" s="125">
        <f t="shared" si="186"/>
        <v>0</v>
      </c>
    </row>
    <row r="638" spans="1:17" s="212" customFormat="1" ht="26.25" customHeight="1">
      <c r="A638" s="433" t="s">
        <v>249</v>
      </c>
      <c r="B638" s="216" t="s">
        <v>29</v>
      </c>
      <c r="C638" s="203">
        <f t="shared" si="178"/>
        <v>25000</v>
      </c>
      <c r="D638" s="203">
        <f>D639</f>
        <v>25000</v>
      </c>
      <c r="E638" s="203">
        <v>0</v>
      </c>
      <c r="F638" s="203">
        <v>0</v>
      </c>
      <c r="G638" s="203">
        <f t="shared" ref="G638:I638" si="187">G639</f>
        <v>0</v>
      </c>
      <c r="H638" s="203">
        <f t="shared" si="187"/>
        <v>0</v>
      </c>
      <c r="I638" s="203">
        <f t="shared" si="187"/>
        <v>0</v>
      </c>
      <c r="J638" s="647" t="s">
        <v>250</v>
      </c>
      <c r="K638" s="684"/>
      <c r="L638" s="684"/>
      <c r="M638" s="684"/>
      <c r="N638" s="684"/>
    </row>
    <row r="639" spans="1:17" s="249" customFormat="1">
      <c r="A639" s="202"/>
      <c r="B639" s="217" t="s">
        <v>30</v>
      </c>
      <c r="C639" s="203">
        <f t="shared" si="178"/>
        <v>25000</v>
      </c>
      <c r="D639" s="203">
        <v>25000</v>
      </c>
      <c r="E639" s="203">
        <v>0</v>
      </c>
      <c r="F639" s="203">
        <v>0</v>
      </c>
      <c r="G639" s="203">
        <v>0</v>
      </c>
      <c r="H639" s="203">
        <v>0</v>
      </c>
      <c r="I639" s="203">
        <v>0</v>
      </c>
    </row>
    <row r="640" spans="1:17" s="253" customFormat="1">
      <c r="A640" s="437" t="s">
        <v>251</v>
      </c>
      <c r="B640" s="216" t="s">
        <v>29</v>
      </c>
      <c r="C640" s="203">
        <f t="shared" si="178"/>
        <v>304.60000000000002</v>
      </c>
      <c r="D640" s="203">
        <v>258.60000000000002</v>
      </c>
      <c r="E640" s="203">
        <v>46</v>
      </c>
      <c r="F640" s="203">
        <v>0</v>
      </c>
      <c r="G640" s="203">
        <v>0</v>
      </c>
      <c r="H640" s="203">
        <v>0</v>
      </c>
      <c r="I640" s="203">
        <v>0</v>
      </c>
    </row>
    <row r="641" spans="1:9" s="249" customFormat="1">
      <c r="A641" s="202"/>
      <c r="B641" s="217" t="s">
        <v>30</v>
      </c>
      <c r="C641" s="203">
        <f t="shared" si="178"/>
        <v>304.60000000000002</v>
      </c>
      <c r="D641" s="203">
        <v>258.60000000000002</v>
      </c>
      <c r="E641" s="203">
        <v>46</v>
      </c>
      <c r="F641" s="203">
        <v>0</v>
      </c>
      <c r="G641" s="203">
        <v>0</v>
      </c>
      <c r="H641" s="203">
        <v>0</v>
      </c>
      <c r="I641" s="203">
        <v>0</v>
      </c>
    </row>
    <row r="642" spans="1:9" s="253" customFormat="1">
      <c r="A642" s="436" t="s">
        <v>252</v>
      </c>
      <c r="B642" s="216" t="s">
        <v>29</v>
      </c>
      <c r="C642" s="203">
        <f t="shared" si="178"/>
        <v>44.25</v>
      </c>
      <c r="D642" s="203">
        <v>44.25</v>
      </c>
      <c r="E642" s="203">
        <v>0</v>
      </c>
      <c r="F642" s="203">
        <v>0</v>
      </c>
      <c r="G642" s="203">
        <v>0</v>
      </c>
      <c r="H642" s="203">
        <v>0</v>
      </c>
      <c r="I642" s="203">
        <v>0</v>
      </c>
    </row>
    <row r="643" spans="1:9" s="249" customFormat="1">
      <c r="A643" s="215"/>
      <c r="B643" s="217" t="s">
        <v>30</v>
      </c>
      <c r="C643" s="203">
        <f t="shared" si="178"/>
        <v>44.25</v>
      </c>
      <c r="D643" s="240">
        <v>44.25</v>
      </c>
      <c r="E643" s="203">
        <v>0</v>
      </c>
      <c r="F643" s="203">
        <v>0</v>
      </c>
      <c r="G643" s="203">
        <v>0</v>
      </c>
      <c r="H643" s="203">
        <v>0</v>
      </c>
      <c r="I643" s="203">
        <v>0</v>
      </c>
    </row>
    <row r="644" spans="1:9" s="253" customFormat="1">
      <c r="A644" s="437" t="s">
        <v>253</v>
      </c>
      <c r="B644" s="216" t="s">
        <v>29</v>
      </c>
      <c r="C644" s="203">
        <f t="shared" si="178"/>
        <v>46</v>
      </c>
      <c r="D644" s="203">
        <v>46</v>
      </c>
      <c r="E644" s="203">
        <v>0</v>
      </c>
      <c r="F644" s="203">
        <v>0</v>
      </c>
      <c r="G644" s="203">
        <v>0</v>
      </c>
      <c r="H644" s="203">
        <v>0</v>
      </c>
      <c r="I644" s="203">
        <v>0</v>
      </c>
    </row>
    <row r="645" spans="1:9" s="249" customFormat="1">
      <c r="A645" s="202"/>
      <c r="B645" s="217" t="s">
        <v>30</v>
      </c>
      <c r="C645" s="203">
        <f t="shared" si="178"/>
        <v>46</v>
      </c>
      <c r="D645" s="203">
        <v>46</v>
      </c>
      <c r="E645" s="203">
        <v>0</v>
      </c>
      <c r="F645" s="203">
        <v>0</v>
      </c>
      <c r="G645" s="203">
        <v>0</v>
      </c>
      <c r="H645" s="203">
        <v>0</v>
      </c>
      <c r="I645" s="203">
        <v>0</v>
      </c>
    </row>
    <row r="646" spans="1:9" s="253" customFormat="1" ht="24.95">
      <c r="A646" s="438" t="s">
        <v>254</v>
      </c>
      <c r="B646" s="216" t="s">
        <v>29</v>
      </c>
      <c r="C646" s="203">
        <f t="shared" si="178"/>
        <v>9.3800000000000008</v>
      </c>
      <c r="D646" s="203">
        <v>9.3800000000000008</v>
      </c>
      <c r="E646" s="203">
        <v>0</v>
      </c>
      <c r="F646" s="203">
        <v>0</v>
      </c>
      <c r="G646" s="203">
        <v>0</v>
      </c>
      <c r="H646" s="203">
        <v>0</v>
      </c>
      <c r="I646" s="203">
        <v>0</v>
      </c>
    </row>
    <row r="647" spans="1:9" s="249" customFormat="1">
      <c r="A647" s="202"/>
      <c r="B647" s="217" t="s">
        <v>30</v>
      </c>
      <c r="C647" s="203">
        <f t="shared" si="178"/>
        <v>9.3800000000000008</v>
      </c>
      <c r="D647" s="203">
        <v>9.3800000000000008</v>
      </c>
      <c r="E647" s="203">
        <v>0</v>
      </c>
      <c r="F647" s="203">
        <v>0</v>
      </c>
      <c r="G647" s="203">
        <v>0</v>
      </c>
      <c r="H647" s="203">
        <v>0</v>
      </c>
      <c r="I647" s="203">
        <v>0</v>
      </c>
    </row>
    <row r="648" spans="1:9" s="253" customFormat="1">
      <c r="A648" s="438" t="s">
        <v>255</v>
      </c>
      <c r="B648" s="216" t="s">
        <v>29</v>
      </c>
      <c r="C648" s="203">
        <f t="shared" si="178"/>
        <v>5.69</v>
      </c>
      <c r="D648" s="203">
        <v>5.69</v>
      </c>
      <c r="E648" s="203">
        <v>0</v>
      </c>
      <c r="F648" s="203">
        <v>0</v>
      </c>
      <c r="G648" s="203">
        <v>0</v>
      </c>
      <c r="H648" s="203">
        <v>0</v>
      </c>
      <c r="I648" s="203">
        <v>0</v>
      </c>
    </row>
    <row r="649" spans="1:9" s="208" customFormat="1">
      <c r="A649" s="21"/>
      <c r="B649" s="26" t="s">
        <v>30</v>
      </c>
      <c r="C649" s="72">
        <f t="shared" si="178"/>
        <v>5.69</v>
      </c>
      <c r="D649" s="203">
        <v>5.69</v>
      </c>
      <c r="E649" s="72">
        <v>0</v>
      </c>
      <c r="F649" s="72">
        <v>0</v>
      </c>
      <c r="G649" s="72">
        <v>0</v>
      </c>
      <c r="H649" s="72">
        <v>0</v>
      </c>
      <c r="I649" s="72">
        <v>0</v>
      </c>
    </row>
    <row r="650" spans="1:9" s="253" customFormat="1" ht="24.95">
      <c r="A650" s="438" t="s">
        <v>256</v>
      </c>
      <c r="B650" s="216" t="s">
        <v>29</v>
      </c>
      <c r="C650" s="203">
        <f t="shared" si="178"/>
        <v>5.59</v>
      </c>
      <c r="D650" s="203">
        <v>5.59</v>
      </c>
      <c r="E650" s="203">
        <v>0</v>
      </c>
      <c r="F650" s="203">
        <v>0</v>
      </c>
      <c r="G650" s="203">
        <v>0</v>
      </c>
      <c r="H650" s="203">
        <v>0</v>
      </c>
      <c r="I650" s="203">
        <v>0</v>
      </c>
    </row>
    <row r="651" spans="1:9" s="249" customFormat="1">
      <c r="A651" s="202"/>
      <c r="B651" s="217" t="s">
        <v>30</v>
      </c>
      <c r="C651" s="203">
        <f t="shared" si="178"/>
        <v>5.59</v>
      </c>
      <c r="D651" s="203">
        <v>5.59</v>
      </c>
      <c r="E651" s="203">
        <v>0</v>
      </c>
      <c r="F651" s="203">
        <v>0</v>
      </c>
      <c r="G651" s="203">
        <v>0</v>
      </c>
      <c r="H651" s="203">
        <v>0</v>
      </c>
      <c r="I651" s="203">
        <v>0</v>
      </c>
    </row>
    <row r="652" spans="1:9" s="253" customFormat="1" ht="27.75" customHeight="1">
      <c r="A652" s="438" t="s">
        <v>257</v>
      </c>
      <c r="B652" s="216" t="s">
        <v>29</v>
      </c>
      <c r="C652" s="203">
        <f t="shared" si="178"/>
        <v>46.76</v>
      </c>
      <c r="D652" s="203">
        <v>46.76</v>
      </c>
      <c r="E652" s="203">
        <v>0</v>
      </c>
      <c r="F652" s="203">
        <v>0</v>
      </c>
      <c r="G652" s="203">
        <v>0</v>
      </c>
      <c r="H652" s="203">
        <v>0</v>
      </c>
      <c r="I652" s="203">
        <v>0</v>
      </c>
    </row>
    <row r="653" spans="1:9" s="249" customFormat="1">
      <c r="A653" s="202"/>
      <c r="B653" s="217" t="s">
        <v>30</v>
      </c>
      <c r="C653" s="203">
        <f t="shared" si="178"/>
        <v>46.76</v>
      </c>
      <c r="D653" s="203">
        <v>46.76</v>
      </c>
      <c r="E653" s="203">
        <v>0</v>
      </c>
      <c r="F653" s="203">
        <v>0</v>
      </c>
      <c r="G653" s="203">
        <v>0</v>
      </c>
      <c r="H653" s="203">
        <v>0</v>
      </c>
      <c r="I653" s="203">
        <v>0</v>
      </c>
    </row>
    <row r="654" spans="1:9" s="253" customFormat="1">
      <c r="A654" s="438" t="s">
        <v>258</v>
      </c>
      <c r="B654" s="216" t="s">
        <v>29</v>
      </c>
      <c r="C654" s="203">
        <f t="shared" si="178"/>
        <v>237</v>
      </c>
      <c r="D654" s="203">
        <v>237</v>
      </c>
      <c r="E654" s="203">
        <v>0</v>
      </c>
      <c r="F654" s="203">
        <v>0</v>
      </c>
      <c r="G654" s="203">
        <v>0</v>
      </c>
      <c r="H654" s="203">
        <v>0</v>
      </c>
      <c r="I654" s="203">
        <v>0</v>
      </c>
    </row>
    <row r="655" spans="1:9" s="249" customFormat="1">
      <c r="A655" s="202"/>
      <c r="B655" s="217" t="s">
        <v>30</v>
      </c>
      <c r="C655" s="203">
        <f t="shared" si="178"/>
        <v>237</v>
      </c>
      <c r="D655" s="203">
        <v>237</v>
      </c>
      <c r="E655" s="203">
        <v>0</v>
      </c>
      <c r="F655" s="203">
        <v>0</v>
      </c>
      <c r="G655" s="203">
        <v>0</v>
      </c>
      <c r="H655" s="203">
        <v>0</v>
      </c>
      <c r="I655" s="203">
        <v>0</v>
      </c>
    </row>
    <row r="656" spans="1:9" s="253" customFormat="1" ht="27.75" customHeight="1">
      <c r="A656" s="438" t="s">
        <v>259</v>
      </c>
      <c r="B656" s="216" t="s">
        <v>29</v>
      </c>
      <c r="C656" s="203">
        <f t="shared" si="178"/>
        <v>3.49</v>
      </c>
      <c r="D656" s="203">
        <v>3.49</v>
      </c>
      <c r="E656" s="203">
        <v>0</v>
      </c>
      <c r="F656" s="203">
        <v>0</v>
      </c>
      <c r="G656" s="203">
        <v>0</v>
      </c>
      <c r="H656" s="203">
        <v>0</v>
      </c>
      <c r="I656" s="203">
        <v>0</v>
      </c>
    </row>
    <row r="657" spans="1:9" s="249" customFormat="1">
      <c r="A657" s="202"/>
      <c r="B657" s="217" t="s">
        <v>30</v>
      </c>
      <c r="C657" s="203">
        <f t="shared" si="178"/>
        <v>3.49</v>
      </c>
      <c r="D657" s="203">
        <v>3.49</v>
      </c>
      <c r="E657" s="203">
        <v>0</v>
      </c>
      <c r="F657" s="203">
        <v>0</v>
      </c>
      <c r="G657" s="203">
        <v>0</v>
      </c>
      <c r="H657" s="203">
        <v>0</v>
      </c>
      <c r="I657" s="203">
        <v>0</v>
      </c>
    </row>
    <row r="658" spans="1:9" s="253" customFormat="1">
      <c r="A658" s="438" t="s">
        <v>260</v>
      </c>
      <c r="B658" s="216" t="s">
        <v>29</v>
      </c>
      <c r="C658" s="203">
        <f t="shared" si="178"/>
        <v>34.979999999999997</v>
      </c>
      <c r="D658" s="203">
        <v>34.979999999999997</v>
      </c>
      <c r="E658" s="203">
        <v>0</v>
      </c>
      <c r="F658" s="203">
        <v>0</v>
      </c>
      <c r="G658" s="203">
        <v>0</v>
      </c>
      <c r="H658" s="203">
        <v>0</v>
      </c>
      <c r="I658" s="203">
        <v>0</v>
      </c>
    </row>
    <row r="659" spans="1:9" s="249" customFormat="1">
      <c r="A659" s="202"/>
      <c r="B659" s="217" t="s">
        <v>30</v>
      </c>
      <c r="C659" s="203">
        <f t="shared" si="178"/>
        <v>34.979999999999997</v>
      </c>
      <c r="D659" s="203">
        <v>34.979999999999997</v>
      </c>
      <c r="E659" s="203">
        <v>0</v>
      </c>
      <c r="F659" s="203">
        <v>0</v>
      </c>
      <c r="G659" s="203">
        <v>0</v>
      </c>
      <c r="H659" s="203">
        <v>0</v>
      </c>
      <c r="I659" s="203">
        <v>0</v>
      </c>
    </row>
    <row r="660" spans="1:9" s="253" customFormat="1" ht="24.95">
      <c r="A660" s="438" t="s">
        <v>261</v>
      </c>
      <c r="B660" s="216" t="s">
        <v>29</v>
      </c>
      <c r="C660" s="203">
        <f t="shared" si="178"/>
        <v>3.99</v>
      </c>
      <c r="D660" s="203">
        <v>3.99</v>
      </c>
      <c r="E660" s="203">
        <v>0</v>
      </c>
      <c r="F660" s="203">
        <v>0</v>
      </c>
      <c r="G660" s="203">
        <v>0</v>
      </c>
      <c r="H660" s="203">
        <v>0</v>
      </c>
      <c r="I660" s="203">
        <v>0</v>
      </c>
    </row>
    <row r="661" spans="1:9" s="208" customFormat="1">
      <c r="A661" s="21"/>
      <c r="B661" s="26" t="s">
        <v>30</v>
      </c>
      <c r="C661" s="72">
        <f t="shared" si="178"/>
        <v>3.99</v>
      </c>
      <c r="D661" s="72">
        <v>3.99</v>
      </c>
      <c r="E661" s="72">
        <v>0</v>
      </c>
      <c r="F661" s="72">
        <v>0</v>
      </c>
      <c r="G661" s="72">
        <v>0</v>
      </c>
      <c r="H661" s="72">
        <v>0</v>
      </c>
      <c r="I661" s="72">
        <v>0</v>
      </c>
    </row>
    <row r="662" spans="1:9" s="253" customFormat="1" ht="37.35">
      <c r="A662" s="438" t="s">
        <v>262</v>
      </c>
      <c r="B662" s="216" t="s">
        <v>29</v>
      </c>
      <c r="C662" s="203">
        <f t="shared" si="178"/>
        <v>9.98</v>
      </c>
      <c r="D662" s="203">
        <v>9.98</v>
      </c>
      <c r="E662" s="72">
        <v>0</v>
      </c>
      <c r="F662" s="203">
        <v>0</v>
      </c>
      <c r="G662" s="203">
        <v>0</v>
      </c>
      <c r="H662" s="203">
        <v>0</v>
      </c>
      <c r="I662" s="203">
        <v>0</v>
      </c>
    </row>
    <row r="663" spans="1:9" s="208" customFormat="1">
      <c r="A663" s="21"/>
      <c r="B663" s="26" t="s">
        <v>30</v>
      </c>
      <c r="C663" s="72">
        <f t="shared" si="178"/>
        <v>9.98</v>
      </c>
      <c r="D663" s="72">
        <v>9.98</v>
      </c>
      <c r="E663" s="72">
        <v>0</v>
      </c>
      <c r="F663" s="72">
        <v>0</v>
      </c>
      <c r="G663" s="72">
        <v>0</v>
      </c>
      <c r="H663" s="72">
        <v>0</v>
      </c>
      <c r="I663" s="72">
        <v>0</v>
      </c>
    </row>
    <row r="664" spans="1:9" s="253" customFormat="1">
      <c r="A664" s="439" t="s">
        <v>263</v>
      </c>
      <c r="B664" s="237" t="s">
        <v>29</v>
      </c>
      <c r="C664" s="240">
        <f t="shared" si="178"/>
        <v>3.86</v>
      </c>
      <c r="D664" s="240">
        <v>3.86</v>
      </c>
      <c r="E664" s="240">
        <v>0</v>
      </c>
      <c r="F664" s="240">
        <v>0</v>
      </c>
      <c r="G664" s="240">
        <v>0</v>
      </c>
      <c r="H664" s="240">
        <v>0</v>
      </c>
      <c r="I664" s="240">
        <v>0</v>
      </c>
    </row>
    <row r="665" spans="1:9" s="249" customFormat="1">
      <c r="A665" s="215"/>
      <c r="B665" s="226" t="s">
        <v>30</v>
      </c>
      <c r="C665" s="240">
        <f t="shared" si="178"/>
        <v>3.86</v>
      </c>
      <c r="D665" s="240">
        <v>3.86</v>
      </c>
      <c r="E665" s="240">
        <v>0</v>
      </c>
      <c r="F665" s="240">
        <v>0</v>
      </c>
      <c r="G665" s="240">
        <v>0</v>
      </c>
      <c r="H665" s="240">
        <v>0</v>
      </c>
      <c r="I665" s="240">
        <v>0</v>
      </c>
    </row>
    <row r="666" spans="1:9" s="253" customFormat="1" ht="14.1">
      <c r="A666" s="498" t="s">
        <v>264</v>
      </c>
      <c r="B666" s="237" t="s">
        <v>29</v>
      </c>
      <c r="C666" s="240">
        <f t="shared" si="178"/>
        <v>7</v>
      </c>
      <c r="D666" s="240">
        <v>0</v>
      </c>
      <c r="E666" s="240">
        <v>7</v>
      </c>
      <c r="F666" s="240">
        <v>0</v>
      </c>
      <c r="G666" s="240">
        <v>0</v>
      </c>
      <c r="H666" s="240">
        <v>0</v>
      </c>
      <c r="I666" s="240">
        <v>0</v>
      </c>
    </row>
    <row r="667" spans="1:9" s="249" customFormat="1">
      <c r="A667" s="215"/>
      <c r="B667" s="226" t="s">
        <v>30</v>
      </c>
      <c r="C667" s="240">
        <f t="shared" si="178"/>
        <v>7</v>
      </c>
      <c r="D667" s="240">
        <v>0</v>
      </c>
      <c r="E667" s="240">
        <v>7</v>
      </c>
      <c r="F667" s="240">
        <v>0</v>
      </c>
      <c r="G667" s="240">
        <v>0</v>
      </c>
      <c r="H667" s="240">
        <v>0</v>
      </c>
      <c r="I667" s="240">
        <v>0</v>
      </c>
    </row>
    <row r="668" spans="1:9" s="253" customFormat="1" ht="14.1">
      <c r="A668" s="497" t="s">
        <v>265</v>
      </c>
      <c r="B668" s="237" t="s">
        <v>29</v>
      </c>
      <c r="C668" s="240">
        <f t="shared" si="178"/>
        <v>19</v>
      </c>
      <c r="D668" s="240">
        <v>0</v>
      </c>
      <c r="E668" s="240">
        <v>19</v>
      </c>
      <c r="F668" s="240">
        <v>0</v>
      </c>
      <c r="G668" s="240">
        <v>0</v>
      </c>
      <c r="H668" s="240">
        <v>0</v>
      </c>
      <c r="I668" s="240">
        <v>0</v>
      </c>
    </row>
    <row r="669" spans="1:9" s="249" customFormat="1">
      <c r="A669" s="215"/>
      <c r="B669" s="217" t="s">
        <v>30</v>
      </c>
      <c r="C669" s="203">
        <f t="shared" si="178"/>
        <v>19</v>
      </c>
      <c r="D669" s="203">
        <v>0</v>
      </c>
      <c r="E669" s="203">
        <v>19</v>
      </c>
      <c r="F669" s="203">
        <v>0</v>
      </c>
      <c r="G669" s="203">
        <v>0</v>
      </c>
      <c r="H669" s="203">
        <v>0</v>
      </c>
      <c r="I669" s="203">
        <v>0</v>
      </c>
    </row>
    <row r="670" spans="1:9" s="253" customFormat="1" ht="14.1">
      <c r="A670" s="498" t="s">
        <v>265</v>
      </c>
      <c r="B670" s="237" t="s">
        <v>29</v>
      </c>
      <c r="C670" s="240">
        <f t="shared" si="178"/>
        <v>18</v>
      </c>
      <c r="D670" s="240">
        <v>0</v>
      </c>
      <c r="E670" s="240">
        <v>18</v>
      </c>
      <c r="F670" s="240">
        <v>0</v>
      </c>
      <c r="G670" s="240">
        <v>0</v>
      </c>
      <c r="H670" s="240">
        <v>0</v>
      </c>
      <c r="I670" s="240">
        <v>0</v>
      </c>
    </row>
    <row r="671" spans="1:9" s="249" customFormat="1">
      <c r="A671" s="215"/>
      <c r="B671" s="226" t="s">
        <v>30</v>
      </c>
      <c r="C671" s="240">
        <f t="shared" si="178"/>
        <v>18</v>
      </c>
      <c r="D671" s="240">
        <v>0</v>
      </c>
      <c r="E671" s="240">
        <v>18</v>
      </c>
      <c r="F671" s="240">
        <v>0</v>
      </c>
      <c r="G671" s="240">
        <v>0</v>
      </c>
      <c r="H671" s="240">
        <v>0</v>
      </c>
      <c r="I671" s="240">
        <v>0</v>
      </c>
    </row>
    <row r="672" spans="1:9" s="253" customFormat="1" ht="14.1">
      <c r="A672" s="498" t="s">
        <v>266</v>
      </c>
      <c r="B672" s="237" t="s">
        <v>29</v>
      </c>
      <c r="C672" s="240">
        <f t="shared" si="178"/>
        <v>75</v>
      </c>
      <c r="D672" s="240">
        <v>0</v>
      </c>
      <c r="E672" s="240">
        <v>75</v>
      </c>
      <c r="F672" s="240">
        <v>0</v>
      </c>
      <c r="G672" s="240">
        <v>0</v>
      </c>
      <c r="H672" s="240">
        <v>0</v>
      </c>
      <c r="I672" s="240">
        <v>0</v>
      </c>
    </row>
    <row r="673" spans="1:9" s="249" customFormat="1" ht="14.1">
      <c r="A673" s="358"/>
      <c r="B673" s="226" t="s">
        <v>30</v>
      </c>
      <c r="C673" s="240">
        <f t="shared" si="178"/>
        <v>75</v>
      </c>
      <c r="D673" s="240">
        <v>0</v>
      </c>
      <c r="E673" s="240">
        <v>75</v>
      </c>
      <c r="F673" s="240">
        <v>0</v>
      </c>
      <c r="G673" s="240">
        <v>0</v>
      </c>
      <c r="H673" s="240">
        <v>0</v>
      </c>
      <c r="I673" s="240">
        <v>0</v>
      </c>
    </row>
    <row r="674" spans="1:9" s="253" customFormat="1" ht="14.1">
      <c r="A674" s="498" t="s">
        <v>267</v>
      </c>
      <c r="B674" s="237" t="s">
        <v>29</v>
      </c>
      <c r="C674" s="203">
        <f t="shared" si="178"/>
        <v>50</v>
      </c>
      <c r="D674" s="203">
        <v>0</v>
      </c>
      <c r="E674" s="203">
        <v>50</v>
      </c>
      <c r="F674" s="203">
        <v>0</v>
      </c>
      <c r="G674" s="203">
        <v>0</v>
      </c>
      <c r="H674" s="203">
        <v>0</v>
      </c>
      <c r="I674" s="203">
        <v>0</v>
      </c>
    </row>
    <row r="675" spans="1:9" s="249" customFormat="1" ht="14.1">
      <c r="A675" s="358"/>
      <c r="B675" s="217" t="s">
        <v>30</v>
      </c>
      <c r="C675" s="203">
        <f t="shared" si="178"/>
        <v>50</v>
      </c>
      <c r="D675" s="203">
        <v>0</v>
      </c>
      <c r="E675" s="203">
        <v>50</v>
      </c>
      <c r="F675" s="203">
        <v>0</v>
      </c>
      <c r="G675" s="203">
        <v>0</v>
      </c>
      <c r="H675" s="203">
        <v>0</v>
      </c>
      <c r="I675" s="203">
        <v>0</v>
      </c>
    </row>
    <row r="676" spans="1:9" s="253" customFormat="1" ht="14.1">
      <c r="A676" s="441" t="s">
        <v>268</v>
      </c>
      <c r="B676" s="402" t="s">
        <v>29</v>
      </c>
      <c r="C676" s="203">
        <f t="shared" si="178"/>
        <v>19</v>
      </c>
      <c r="D676" s="203">
        <v>0</v>
      </c>
      <c r="E676" s="203">
        <v>19</v>
      </c>
      <c r="F676" s="203">
        <v>0</v>
      </c>
      <c r="G676" s="203">
        <v>0</v>
      </c>
      <c r="H676" s="203">
        <v>0</v>
      </c>
      <c r="I676" s="203">
        <v>0</v>
      </c>
    </row>
    <row r="677" spans="1:9" s="249" customFormat="1">
      <c r="A677" s="215"/>
      <c r="B677" s="217" t="s">
        <v>30</v>
      </c>
      <c r="C677" s="203">
        <f t="shared" si="178"/>
        <v>19</v>
      </c>
      <c r="D677" s="203">
        <v>0</v>
      </c>
      <c r="E677" s="203">
        <v>19</v>
      </c>
      <c r="F677" s="203">
        <v>0</v>
      </c>
      <c r="G677" s="203">
        <v>0</v>
      </c>
      <c r="H677" s="203">
        <v>0</v>
      </c>
      <c r="I677" s="203">
        <v>0</v>
      </c>
    </row>
    <row r="678" spans="1:9" s="253" customFormat="1" ht="14.1">
      <c r="A678" s="499" t="s">
        <v>269</v>
      </c>
      <c r="B678" s="402" t="s">
        <v>29</v>
      </c>
      <c r="C678" s="203">
        <f t="shared" si="178"/>
        <v>11</v>
      </c>
      <c r="D678" s="203">
        <v>0</v>
      </c>
      <c r="E678" s="203">
        <v>11</v>
      </c>
      <c r="F678" s="203">
        <v>0</v>
      </c>
      <c r="G678" s="203">
        <v>0</v>
      </c>
      <c r="H678" s="203">
        <v>0</v>
      </c>
      <c r="I678" s="203">
        <v>0</v>
      </c>
    </row>
    <row r="679" spans="1:9" s="249" customFormat="1">
      <c r="A679" s="215"/>
      <c r="B679" s="217" t="s">
        <v>30</v>
      </c>
      <c r="C679" s="203">
        <f t="shared" si="178"/>
        <v>11</v>
      </c>
      <c r="D679" s="203">
        <v>0</v>
      </c>
      <c r="E679" s="203">
        <v>11</v>
      </c>
      <c r="F679" s="203">
        <v>0</v>
      </c>
      <c r="G679" s="203">
        <v>0</v>
      </c>
      <c r="H679" s="203">
        <v>0</v>
      </c>
      <c r="I679" s="203">
        <v>0</v>
      </c>
    </row>
    <row r="680" spans="1:9" s="126" customFormat="1">
      <c r="A680" s="121" t="s">
        <v>42</v>
      </c>
      <c r="B680" s="124" t="s">
        <v>29</v>
      </c>
      <c r="C680" s="125">
        <f t="shared" si="178"/>
        <v>204.35999999999999</v>
      </c>
      <c r="D680" s="125">
        <f>D682+D684+D686+D688</f>
        <v>192.35999999999999</v>
      </c>
      <c r="E680" s="125">
        <f t="shared" ref="E680:I681" si="188">E682+E684+E686+E688</f>
        <v>12</v>
      </c>
      <c r="F680" s="125">
        <f t="shared" si="188"/>
        <v>0</v>
      </c>
      <c r="G680" s="125">
        <f t="shared" si="188"/>
        <v>0</v>
      </c>
      <c r="H680" s="125">
        <f t="shared" si="188"/>
        <v>0</v>
      </c>
      <c r="I680" s="125">
        <f t="shared" si="188"/>
        <v>0</v>
      </c>
    </row>
    <row r="681" spans="1:9" s="126" customFormat="1">
      <c r="A681" s="134"/>
      <c r="B681" s="127" t="s">
        <v>30</v>
      </c>
      <c r="C681" s="125">
        <f t="shared" si="178"/>
        <v>204.35999999999999</v>
      </c>
      <c r="D681" s="125">
        <f>D683+D685+D687+D689</f>
        <v>192.35999999999999</v>
      </c>
      <c r="E681" s="125">
        <f t="shared" si="188"/>
        <v>12</v>
      </c>
      <c r="F681" s="125">
        <f t="shared" si="188"/>
        <v>0</v>
      </c>
      <c r="G681" s="125">
        <f t="shared" si="188"/>
        <v>0</v>
      </c>
      <c r="H681" s="125">
        <f t="shared" si="188"/>
        <v>0</v>
      </c>
      <c r="I681" s="125">
        <f t="shared" si="188"/>
        <v>0</v>
      </c>
    </row>
    <row r="682" spans="1:9" s="249" customFormat="1" ht="16.5" customHeight="1">
      <c r="A682" s="437" t="s">
        <v>270</v>
      </c>
      <c r="B682" s="216" t="s">
        <v>29</v>
      </c>
      <c r="C682" s="203">
        <f t="shared" ref="C682:C689" si="189">D682+E682+F682+G682+H682+I682</f>
        <v>25.16</v>
      </c>
      <c r="D682" s="203">
        <v>19.16</v>
      </c>
      <c r="E682" s="203">
        <v>6</v>
      </c>
      <c r="F682" s="203">
        <v>0</v>
      </c>
      <c r="G682" s="203">
        <v>0</v>
      </c>
      <c r="H682" s="203">
        <v>0</v>
      </c>
      <c r="I682" s="203">
        <v>0</v>
      </c>
    </row>
    <row r="683" spans="1:9" s="249" customFormat="1">
      <c r="A683" s="202"/>
      <c r="B683" s="217" t="s">
        <v>30</v>
      </c>
      <c r="C683" s="203">
        <f t="shared" si="189"/>
        <v>25.16</v>
      </c>
      <c r="D683" s="203">
        <v>19.16</v>
      </c>
      <c r="E683" s="203">
        <v>6</v>
      </c>
      <c r="F683" s="203">
        <v>0</v>
      </c>
      <c r="G683" s="203">
        <v>0</v>
      </c>
      <c r="H683" s="203">
        <v>0</v>
      </c>
      <c r="I683" s="203">
        <v>0</v>
      </c>
    </row>
    <row r="684" spans="1:9" s="249" customFormat="1" ht="15" customHeight="1">
      <c r="A684" s="440" t="s">
        <v>271</v>
      </c>
      <c r="B684" s="216" t="s">
        <v>29</v>
      </c>
      <c r="C684" s="203">
        <f t="shared" si="189"/>
        <v>158</v>
      </c>
      <c r="D684" s="203">
        <v>158</v>
      </c>
      <c r="E684" s="203">
        <v>0</v>
      </c>
      <c r="F684" s="203">
        <v>0</v>
      </c>
      <c r="G684" s="203">
        <v>0</v>
      </c>
      <c r="H684" s="203">
        <v>0</v>
      </c>
      <c r="I684" s="203">
        <v>0</v>
      </c>
    </row>
    <row r="685" spans="1:9" s="249" customFormat="1">
      <c r="A685" s="202"/>
      <c r="B685" s="217" t="s">
        <v>30</v>
      </c>
      <c r="C685" s="203">
        <f t="shared" si="189"/>
        <v>158</v>
      </c>
      <c r="D685" s="203">
        <v>158</v>
      </c>
      <c r="E685" s="203">
        <v>0</v>
      </c>
      <c r="F685" s="203">
        <v>0</v>
      </c>
      <c r="G685" s="203">
        <v>0</v>
      </c>
      <c r="H685" s="203">
        <v>0</v>
      </c>
      <c r="I685" s="203">
        <v>0</v>
      </c>
    </row>
    <row r="686" spans="1:9" s="249" customFormat="1" ht="15" customHeight="1">
      <c r="A686" s="436" t="s">
        <v>270</v>
      </c>
      <c r="B686" s="216" t="s">
        <v>29</v>
      </c>
      <c r="C686" s="203">
        <f t="shared" si="189"/>
        <v>17.2</v>
      </c>
      <c r="D686" s="203">
        <v>15.2</v>
      </c>
      <c r="E686" s="203">
        <v>2</v>
      </c>
      <c r="F686" s="203">
        <v>0</v>
      </c>
      <c r="G686" s="203">
        <v>0</v>
      </c>
      <c r="H686" s="203">
        <v>0</v>
      </c>
      <c r="I686" s="203">
        <v>0</v>
      </c>
    </row>
    <row r="687" spans="1:9" s="249" customFormat="1">
      <c r="A687" s="202"/>
      <c r="B687" s="217" t="s">
        <v>30</v>
      </c>
      <c r="C687" s="203">
        <f t="shared" si="189"/>
        <v>17.2</v>
      </c>
      <c r="D687" s="203">
        <v>15.2</v>
      </c>
      <c r="E687" s="203">
        <v>2</v>
      </c>
      <c r="F687" s="203">
        <v>0</v>
      </c>
      <c r="G687" s="203">
        <v>0</v>
      </c>
      <c r="H687" s="203">
        <v>0</v>
      </c>
      <c r="I687" s="203">
        <v>0</v>
      </c>
    </row>
    <row r="688" spans="1:9" s="249" customFormat="1" ht="15" customHeight="1">
      <c r="A688" s="436" t="s">
        <v>270</v>
      </c>
      <c r="B688" s="216" t="s">
        <v>29</v>
      </c>
      <c r="C688" s="203">
        <f t="shared" si="189"/>
        <v>4</v>
      </c>
      <c r="D688" s="203">
        <v>0</v>
      </c>
      <c r="E688" s="203">
        <v>4</v>
      </c>
      <c r="F688" s="203">
        <v>0</v>
      </c>
      <c r="G688" s="203">
        <v>0</v>
      </c>
      <c r="H688" s="203">
        <v>0</v>
      </c>
      <c r="I688" s="203">
        <v>0</v>
      </c>
    </row>
    <row r="689" spans="1:9" s="249" customFormat="1">
      <c r="A689" s="202"/>
      <c r="B689" s="217" t="s">
        <v>30</v>
      </c>
      <c r="C689" s="203">
        <f t="shared" si="189"/>
        <v>4</v>
      </c>
      <c r="D689" s="203">
        <v>0</v>
      </c>
      <c r="E689" s="203">
        <v>4</v>
      </c>
      <c r="F689" s="203">
        <v>0</v>
      </c>
      <c r="G689" s="203">
        <v>0</v>
      </c>
      <c r="H689" s="203">
        <v>0</v>
      </c>
      <c r="I689" s="203">
        <v>0</v>
      </c>
    </row>
    <row r="690" spans="1:9">
      <c r="A690" s="593" t="s">
        <v>272</v>
      </c>
      <c r="B690" s="589"/>
      <c r="C690" s="589"/>
      <c r="D690" s="589"/>
      <c r="E690" s="589"/>
      <c r="F690" s="589"/>
      <c r="G690" s="589"/>
      <c r="H690" s="589"/>
      <c r="I690" s="590"/>
    </row>
    <row r="691" spans="1:9">
      <c r="A691" s="79" t="s">
        <v>54</v>
      </c>
      <c r="B691" s="194" t="s">
        <v>29</v>
      </c>
      <c r="C691" s="190">
        <f t="shared" ref="C691:C708" si="190">D691+E691+F691+G691+H691+I691</f>
        <v>1.57</v>
      </c>
      <c r="D691" s="190">
        <f t="shared" ref="D691:I700" si="191">D693</f>
        <v>0.57000000000000006</v>
      </c>
      <c r="E691" s="190">
        <f t="shared" si="191"/>
        <v>1</v>
      </c>
      <c r="F691" s="190">
        <f t="shared" si="191"/>
        <v>0</v>
      </c>
      <c r="G691" s="190">
        <f t="shared" si="191"/>
        <v>0</v>
      </c>
      <c r="H691" s="190">
        <f t="shared" si="191"/>
        <v>0</v>
      </c>
      <c r="I691" s="190">
        <f t="shared" si="191"/>
        <v>0</v>
      </c>
    </row>
    <row r="692" spans="1:9">
      <c r="A692" s="21" t="s">
        <v>87</v>
      </c>
      <c r="B692" s="195" t="s">
        <v>30</v>
      </c>
      <c r="C692" s="190">
        <f t="shared" si="190"/>
        <v>1.57</v>
      </c>
      <c r="D692" s="190">
        <f t="shared" si="191"/>
        <v>0.57000000000000006</v>
      </c>
      <c r="E692" s="190">
        <f t="shared" si="191"/>
        <v>1</v>
      </c>
      <c r="F692" s="190">
        <f t="shared" si="191"/>
        <v>0</v>
      </c>
      <c r="G692" s="190">
        <f t="shared" si="191"/>
        <v>0</v>
      </c>
      <c r="H692" s="190">
        <f t="shared" si="191"/>
        <v>0</v>
      </c>
      <c r="I692" s="190">
        <f t="shared" si="191"/>
        <v>0</v>
      </c>
    </row>
    <row r="693" spans="1:9">
      <c r="A693" s="14" t="s">
        <v>47</v>
      </c>
      <c r="B693" s="160" t="s">
        <v>29</v>
      </c>
      <c r="C693" s="52">
        <f t="shared" si="190"/>
        <v>1.57</v>
      </c>
      <c r="D693" s="52">
        <f t="shared" si="191"/>
        <v>0.57000000000000006</v>
      </c>
      <c r="E693" s="52">
        <f t="shared" si="191"/>
        <v>1</v>
      </c>
      <c r="F693" s="52">
        <f t="shared" si="191"/>
        <v>0</v>
      </c>
      <c r="G693" s="52">
        <f t="shared" si="191"/>
        <v>0</v>
      </c>
      <c r="H693" s="52">
        <f t="shared" si="191"/>
        <v>0</v>
      </c>
      <c r="I693" s="52">
        <f t="shared" si="191"/>
        <v>0</v>
      </c>
    </row>
    <row r="694" spans="1:9">
      <c r="A694" s="21" t="s">
        <v>89</v>
      </c>
      <c r="B694" s="4" t="s">
        <v>30</v>
      </c>
      <c r="C694" s="52">
        <f t="shared" si="190"/>
        <v>1.57</v>
      </c>
      <c r="D694" s="52">
        <f t="shared" si="191"/>
        <v>0.57000000000000006</v>
      </c>
      <c r="E694" s="52">
        <f t="shared" si="191"/>
        <v>1</v>
      </c>
      <c r="F694" s="52">
        <f t="shared" si="191"/>
        <v>0</v>
      </c>
      <c r="G694" s="52">
        <f t="shared" si="191"/>
        <v>0</v>
      </c>
      <c r="H694" s="52">
        <f t="shared" si="191"/>
        <v>0</v>
      </c>
      <c r="I694" s="52">
        <f t="shared" si="191"/>
        <v>0</v>
      </c>
    </row>
    <row r="695" spans="1:9" ht="12.95">
      <c r="A695" s="19" t="s">
        <v>37</v>
      </c>
      <c r="B695" s="3" t="s">
        <v>29</v>
      </c>
      <c r="C695" s="52">
        <f t="shared" si="190"/>
        <v>1.57</v>
      </c>
      <c r="D695" s="52">
        <f t="shared" si="191"/>
        <v>0.57000000000000006</v>
      </c>
      <c r="E695" s="52">
        <f t="shared" si="191"/>
        <v>1</v>
      </c>
      <c r="F695" s="52">
        <f t="shared" si="191"/>
        <v>0</v>
      </c>
      <c r="G695" s="52">
        <f t="shared" si="191"/>
        <v>0</v>
      </c>
      <c r="H695" s="52">
        <f t="shared" si="191"/>
        <v>0</v>
      </c>
      <c r="I695" s="52">
        <f t="shared" si="191"/>
        <v>0</v>
      </c>
    </row>
    <row r="696" spans="1:9" ht="12.95">
      <c r="A696" s="16"/>
      <c r="B696" s="4" t="s">
        <v>30</v>
      </c>
      <c r="C696" s="52">
        <f t="shared" si="190"/>
        <v>1.57</v>
      </c>
      <c r="D696" s="52">
        <f t="shared" si="191"/>
        <v>0.57000000000000006</v>
      </c>
      <c r="E696" s="52">
        <f t="shared" si="191"/>
        <v>1</v>
      </c>
      <c r="F696" s="52">
        <f t="shared" si="191"/>
        <v>0</v>
      </c>
      <c r="G696" s="52">
        <f t="shared" si="191"/>
        <v>0</v>
      </c>
      <c r="H696" s="52">
        <f t="shared" si="191"/>
        <v>0</v>
      </c>
      <c r="I696" s="52">
        <f t="shared" si="191"/>
        <v>0</v>
      </c>
    </row>
    <row r="697" spans="1:9">
      <c r="A697" s="31" t="s">
        <v>50</v>
      </c>
      <c r="B697" s="160" t="s">
        <v>29</v>
      </c>
      <c r="C697" s="52">
        <f t="shared" si="190"/>
        <v>1.57</v>
      </c>
      <c r="D697" s="52">
        <f>D699</f>
        <v>0.57000000000000006</v>
      </c>
      <c r="E697" s="52">
        <f t="shared" si="191"/>
        <v>1</v>
      </c>
      <c r="F697" s="52">
        <f t="shared" si="191"/>
        <v>0</v>
      </c>
      <c r="G697" s="52">
        <f t="shared" si="191"/>
        <v>0</v>
      </c>
      <c r="H697" s="52">
        <f t="shared" si="191"/>
        <v>0</v>
      </c>
      <c r="I697" s="52">
        <f t="shared" si="191"/>
        <v>0</v>
      </c>
    </row>
    <row r="698" spans="1:9">
      <c r="A698" s="12"/>
      <c r="B698" s="4" t="s">
        <v>30</v>
      </c>
      <c r="C698" s="52">
        <f t="shared" si="190"/>
        <v>1.57</v>
      </c>
      <c r="D698" s="52">
        <f>D700</f>
        <v>0.57000000000000006</v>
      </c>
      <c r="E698" s="52">
        <f t="shared" si="191"/>
        <v>1</v>
      </c>
      <c r="F698" s="52">
        <f t="shared" si="191"/>
        <v>0</v>
      </c>
      <c r="G698" s="52">
        <f t="shared" si="191"/>
        <v>0</v>
      </c>
      <c r="H698" s="52">
        <f t="shared" si="191"/>
        <v>0</v>
      </c>
      <c r="I698" s="52">
        <f t="shared" si="191"/>
        <v>0</v>
      </c>
    </row>
    <row r="699" spans="1:9" s="126" customFormat="1">
      <c r="A699" s="133" t="s">
        <v>42</v>
      </c>
      <c r="B699" s="124" t="s">
        <v>29</v>
      </c>
      <c r="C699" s="125">
        <f t="shared" si="190"/>
        <v>1.57</v>
      </c>
      <c r="D699" s="125">
        <f>D701</f>
        <v>0.57000000000000006</v>
      </c>
      <c r="E699" s="125">
        <f t="shared" si="191"/>
        <v>1</v>
      </c>
      <c r="F699" s="125">
        <f t="shared" si="191"/>
        <v>0</v>
      </c>
      <c r="G699" s="125">
        <f t="shared" si="191"/>
        <v>0</v>
      </c>
      <c r="H699" s="125">
        <f t="shared" si="191"/>
        <v>0</v>
      </c>
      <c r="I699" s="125">
        <f t="shared" si="191"/>
        <v>0</v>
      </c>
    </row>
    <row r="700" spans="1:9" s="126" customFormat="1">
      <c r="A700" s="134"/>
      <c r="B700" s="127" t="s">
        <v>30</v>
      </c>
      <c r="C700" s="125">
        <f t="shared" si="190"/>
        <v>1.57</v>
      </c>
      <c r="D700" s="125">
        <f>D702</f>
        <v>0.57000000000000006</v>
      </c>
      <c r="E700" s="125">
        <f t="shared" si="191"/>
        <v>1</v>
      </c>
      <c r="F700" s="125">
        <f t="shared" si="191"/>
        <v>0</v>
      </c>
      <c r="G700" s="125">
        <f t="shared" si="191"/>
        <v>0</v>
      </c>
      <c r="H700" s="125">
        <f t="shared" si="191"/>
        <v>0</v>
      </c>
      <c r="I700" s="125">
        <f t="shared" si="191"/>
        <v>0</v>
      </c>
    </row>
    <row r="701" spans="1:9" s="172" customFormat="1">
      <c r="A701" s="230" t="s">
        <v>273</v>
      </c>
      <c r="B701" s="63" t="s">
        <v>29</v>
      </c>
      <c r="C701" s="78">
        <f t="shared" si="190"/>
        <v>1.57</v>
      </c>
      <c r="D701" s="78">
        <f>D703+D705+D707</f>
        <v>0.57000000000000006</v>
      </c>
      <c r="E701" s="78">
        <f t="shared" ref="E701:I702" si="192">E703+E705+E707</f>
        <v>1</v>
      </c>
      <c r="F701" s="78">
        <f t="shared" si="192"/>
        <v>0</v>
      </c>
      <c r="G701" s="78">
        <f t="shared" si="192"/>
        <v>0</v>
      </c>
      <c r="H701" s="78">
        <f t="shared" si="192"/>
        <v>0</v>
      </c>
      <c r="I701" s="78">
        <f t="shared" si="192"/>
        <v>0</v>
      </c>
    </row>
    <row r="702" spans="1:9" s="172" customFormat="1">
      <c r="A702" s="12"/>
      <c r="B702" s="62" t="s">
        <v>30</v>
      </c>
      <c r="C702" s="78">
        <f t="shared" si="190"/>
        <v>1.57</v>
      </c>
      <c r="D702" s="78">
        <f>D704+D706+D708</f>
        <v>0.57000000000000006</v>
      </c>
      <c r="E702" s="78">
        <f t="shared" si="192"/>
        <v>1</v>
      </c>
      <c r="F702" s="78">
        <f t="shared" si="192"/>
        <v>0</v>
      </c>
      <c r="G702" s="78">
        <f t="shared" si="192"/>
        <v>0</v>
      </c>
      <c r="H702" s="78">
        <f t="shared" si="192"/>
        <v>0</v>
      </c>
      <c r="I702" s="78">
        <f t="shared" si="192"/>
        <v>0</v>
      </c>
    </row>
    <row r="703" spans="1:9" s="213" customFormat="1" ht="12.75" customHeight="1">
      <c r="A703" s="439" t="s">
        <v>274</v>
      </c>
      <c r="B703" s="237" t="s">
        <v>29</v>
      </c>
      <c r="C703" s="240">
        <f t="shared" si="190"/>
        <v>0.24</v>
      </c>
      <c r="D703" s="240">
        <v>0.24</v>
      </c>
      <c r="E703" s="240">
        <v>0</v>
      </c>
      <c r="F703" s="240">
        <v>0</v>
      </c>
      <c r="G703" s="240">
        <v>0</v>
      </c>
      <c r="H703" s="240">
        <v>0</v>
      </c>
      <c r="I703" s="240">
        <v>0</v>
      </c>
    </row>
    <row r="704" spans="1:9" s="213" customFormat="1">
      <c r="A704" s="215"/>
      <c r="B704" s="226" t="s">
        <v>30</v>
      </c>
      <c r="C704" s="240">
        <f t="shared" si="190"/>
        <v>0.24</v>
      </c>
      <c r="D704" s="240">
        <v>0.24</v>
      </c>
      <c r="E704" s="240">
        <v>0</v>
      </c>
      <c r="F704" s="240">
        <v>0</v>
      </c>
      <c r="G704" s="240">
        <v>0</v>
      </c>
      <c r="H704" s="240">
        <v>0</v>
      </c>
      <c r="I704" s="240">
        <v>0</v>
      </c>
    </row>
    <row r="705" spans="1:9" s="213" customFormat="1" ht="15" customHeight="1">
      <c r="A705" s="439" t="s">
        <v>275</v>
      </c>
      <c r="B705" s="237" t="s">
        <v>29</v>
      </c>
      <c r="C705" s="240">
        <f t="shared" si="190"/>
        <v>0.33</v>
      </c>
      <c r="D705" s="240">
        <v>0.33</v>
      </c>
      <c r="E705" s="240">
        <v>0</v>
      </c>
      <c r="F705" s="240">
        <v>0</v>
      </c>
      <c r="G705" s="240">
        <v>0</v>
      </c>
      <c r="H705" s="240">
        <v>0</v>
      </c>
      <c r="I705" s="240">
        <v>0</v>
      </c>
    </row>
    <row r="706" spans="1:9" s="213" customFormat="1">
      <c r="A706" s="215"/>
      <c r="B706" s="226" t="s">
        <v>30</v>
      </c>
      <c r="C706" s="240">
        <f t="shared" si="190"/>
        <v>0.33</v>
      </c>
      <c r="D706" s="240">
        <v>0.33</v>
      </c>
      <c r="E706" s="240">
        <v>0</v>
      </c>
      <c r="F706" s="240">
        <v>0</v>
      </c>
      <c r="G706" s="240">
        <v>0</v>
      </c>
      <c r="H706" s="240">
        <v>0</v>
      </c>
      <c r="I706" s="240">
        <v>0</v>
      </c>
    </row>
    <row r="707" spans="1:9" s="213" customFormat="1" ht="26.25" customHeight="1">
      <c r="A707" s="439" t="s">
        <v>276</v>
      </c>
      <c r="B707" s="237" t="s">
        <v>29</v>
      </c>
      <c r="C707" s="240">
        <f t="shared" si="190"/>
        <v>1</v>
      </c>
      <c r="D707" s="240">
        <v>0</v>
      </c>
      <c r="E707" s="240">
        <v>1</v>
      </c>
      <c r="F707" s="240">
        <v>0</v>
      </c>
      <c r="G707" s="240">
        <v>0</v>
      </c>
      <c r="H707" s="240">
        <v>0</v>
      </c>
      <c r="I707" s="240">
        <v>0</v>
      </c>
    </row>
    <row r="708" spans="1:9" s="27" customFormat="1">
      <c r="A708" s="21"/>
      <c r="B708" s="26" t="s">
        <v>30</v>
      </c>
      <c r="C708" s="72">
        <f t="shared" si="190"/>
        <v>1</v>
      </c>
      <c r="D708" s="72">
        <v>0</v>
      </c>
      <c r="E708" s="72">
        <v>1</v>
      </c>
      <c r="F708" s="72">
        <v>0</v>
      </c>
      <c r="G708" s="72">
        <v>0</v>
      </c>
      <c r="H708" s="72">
        <v>0</v>
      </c>
      <c r="I708" s="72">
        <v>0</v>
      </c>
    </row>
    <row r="709" spans="1:9">
      <c r="A709" s="685" t="s">
        <v>277</v>
      </c>
      <c r="B709" s="686"/>
      <c r="C709" s="686"/>
      <c r="D709" s="686"/>
      <c r="E709" s="686"/>
      <c r="F709" s="686"/>
      <c r="G709" s="686"/>
      <c r="H709" s="686"/>
      <c r="I709" s="687"/>
    </row>
    <row r="710" spans="1:9">
      <c r="A710" s="79" t="s">
        <v>54</v>
      </c>
      <c r="B710" s="194" t="s">
        <v>29</v>
      </c>
      <c r="C710" s="190">
        <f t="shared" ref="C710:C716" si="193">D710+E710+F710+G710+H710+I710</f>
        <v>95.63</v>
      </c>
      <c r="D710" s="190">
        <f t="shared" ref="D710:I715" si="194">D712</f>
        <v>95.63</v>
      </c>
      <c r="E710" s="190">
        <f t="shared" si="194"/>
        <v>0</v>
      </c>
      <c r="F710" s="190">
        <f t="shared" si="194"/>
        <v>0</v>
      </c>
      <c r="G710" s="190">
        <f t="shared" si="194"/>
        <v>0</v>
      </c>
      <c r="H710" s="190">
        <f t="shared" si="194"/>
        <v>0</v>
      </c>
      <c r="I710" s="190">
        <f t="shared" si="194"/>
        <v>0</v>
      </c>
    </row>
    <row r="711" spans="1:9">
      <c r="A711" s="21" t="s">
        <v>87</v>
      </c>
      <c r="B711" s="195" t="s">
        <v>30</v>
      </c>
      <c r="C711" s="190">
        <f t="shared" si="193"/>
        <v>95.63</v>
      </c>
      <c r="D711" s="190">
        <f t="shared" si="194"/>
        <v>95.63</v>
      </c>
      <c r="E711" s="190">
        <f t="shared" si="194"/>
        <v>0</v>
      </c>
      <c r="F711" s="190">
        <f t="shared" si="194"/>
        <v>0</v>
      </c>
      <c r="G711" s="190">
        <f t="shared" si="194"/>
        <v>0</v>
      </c>
      <c r="H711" s="190">
        <f t="shared" si="194"/>
        <v>0</v>
      </c>
      <c r="I711" s="190">
        <f t="shared" si="194"/>
        <v>0</v>
      </c>
    </row>
    <row r="712" spans="1:9">
      <c r="A712" s="58" t="s">
        <v>31</v>
      </c>
      <c r="B712" s="160" t="s">
        <v>29</v>
      </c>
      <c r="C712" s="52">
        <f t="shared" si="193"/>
        <v>95.63</v>
      </c>
      <c r="D712" s="52">
        <f t="shared" si="194"/>
        <v>95.63</v>
      </c>
      <c r="E712" s="52">
        <f t="shared" si="194"/>
        <v>0</v>
      </c>
      <c r="F712" s="52">
        <f t="shared" si="194"/>
        <v>0</v>
      </c>
      <c r="G712" s="52">
        <f t="shared" si="194"/>
        <v>0</v>
      </c>
      <c r="H712" s="52">
        <f t="shared" si="194"/>
        <v>0</v>
      </c>
      <c r="I712" s="52">
        <f t="shared" si="194"/>
        <v>0</v>
      </c>
    </row>
    <row r="713" spans="1:9">
      <c r="A713" s="21" t="s">
        <v>89</v>
      </c>
      <c r="B713" s="4" t="s">
        <v>30</v>
      </c>
      <c r="C713" s="52">
        <f t="shared" si="193"/>
        <v>95.63</v>
      </c>
      <c r="D713" s="52">
        <f t="shared" si="194"/>
        <v>95.63</v>
      </c>
      <c r="E713" s="52">
        <f t="shared" si="194"/>
        <v>0</v>
      </c>
      <c r="F713" s="52">
        <f t="shared" si="194"/>
        <v>0</v>
      </c>
      <c r="G713" s="52">
        <f t="shared" si="194"/>
        <v>0</v>
      </c>
      <c r="H713" s="52">
        <f t="shared" si="194"/>
        <v>0</v>
      </c>
      <c r="I713" s="52">
        <f t="shared" si="194"/>
        <v>0</v>
      </c>
    </row>
    <row r="714" spans="1:9" ht="12.95">
      <c r="A714" s="19" t="s">
        <v>37</v>
      </c>
      <c r="B714" s="3" t="s">
        <v>29</v>
      </c>
      <c r="C714" s="52">
        <f t="shared" si="193"/>
        <v>95.63</v>
      </c>
      <c r="D714" s="52">
        <f t="shared" si="194"/>
        <v>95.63</v>
      </c>
      <c r="E714" s="52">
        <f t="shared" si="194"/>
        <v>0</v>
      </c>
      <c r="F714" s="52">
        <f t="shared" si="194"/>
        <v>0</v>
      </c>
      <c r="G714" s="52">
        <f t="shared" si="194"/>
        <v>0</v>
      </c>
      <c r="H714" s="52">
        <f t="shared" si="194"/>
        <v>0</v>
      </c>
      <c r="I714" s="52">
        <f t="shared" si="194"/>
        <v>0</v>
      </c>
    </row>
    <row r="715" spans="1:9" ht="12.95">
      <c r="A715" s="16"/>
      <c r="B715" s="4" t="s">
        <v>30</v>
      </c>
      <c r="C715" s="52">
        <f t="shared" si="193"/>
        <v>95.63</v>
      </c>
      <c r="D715" s="52">
        <f t="shared" si="194"/>
        <v>95.63</v>
      </c>
      <c r="E715" s="52">
        <f t="shared" si="194"/>
        <v>0</v>
      </c>
      <c r="F715" s="52">
        <f t="shared" si="194"/>
        <v>0</v>
      </c>
      <c r="G715" s="52">
        <f t="shared" si="194"/>
        <v>0</v>
      </c>
      <c r="H715" s="52">
        <f t="shared" si="194"/>
        <v>0</v>
      </c>
      <c r="I715" s="52">
        <f t="shared" si="194"/>
        <v>0</v>
      </c>
    </row>
    <row r="716" spans="1:9">
      <c r="A716" s="31" t="s">
        <v>50</v>
      </c>
      <c r="B716" s="160" t="s">
        <v>29</v>
      </c>
      <c r="C716" s="52">
        <f t="shared" si="193"/>
        <v>95.63</v>
      </c>
      <c r="D716" s="52">
        <f>D718+D726</f>
        <v>95.63</v>
      </c>
      <c r="E716" s="52">
        <f t="shared" ref="E716:I717" si="195">E718+E726</f>
        <v>0</v>
      </c>
      <c r="F716" s="52">
        <f t="shared" si="195"/>
        <v>0</v>
      </c>
      <c r="G716" s="52">
        <f t="shared" si="195"/>
        <v>0</v>
      </c>
      <c r="H716" s="52">
        <f t="shared" si="195"/>
        <v>0</v>
      </c>
      <c r="I716" s="52">
        <f t="shared" si="195"/>
        <v>0</v>
      </c>
    </row>
    <row r="717" spans="1:9">
      <c r="A717" s="12"/>
      <c r="B717" s="4" t="s">
        <v>30</v>
      </c>
      <c r="C717" s="52">
        <f>D717+E717+F717+G717+H717+I717</f>
        <v>95.63</v>
      </c>
      <c r="D717" s="52">
        <f>D719+D727</f>
        <v>95.63</v>
      </c>
      <c r="E717" s="52">
        <f t="shared" si="195"/>
        <v>0</v>
      </c>
      <c r="F717" s="52">
        <f t="shared" si="195"/>
        <v>0</v>
      </c>
      <c r="G717" s="52">
        <f t="shared" si="195"/>
        <v>0</v>
      </c>
      <c r="H717" s="52">
        <f t="shared" si="195"/>
        <v>0</v>
      </c>
      <c r="I717" s="52">
        <f t="shared" si="195"/>
        <v>0</v>
      </c>
    </row>
    <row r="718" spans="1:9" s="95" customFormat="1">
      <c r="A718" s="58" t="s">
        <v>41</v>
      </c>
      <c r="B718" s="129" t="s">
        <v>29</v>
      </c>
      <c r="C718" s="130">
        <f t="shared" ref="C718:C720" si="196">D718+E718+F718+G718+H718+I718</f>
        <v>78.58</v>
      </c>
      <c r="D718" s="130">
        <f>D720</f>
        <v>78.58</v>
      </c>
      <c r="E718" s="130">
        <f t="shared" ref="E718:I719" si="197">E720</f>
        <v>0</v>
      </c>
      <c r="F718" s="130">
        <f t="shared" si="197"/>
        <v>0</v>
      </c>
      <c r="G718" s="130">
        <f t="shared" si="197"/>
        <v>0</v>
      </c>
      <c r="H718" s="130">
        <f t="shared" si="197"/>
        <v>0</v>
      </c>
      <c r="I718" s="130">
        <f t="shared" si="197"/>
        <v>0</v>
      </c>
    </row>
    <row r="719" spans="1:9" s="95" customFormat="1">
      <c r="A719" s="131"/>
      <c r="B719" s="132" t="s">
        <v>30</v>
      </c>
      <c r="C719" s="130">
        <f t="shared" si="196"/>
        <v>78.58</v>
      </c>
      <c r="D719" s="130">
        <f>D721</f>
        <v>78.58</v>
      </c>
      <c r="E719" s="130">
        <f t="shared" si="197"/>
        <v>0</v>
      </c>
      <c r="F719" s="130">
        <f t="shared" si="197"/>
        <v>0</v>
      </c>
      <c r="G719" s="130">
        <f t="shared" si="197"/>
        <v>0</v>
      </c>
      <c r="H719" s="130">
        <f t="shared" si="197"/>
        <v>0</v>
      </c>
      <c r="I719" s="130">
        <f t="shared" si="197"/>
        <v>0</v>
      </c>
    </row>
    <row r="720" spans="1:9">
      <c r="A720" s="315" t="s">
        <v>278</v>
      </c>
      <c r="B720" s="160" t="s">
        <v>29</v>
      </c>
      <c r="C720" s="52">
        <f t="shared" si="196"/>
        <v>78.58</v>
      </c>
      <c r="D720" s="52">
        <f>D722+D724</f>
        <v>78.58</v>
      </c>
      <c r="E720" s="52">
        <f t="shared" ref="E720:I721" si="198">E722+E724</f>
        <v>0</v>
      </c>
      <c r="F720" s="52">
        <f t="shared" si="198"/>
        <v>0</v>
      </c>
      <c r="G720" s="52">
        <f t="shared" si="198"/>
        <v>0</v>
      </c>
      <c r="H720" s="52">
        <f t="shared" si="198"/>
        <v>0</v>
      </c>
      <c r="I720" s="52">
        <f t="shared" si="198"/>
        <v>0</v>
      </c>
    </row>
    <row r="721" spans="1:9">
      <c r="A721" s="12"/>
      <c r="B721" s="4" t="s">
        <v>30</v>
      </c>
      <c r="C721" s="52">
        <f>D721+E721+F721+G721+H721+I721</f>
        <v>78.58</v>
      </c>
      <c r="D721" s="52">
        <f>D723+D725</f>
        <v>78.58</v>
      </c>
      <c r="E721" s="52">
        <f t="shared" si="198"/>
        <v>0</v>
      </c>
      <c r="F721" s="52">
        <f t="shared" si="198"/>
        <v>0</v>
      </c>
      <c r="G721" s="52">
        <f t="shared" si="198"/>
        <v>0</v>
      </c>
      <c r="H721" s="52">
        <f t="shared" si="198"/>
        <v>0</v>
      </c>
      <c r="I721" s="52">
        <f t="shared" si="198"/>
        <v>0</v>
      </c>
    </row>
    <row r="722" spans="1:9" s="212" customFormat="1" ht="14.1">
      <c r="A722" s="442" t="s">
        <v>279</v>
      </c>
      <c r="B722" s="237" t="s">
        <v>29</v>
      </c>
      <c r="C722" s="240">
        <f t="shared" ref="C722" si="199">D722+E722+F722+G722+H722+I722</f>
        <v>69.599999999999994</v>
      </c>
      <c r="D722" s="240">
        <f>11+58.6</f>
        <v>69.599999999999994</v>
      </c>
      <c r="E722" s="240">
        <v>0</v>
      </c>
      <c r="F722" s="240">
        <v>0</v>
      </c>
      <c r="G722" s="240">
        <v>0</v>
      </c>
      <c r="H722" s="240">
        <v>0</v>
      </c>
      <c r="I722" s="240">
        <v>0</v>
      </c>
    </row>
    <row r="723" spans="1:9" s="213" customFormat="1" ht="14.1">
      <c r="A723" s="358"/>
      <c r="B723" s="226" t="s">
        <v>30</v>
      </c>
      <c r="C723" s="240">
        <f>D723+E723+F723+G723+H723+I723</f>
        <v>69.599999999999994</v>
      </c>
      <c r="D723" s="240">
        <f>11+58.6</f>
        <v>69.599999999999994</v>
      </c>
      <c r="E723" s="240">
        <v>0</v>
      </c>
      <c r="F723" s="240">
        <v>0</v>
      </c>
      <c r="G723" s="240">
        <v>0</v>
      </c>
      <c r="H723" s="240">
        <v>0</v>
      </c>
      <c r="I723" s="240">
        <v>0</v>
      </c>
    </row>
    <row r="724" spans="1:9" s="212" customFormat="1">
      <c r="A724" s="443" t="s">
        <v>280</v>
      </c>
      <c r="B724" s="237" t="s">
        <v>29</v>
      </c>
      <c r="C724" s="240">
        <f t="shared" ref="C724" si="200">D724+E724+F724+G724+H724+I724</f>
        <v>8.98</v>
      </c>
      <c r="D724" s="240">
        <v>8.98</v>
      </c>
      <c r="E724" s="240">
        <v>0</v>
      </c>
      <c r="F724" s="240">
        <v>0</v>
      </c>
      <c r="G724" s="240">
        <v>0</v>
      </c>
      <c r="H724" s="240">
        <v>0</v>
      </c>
      <c r="I724" s="240">
        <v>0</v>
      </c>
    </row>
    <row r="725" spans="1:9" s="20" customFormat="1" ht="14.1">
      <c r="A725" s="317"/>
      <c r="B725" s="62" t="s">
        <v>30</v>
      </c>
      <c r="C725" s="64">
        <f>D725+E725+F725+G725+H725+I725</f>
        <v>8.98</v>
      </c>
      <c r="D725" s="64">
        <v>8.98</v>
      </c>
      <c r="E725" s="64">
        <v>0</v>
      </c>
      <c r="F725" s="64">
        <v>0</v>
      </c>
      <c r="G725" s="64">
        <v>0</v>
      </c>
      <c r="H725" s="64">
        <v>0</v>
      </c>
      <c r="I725" s="64">
        <v>0</v>
      </c>
    </row>
    <row r="726" spans="1:9" s="95" customFormat="1">
      <c r="A726" s="133" t="s">
        <v>42</v>
      </c>
      <c r="B726" s="129" t="s">
        <v>29</v>
      </c>
      <c r="C726" s="130">
        <f t="shared" ref="C726:C728" si="201">D726+E726+F726+G726+H726+I726</f>
        <v>17.05</v>
      </c>
      <c r="D726" s="130">
        <f t="shared" ref="D726:I727" si="202">D728+D732</f>
        <v>17.05</v>
      </c>
      <c r="E726" s="130">
        <f t="shared" si="202"/>
        <v>0</v>
      </c>
      <c r="F726" s="130">
        <f t="shared" si="202"/>
        <v>0</v>
      </c>
      <c r="G726" s="130">
        <f t="shared" si="202"/>
        <v>0</v>
      </c>
      <c r="H726" s="130">
        <f t="shared" si="202"/>
        <v>0</v>
      </c>
      <c r="I726" s="130">
        <f t="shared" si="202"/>
        <v>0</v>
      </c>
    </row>
    <row r="727" spans="1:9" s="95" customFormat="1">
      <c r="A727" s="131"/>
      <c r="B727" s="132" t="s">
        <v>30</v>
      </c>
      <c r="C727" s="130">
        <f t="shared" si="201"/>
        <v>17.05</v>
      </c>
      <c r="D727" s="130">
        <f t="shared" si="202"/>
        <v>17.05</v>
      </c>
      <c r="E727" s="130">
        <f t="shared" si="202"/>
        <v>0</v>
      </c>
      <c r="F727" s="130">
        <f t="shared" si="202"/>
        <v>0</v>
      </c>
      <c r="G727" s="130">
        <f t="shared" si="202"/>
        <v>0</v>
      </c>
      <c r="H727" s="130">
        <f t="shared" si="202"/>
        <v>0</v>
      </c>
      <c r="I727" s="130">
        <f t="shared" si="202"/>
        <v>0</v>
      </c>
    </row>
    <row r="728" spans="1:9">
      <c r="A728" s="315" t="s">
        <v>281</v>
      </c>
      <c r="B728" s="160" t="s">
        <v>29</v>
      </c>
      <c r="C728" s="52">
        <f t="shared" si="201"/>
        <v>14.99</v>
      </c>
      <c r="D728" s="52">
        <f>D730</f>
        <v>14.99</v>
      </c>
      <c r="E728" s="52">
        <f t="shared" ref="E728:I729" si="203">E730</f>
        <v>0</v>
      </c>
      <c r="F728" s="52">
        <f t="shared" si="203"/>
        <v>0</v>
      </c>
      <c r="G728" s="52">
        <f t="shared" si="203"/>
        <v>0</v>
      </c>
      <c r="H728" s="52">
        <f t="shared" si="203"/>
        <v>0</v>
      </c>
      <c r="I728" s="52">
        <f t="shared" si="203"/>
        <v>0</v>
      </c>
    </row>
    <row r="729" spans="1:9">
      <c r="A729" s="12"/>
      <c r="B729" s="4" t="s">
        <v>30</v>
      </c>
      <c r="C729" s="52">
        <f>D729+E729+F729+G729+H729+I729</f>
        <v>14.99</v>
      </c>
      <c r="D729" s="52">
        <f>D731</f>
        <v>14.99</v>
      </c>
      <c r="E729" s="52">
        <f t="shared" si="203"/>
        <v>0</v>
      </c>
      <c r="F729" s="52">
        <f t="shared" si="203"/>
        <v>0</v>
      </c>
      <c r="G729" s="52">
        <f t="shared" si="203"/>
        <v>0</v>
      </c>
      <c r="H729" s="52">
        <f t="shared" si="203"/>
        <v>0</v>
      </c>
      <c r="I729" s="52">
        <f t="shared" si="203"/>
        <v>0</v>
      </c>
    </row>
    <row r="730" spans="1:9" s="212" customFormat="1" ht="15.4">
      <c r="A730" s="444" t="s">
        <v>282</v>
      </c>
      <c r="B730" s="237" t="s">
        <v>29</v>
      </c>
      <c r="C730" s="240">
        <f t="shared" ref="C730" si="204">D730+E730+F730+G730+H730+I730</f>
        <v>14.99</v>
      </c>
      <c r="D730" s="240">
        <v>14.99</v>
      </c>
      <c r="E730" s="240">
        <v>0</v>
      </c>
      <c r="F730" s="240">
        <v>0</v>
      </c>
      <c r="G730" s="240">
        <v>0</v>
      </c>
      <c r="H730" s="240">
        <v>0</v>
      </c>
      <c r="I730" s="240">
        <v>0</v>
      </c>
    </row>
    <row r="731" spans="1:9" s="213" customFormat="1" ht="14.1">
      <c r="A731" s="358"/>
      <c r="B731" s="226" t="s">
        <v>30</v>
      </c>
      <c r="C731" s="240">
        <f>D731+E731+F731+G731+H731+I731</f>
        <v>14.99</v>
      </c>
      <c r="D731" s="240">
        <v>14.99</v>
      </c>
      <c r="E731" s="240">
        <v>0</v>
      </c>
      <c r="F731" s="240">
        <v>0</v>
      </c>
      <c r="G731" s="240">
        <v>0</v>
      </c>
      <c r="H731" s="240">
        <v>0</v>
      </c>
      <c r="I731" s="240">
        <v>0</v>
      </c>
    </row>
    <row r="732" spans="1:9" s="213" customFormat="1" ht="14.1">
      <c r="A732" s="391" t="s">
        <v>283</v>
      </c>
      <c r="B732" s="237" t="s">
        <v>29</v>
      </c>
      <c r="C732" s="240">
        <f t="shared" ref="C732" si="205">D732+E732+F732+G732+H732+I732</f>
        <v>2.06</v>
      </c>
      <c r="D732" s="240">
        <f>D734</f>
        <v>2.06</v>
      </c>
      <c r="E732" s="240">
        <f t="shared" ref="E732:I733" si="206">E734</f>
        <v>0</v>
      </c>
      <c r="F732" s="240">
        <f t="shared" si="206"/>
        <v>0</v>
      </c>
      <c r="G732" s="240">
        <f t="shared" si="206"/>
        <v>0</v>
      </c>
      <c r="H732" s="240">
        <f t="shared" si="206"/>
        <v>0</v>
      </c>
      <c r="I732" s="240">
        <f t="shared" si="206"/>
        <v>0</v>
      </c>
    </row>
    <row r="733" spans="1:9" s="213" customFormat="1">
      <c r="A733" s="215"/>
      <c r="B733" s="226" t="s">
        <v>30</v>
      </c>
      <c r="C733" s="240">
        <f>D733+E733+F733+G733+H733+I733</f>
        <v>2.06</v>
      </c>
      <c r="D733" s="240">
        <f>D735</f>
        <v>2.06</v>
      </c>
      <c r="E733" s="240">
        <f t="shared" si="206"/>
        <v>0</v>
      </c>
      <c r="F733" s="240">
        <f t="shared" si="206"/>
        <v>0</v>
      </c>
      <c r="G733" s="240">
        <f t="shared" si="206"/>
        <v>0</v>
      </c>
      <c r="H733" s="240">
        <f t="shared" si="206"/>
        <v>0</v>
      </c>
      <c r="I733" s="240">
        <f t="shared" si="206"/>
        <v>0</v>
      </c>
    </row>
    <row r="734" spans="1:9" s="212" customFormat="1" ht="14.1">
      <c r="A734" s="441" t="s">
        <v>284</v>
      </c>
      <c r="B734" s="237" t="s">
        <v>29</v>
      </c>
      <c r="C734" s="240">
        <f t="shared" ref="C734" si="207">D734+E734+F734+G734+H734+I734</f>
        <v>2.06</v>
      </c>
      <c r="D734" s="240">
        <v>2.06</v>
      </c>
      <c r="E734" s="240">
        <v>0</v>
      </c>
      <c r="F734" s="240">
        <v>0</v>
      </c>
      <c r="G734" s="240">
        <v>0</v>
      </c>
      <c r="H734" s="240">
        <v>0</v>
      </c>
      <c r="I734" s="240">
        <v>0</v>
      </c>
    </row>
    <row r="735" spans="1:9" s="20" customFormat="1" ht="14.1">
      <c r="A735" s="317"/>
      <c r="B735" s="62" t="s">
        <v>30</v>
      </c>
      <c r="C735" s="64">
        <f>D735+E735+F735+G735+H735+I735</f>
        <v>2.06</v>
      </c>
      <c r="D735" s="64">
        <v>2.06</v>
      </c>
      <c r="E735" s="64">
        <v>0</v>
      </c>
      <c r="F735" s="64">
        <v>0</v>
      </c>
      <c r="G735" s="64">
        <v>0</v>
      </c>
      <c r="H735" s="64">
        <v>0</v>
      </c>
      <c r="I735" s="64">
        <v>0</v>
      </c>
    </row>
    <row r="736" spans="1:9">
      <c r="A736" s="593" t="s">
        <v>285</v>
      </c>
      <c r="B736" s="589"/>
      <c r="C736" s="589"/>
      <c r="D736" s="589"/>
      <c r="E736" s="589"/>
      <c r="F736" s="589"/>
      <c r="G736" s="589"/>
      <c r="H736" s="589"/>
      <c r="I736" s="590"/>
    </row>
    <row r="737" spans="1:9">
      <c r="A737" s="79" t="s">
        <v>54</v>
      </c>
      <c r="B737" s="194" t="s">
        <v>29</v>
      </c>
      <c r="C737" s="190">
        <f t="shared" ref="C737:C743" si="208">D737+E737+F737+G737+H737+I737</f>
        <v>815.41</v>
      </c>
      <c r="D737" s="190">
        <f t="shared" ref="D737:I742" si="209">D739</f>
        <v>195.41</v>
      </c>
      <c r="E737" s="190">
        <f t="shared" si="209"/>
        <v>620</v>
      </c>
      <c r="F737" s="190">
        <f t="shared" si="209"/>
        <v>0</v>
      </c>
      <c r="G737" s="190">
        <f t="shared" si="209"/>
        <v>0</v>
      </c>
      <c r="H737" s="190">
        <f t="shared" si="209"/>
        <v>0</v>
      </c>
      <c r="I737" s="190">
        <f t="shared" si="209"/>
        <v>0</v>
      </c>
    </row>
    <row r="738" spans="1:9">
      <c r="A738" s="21" t="s">
        <v>87</v>
      </c>
      <c r="B738" s="195" t="s">
        <v>30</v>
      </c>
      <c r="C738" s="190">
        <f t="shared" si="208"/>
        <v>815.41</v>
      </c>
      <c r="D738" s="190">
        <f t="shared" si="209"/>
        <v>195.41</v>
      </c>
      <c r="E738" s="190">
        <f t="shared" si="209"/>
        <v>620</v>
      </c>
      <c r="F738" s="190">
        <f t="shared" si="209"/>
        <v>0</v>
      </c>
      <c r="G738" s="190">
        <f t="shared" si="209"/>
        <v>0</v>
      </c>
      <c r="H738" s="190">
        <f t="shared" si="209"/>
        <v>0</v>
      </c>
      <c r="I738" s="190">
        <f t="shared" si="209"/>
        <v>0</v>
      </c>
    </row>
    <row r="739" spans="1:9">
      <c r="A739" s="58" t="s">
        <v>31</v>
      </c>
      <c r="B739" s="160" t="s">
        <v>29</v>
      </c>
      <c r="C739" s="52">
        <f t="shared" si="208"/>
        <v>815.41</v>
      </c>
      <c r="D739" s="52">
        <f t="shared" si="209"/>
        <v>195.41</v>
      </c>
      <c r="E739" s="52">
        <f t="shared" si="209"/>
        <v>620</v>
      </c>
      <c r="F739" s="52">
        <f t="shared" si="209"/>
        <v>0</v>
      </c>
      <c r="G739" s="52">
        <f t="shared" si="209"/>
        <v>0</v>
      </c>
      <c r="H739" s="52">
        <f t="shared" si="209"/>
        <v>0</v>
      </c>
      <c r="I739" s="52">
        <f t="shared" si="209"/>
        <v>0</v>
      </c>
    </row>
    <row r="740" spans="1:9">
      <c r="A740" s="21" t="s">
        <v>89</v>
      </c>
      <c r="B740" s="4" t="s">
        <v>30</v>
      </c>
      <c r="C740" s="52">
        <f t="shared" si="208"/>
        <v>815.41</v>
      </c>
      <c r="D740" s="52">
        <f t="shared" si="209"/>
        <v>195.41</v>
      </c>
      <c r="E740" s="52">
        <f t="shared" si="209"/>
        <v>620</v>
      </c>
      <c r="F740" s="52">
        <f t="shared" si="209"/>
        <v>0</v>
      </c>
      <c r="G740" s="52">
        <f t="shared" si="209"/>
        <v>0</v>
      </c>
      <c r="H740" s="52">
        <f t="shared" si="209"/>
        <v>0</v>
      </c>
      <c r="I740" s="52">
        <f t="shared" si="209"/>
        <v>0</v>
      </c>
    </row>
    <row r="741" spans="1:9" ht="12.95">
      <c r="A741" s="19" t="s">
        <v>37</v>
      </c>
      <c r="B741" s="3" t="s">
        <v>29</v>
      </c>
      <c r="C741" s="52">
        <f t="shared" si="208"/>
        <v>815.41</v>
      </c>
      <c r="D741" s="52">
        <f t="shared" si="209"/>
        <v>195.41</v>
      </c>
      <c r="E741" s="52">
        <f t="shared" si="209"/>
        <v>620</v>
      </c>
      <c r="F741" s="52">
        <f t="shared" si="209"/>
        <v>0</v>
      </c>
      <c r="G741" s="52">
        <f t="shared" si="209"/>
        <v>0</v>
      </c>
      <c r="H741" s="52">
        <f t="shared" si="209"/>
        <v>0</v>
      </c>
      <c r="I741" s="52">
        <f t="shared" si="209"/>
        <v>0</v>
      </c>
    </row>
    <row r="742" spans="1:9" ht="12.95">
      <c r="A742" s="16"/>
      <c r="B742" s="4" t="s">
        <v>30</v>
      </c>
      <c r="C742" s="52">
        <f t="shared" si="208"/>
        <v>815.41</v>
      </c>
      <c r="D742" s="52">
        <f t="shared" si="209"/>
        <v>195.41</v>
      </c>
      <c r="E742" s="52">
        <f t="shared" si="209"/>
        <v>620</v>
      </c>
      <c r="F742" s="52">
        <f t="shared" si="209"/>
        <v>0</v>
      </c>
      <c r="G742" s="52">
        <f t="shared" si="209"/>
        <v>0</v>
      </c>
      <c r="H742" s="52">
        <f t="shared" si="209"/>
        <v>0</v>
      </c>
      <c r="I742" s="52">
        <f t="shared" si="209"/>
        <v>0</v>
      </c>
    </row>
    <row r="743" spans="1:9">
      <c r="A743" s="31" t="s">
        <v>50</v>
      </c>
      <c r="B743" s="160" t="s">
        <v>29</v>
      </c>
      <c r="C743" s="52">
        <f t="shared" si="208"/>
        <v>815.41</v>
      </c>
      <c r="D743" s="52">
        <f t="shared" ref="D743:I744" si="210">D745+D765</f>
        <v>195.41</v>
      </c>
      <c r="E743" s="52">
        <f t="shared" si="210"/>
        <v>620</v>
      </c>
      <c r="F743" s="52">
        <f t="shared" si="210"/>
        <v>0</v>
      </c>
      <c r="G743" s="52">
        <f t="shared" si="210"/>
        <v>0</v>
      </c>
      <c r="H743" s="52">
        <f t="shared" si="210"/>
        <v>0</v>
      </c>
      <c r="I743" s="52">
        <f t="shared" si="210"/>
        <v>0</v>
      </c>
    </row>
    <row r="744" spans="1:9">
      <c r="A744" s="12"/>
      <c r="B744" s="4" t="s">
        <v>30</v>
      </c>
      <c r="C744" s="52">
        <f>D744+E744+F744+G744+H744+I744</f>
        <v>815.41</v>
      </c>
      <c r="D744" s="52">
        <f t="shared" si="210"/>
        <v>195.41</v>
      </c>
      <c r="E744" s="52">
        <f t="shared" si="210"/>
        <v>620</v>
      </c>
      <c r="F744" s="52">
        <f t="shared" si="210"/>
        <v>0</v>
      </c>
      <c r="G744" s="52">
        <f t="shared" si="210"/>
        <v>0</v>
      </c>
      <c r="H744" s="52">
        <f t="shared" si="210"/>
        <v>0</v>
      </c>
      <c r="I744" s="52">
        <f t="shared" si="210"/>
        <v>0</v>
      </c>
    </row>
    <row r="745" spans="1:9" s="95" customFormat="1">
      <c r="A745" s="58" t="s">
        <v>40</v>
      </c>
      <c r="B745" s="129" t="s">
        <v>29</v>
      </c>
      <c r="C745" s="130">
        <f t="shared" ref="C745:C747" si="211">D745+E745+F745+G745+H745+I745</f>
        <v>615.41</v>
      </c>
      <c r="D745" s="130">
        <f t="shared" ref="D745:I746" si="212">D747+D759</f>
        <v>195.41</v>
      </c>
      <c r="E745" s="130">
        <f t="shared" si="212"/>
        <v>420</v>
      </c>
      <c r="F745" s="130">
        <f t="shared" si="212"/>
        <v>0</v>
      </c>
      <c r="G745" s="130">
        <f t="shared" si="212"/>
        <v>0</v>
      </c>
      <c r="H745" s="130">
        <f t="shared" si="212"/>
        <v>0</v>
      </c>
      <c r="I745" s="130">
        <f t="shared" si="212"/>
        <v>0</v>
      </c>
    </row>
    <row r="746" spans="1:9" s="95" customFormat="1">
      <c r="A746" s="131"/>
      <c r="B746" s="132" t="s">
        <v>30</v>
      </c>
      <c r="C746" s="130">
        <f t="shared" si="211"/>
        <v>615.41</v>
      </c>
      <c r="D746" s="130">
        <f t="shared" si="212"/>
        <v>195.41</v>
      </c>
      <c r="E746" s="130">
        <f t="shared" si="212"/>
        <v>420</v>
      </c>
      <c r="F746" s="130">
        <f t="shared" si="212"/>
        <v>0</v>
      </c>
      <c r="G746" s="130">
        <f t="shared" si="212"/>
        <v>0</v>
      </c>
      <c r="H746" s="130">
        <f t="shared" si="212"/>
        <v>0</v>
      </c>
      <c r="I746" s="130">
        <f t="shared" si="212"/>
        <v>0</v>
      </c>
    </row>
    <row r="747" spans="1:9">
      <c r="A747" s="230" t="s">
        <v>286</v>
      </c>
      <c r="B747" s="160" t="s">
        <v>29</v>
      </c>
      <c r="C747" s="52">
        <f t="shared" si="211"/>
        <v>583.41</v>
      </c>
      <c r="D747" s="52">
        <f>D749+D751+D753+D755+D757</f>
        <v>163.41</v>
      </c>
      <c r="E747" s="52">
        <f t="shared" ref="E747:I748" si="213">E749+E751+E753+E755+E757</f>
        <v>420</v>
      </c>
      <c r="F747" s="52">
        <f t="shared" si="213"/>
        <v>0</v>
      </c>
      <c r="G747" s="52">
        <f t="shared" si="213"/>
        <v>0</v>
      </c>
      <c r="H747" s="52">
        <f t="shared" si="213"/>
        <v>0</v>
      </c>
      <c r="I747" s="52">
        <f t="shared" si="213"/>
        <v>0</v>
      </c>
    </row>
    <row r="748" spans="1:9">
      <c r="A748" s="12"/>
      <c r="B748" s="4" t="s">
        <v>30</v>
      </c>
      <c r="C748" s="52">
        <f>D748+E748+F748+G748+H748+I748</f>
        <v>583.41</v>
      </c>
      <c r="D748" s="52">
        <f>D750+D752+D754+D756+D758</f>
        <v>163.41</v>
      </c>
      <c r="E748" s="52">
        <f t="shared" si="213"/>
        <v>420</v>
      </c>
      <c r="F748" s="52">
        <f t="shared" si="213"/>
        <v>0</v>
      </c>
      <c r="G748" s="52">
        <f t="shared" si="213"/>
        <v>0</v>
      </c>
      <c r="H748" s="52">
        <f t="shared" si="213"/>
        <v>0</v>
      </c>
      <c r="I748" s="52">
        <f t="shared" si="213"/>
        <v>0</v>
      </c>
    </row>
    <row r="749" spans="1:9" s="212" customFormat="1" ht="14.1">
      <c r="A749" s="445" t="s">
        <v>287</v>
      </c>
      <c r="B749" s="237" t="s">
        <v>29</v>
      </c>
      <c r="C749" s="240">
        <f t="shared" ref="C749" si="214">D749+E749+F749+G749+H749+I749</f>
        <v>17.96</v>
      </c>
      <c r="D749" s="240">
        <v>17.96</v>
      </c>
      <c r="E749" s="240">
        <v>0</v>
      </c>
      <c r="F749" s="240">
        <v>0</v>
      </c>
      <c r="G749" s="240">
        <v>0</v>
      </c>
      <c r="H749" s="240">
        <v>0</v>
      </c>
      <c r="I749" s="240">
        <v>0</v>
      </c>
    </row>
    <row r="750" spans="1:9" s="213" customFormat="1">
      <c r="A750" s="215"/>
      <c r="B750" s="226" t="s">
        <v>30</v>
      </c>
      <c r="C750" s="240">
        <f>D750+E750+F750+G750+H750+I750</f>
        <v>17.96</v>
      </c>
      <c r="D750" s="240">
        <v>17.96</v>
      </c>
      <c r="E750" s="240">
        <v>0</v>
      </c>
      <c r="F750" s="240">
        <v>0</v>
      </c>
      <c r="G750" s="240">
        <v>0</v>
      </c>
      <c r="H750" s="240">
        <v>0</v>
      </c>
      <c r="I750" s="240">
        <v>0</v>
      </c>
    </row>
    <row r="751" spans="1:9" s="212" customFormat="1" ht="14.1">
      <c r="A751" s="445" t="s">
        <v>288</v>
      </c>
      <c r="B751" s="237" t="s">
        <v>29</v>
      </c>
      <c r="C751" s="240">
        <f t="shared" ref="C751" si="215">D751+E751+F751+G751+H751+I751</f>
        <v>47.6</v>
      </c>
      <c r="D751" s="240">
        <v>47.6</v>
      </c>
      <c r="E751" s="240">
        <v>0</v>
      </c>
      <c r="F751" s="240">
        <v>0</v>
      </c>
      <c r="G751" s="240">
        <v>0</v>
      </c>
      <c r="H751" s="240">
        <v>0</v>
      </c>
      <c r="I751" s="240">
        <v>0</v>
      </c>
    </row>
    <row r="752" spans="1:9" s="213" customFormat="1">
      <c r="A752" s="215"/>
      <c r="B752" s="226" t="s">
        <v>30</v>
      </c>
      <c r="C752" s="240">
        <f>D752+E752+F752+G752+H752+I752</f>
        <v>47.6</v>
      </c>
      <c r="D752" s="240">
        <v>47.6</v>
      </c>
      <c r="E752" s="240">
        <v>0</v>
      </c>
      <c r="F752" s="240">
        <v>0</v>
      </c>
      <c r="G752" s="240">
        <v>0</v>
      </c>
      <c r="H752" s="240">
        <v>0</v>
      </c>
      <c r="I752" s="240">
        <v>0</v>
      </c>
    </row>
    <row r="753" spans="1:9" s="212" customFormat="1" ht="14.1">
      <c r="A753" s="445" t="s">
        <v>289</v>
      </c>
      <c r="B753" s="237" t="s">
        <v>29</v>
      </c>
      <c r="C753" s="240">
        <f t="shared" ref="C753" si="216">D753+E753+F753+G753+H753+I753</f>
        <v>88.06</v>
      </c>
      <c r="D753" s="240">
        <v>88.06</v>
      </c>
      <c r="E753" s="240">
        <v>0</v>
      </c>
      <c r="F753" s="240">
        <v>0</v>
      </c>
      <c r="G753" s="240">
        <v>0</v>
      </c>
      <c r="H753" s="240">
        <v>0</v>
      </c>
      <c r="I753" s="240">
        <v>0</v>
      </c>
    </row>
    <row r="754" spans="1:9" s="213" customFormat="1">
      <c r="A754" s="215"/>
      <c r="B754" s="226" t="s">
        <v>30</v>
      </c>
      <c r="C754" s="240">
        <f>D754+E754+F754+G754+H754+I754</f>
        <v>88.06</v>
      </c>
      <c r="D754" s="240">
        <v>88.06</v>
      </c>
      <c r="E754" s="240">
        <v>0</v>
      </c>
      <c r="F754" s="240">
        <v>0</v>
      </c>
      <c r="G754" s="240">
        <v>0</v>
      </c>
      <c r="H754" s="240">
        <v>0</v>
      </c>
      <c r="I754" s="240">
        <v>0</v>
      </c>
    </row>
    <row r="755" spans="1:9" s="212" customFormat="1" ht="15.4">
      <c r="A755" s="446" t="s">
        <v>290</v>
      </c>
      <c r="B755" s="237" t="s">
        <v>29</v>
      </c>
      <c r="C755" s="240">
        <f t="shared" ref="C755" si="217">D755+E755+F755+G755+H755+I755</f>
        <v>9.7899999999999991</v>
      </c>
      <c r="D755" s="240">
        <v>9.7899999999999991</v>
      </c>
      <c r="E755" s="240">
        <v>0</v>
      </c>
      <c r="F755" s="240">
        <v>0</v>
      </c>
      <c r="G755" s="240">
        <v>0</v>
      </c>
      <c r="H755" s="240">
        <v>0</v>
      </c>
      <c r="I755" s="240">
        <v>0</v>
      </c>
    </row>
    <row r="756" spans="1:9" s="213" customFormat="1">
      <c r="A756" s="215"/>
      <c r="B756" s="226" t="s">
        <v>30</v>
      </c>
      <c r="C756" s="240">
        <f>D756+E756+F756+G756+H756+I756</f>
        <v>9.7899999999999991</v>
      </c>
      <c r="D756" s="240">
        <v>9.7899999999999991</v>
      </c>
      <c r="E756" s="240">
        <v>0</v>
      </c>
      <c r="F756" s="240">
        <v>0</v>
      </c>
      <c r="G756" s="240">
        <v>0</v>
      </c>
      <c r="H756" s="240">
        <v>0</v>
      </c>
      <c r="I756" s="240">
        <v>0</v>
      </c>
    </row>
    <row r="757" spans="1:9" s="212" customFormat="1" ht="14.1">
      <c r="A757" s="447" t="s">
        <v>291</v>
      </c>
      <c r="B757" s="237" t="s">
        <v>29</v>
      </c>
      <c r="C757" s="240">
        <f t="shared" ref="C757" si="218">D757+E757+F757+G757+H757+I757</f>
        <v>420</v>
      </c>
      <c r="D757" s="240">
        <v>0</v>
      </c>
      <c r="E757" s="240">
        <v>420</v>
      </c>
      <c r="F757" s="240">
        <v>0</v>
      </c>
      <c r="G757" s="240">
        <v>0</v>
      </c>
      <c r="H757" s="240">
        <v>0</v>
      </c>
      <c r="I757" s="240">
        <v>0</v>
      </c>
    </row>
    <row r="758" spans="1:9" s="213" customFormat="1">
      <c r="A758" s="215"/>
      <c r="B758" s="226" t="s">
        <v>30</v>
      </c>
      <c r="C758" s="240">
        <f>D758+E758+F758+G758+H758+I758</f>
        <v>420</v>
      </c>
      <c r="D758" s="240">
        <v>0</v>
      </c>
      <c r="E758" s="240">
        <v>420</v>
      </c>
      <c r="F758" s="240">
        <v>0</v>
      </c>
      <c r="G758" s="240">
        <v>0</v>
      </c>
      <c r="H758" s="240">
        <v>0</v>
      </c>
      <c r="I758" s="240">
        <v>0</v>
      </c>
    </row>
    <row r="759" spans="1:9" s="209" customFormat="1">
      <c r="A759" s="133" t="s">
        <v>292</v>
      </c>
      <c r="B759" s="63" t="s">
        <v>29</v>
      </c>
      <c r="C759" s="64">
        <f t="shared" ref="C759" si="219">D759+E759+F759+G759+H759+I759</f>
        <v>32</v>
      </c>
      <c r="D759" s="64">
        <f>D761+D763</f>
        <v>32</v>
      </c>
      <c r="E759" s="64">
        <f t="shared" ref="E759:I760" si="220">E761+E763</f>
        <v>0</v>
      </c>
      <c r="F759" s="64">
        <f t="shared" si="220"/>
        <v>0</v>
      </c>
      <c r="G759" s="64">
        <f t="shared" si="220"/>
        <v>0</v>
      </c>
      <c r="H759" s="64">
        <f t="shared" si="220"/>
        <v>0</v>
      </c>
      <c r="I759" s="64">
        <f t="shared" si="220"/>
        <v>0</v>
      </c>
    </row>
    <row r="760" spans="1:9" s="20" customFormat="1">
      <c r="A760" s="12"/>
      <c r="B760" s="62" t="s">
        <v>30</v>
      </c>
      <c r="C760" s="64">
        <f>D760+E760+F760+G760+H760+I760</f>
        <v>32</v>
      </c>
      <c r="D760" s="64">
        <f>D762+D764</f>
        <v>32</v>
      </c>
      <c r="E760" s="64">
        <f t="shared" si="220"/>
        <v>0</v>
      </c>
      <c r="F760" s="64">
        <f t="shared" si="220"/>
        <v>0</v>
      </c>
      <c r="G760" s="64">
        <f t="shared" si="220"/>
        <v>0</v>
      </c>
      <c r="H760" s="64">
        <f t="shared" si="220"/>
        <v>0</v>
      </c>
      <c r="I760" s="64">
        <f t="shared" si="220"/>
        <v>0</v>
      </c>
    </row>
    <row r="761" spans="1:9" s="212" customFormat="1" ht="14.1">
      <c r="A761" s="448" t="s">
        <v>293</v>
      </c>
      <c r="B761" s="237" t="s">
        <v>29</v>
      </c>
      <c r="C761" s="240">
        <f t="shared" ref="C761" si="221">D761+E761+F761+G761+H761+I761</f>
        <v>20</v>
      </c>
      <c r="D761" s="240">
        <v>20</v>
      </c>
      <c r="E761" s="240">
        <v>0</v>
      </c>
      <c r="F761" s="240">
        <v>0</v>
      </c>
      <c r="G761" s="240">
        <v>0</v>
      </c>
      <c r="H761" s="240">
        <v>0</v>
      </c>
      <c r="I761" s="240">
        <v>0</v>
      </c>
    </row>
    <row r="762" spans="1:9" s="213" customFormat="1">
      <c r="A762" s="215"/>
      <c r="B762" s="226" t="s">
        <v>30</v>
      </c>
      <c r="C762" s="240">
        <f>D762+E762+F762+G762+H762+I762</f>
        <v>20</v>
      </c>
      <c r="D762" s="240">
        <v>20</v>
      </c>
      <c r="E762" s="240">
        <v>0</v>
      </c>
      <c r="F762" s="240">
        <v>0</v>
      </c>
      <c r="G762" s="240">
        <v>0</v>
      </c>
      <c r="H762" s="240">
        <v>0</v>
      </c>
      <c r="I762" s="240">
        <v>0</v>
      </c>
    </row>
    <row r="763" spans="1:9" s="212" customFormat="1" ht="14.1">
      <c r="A763" s="448" t="s">
        <v>294</v>
      </c>
      <c r="B763" s="237" t="s">
        <v>29</v>
      </c>
      <c r="C763" s="240">
        <f t="shared" ref="C763" si="222">D763+E763+F763+G763+H763+I763</f>
        <v>12</v>
      </c>
      <c r="D763" s="240">
        <v>12</v>
      </c>
      <c r="E763" s="240">
        <v>0</v>
      </c>
      <c r="F763" s="240">
        <v>0</v>
      </c>
      <c r="G763" s="240">
        <v>0</v>
      </c>
      <c r="H763" s="240">
        <v>0</v>
      </c>
      <c r="I763" s="240">
        <v>0</v>
      </c>
    </row>
    <row r="764" spans="1:9" s="20" customFormat="1">
      <c r="A764" s="12"/>
      <c r="B764" s="62" t="s">
        <v>30</v>
      </c>
      <c r="C764" s="64">
        <f>D764+E764+F764+G764+H764+I764</f>
        <v>12</v>
      </c>
      <c r="D764" s="64">
        <v>12</v>
      </c>
      <c r="E764" s="64">
        <v>0</v>
      </c>
      <c r="F764" s="64">
        <v>0</v>
      </c>
      <c r="G764" s="64">
        <v>0</v>
      </c>
      <c r="H764" s="64">
        <v>0</v>
      </c>
      <c r="I764" s="64">
        <v>0</v>
      </c>
    </row>
    <row r="765" spans="1:9" s="213" customFormat="1">
      <c r="A765" s="267" t="s">
        <v>41</v>
      </c>
      <c r="B765" s="237" t="s">
        <v>29</v>
      </c>
      <c r="C765" s="240">
        <f t="shared" ref="C765" si="223">D765+E765+F765+G765+H765+I765</f>
        <v>200</v>
      </c>
      <c r="D765" s="240">
        <f>D767</f>
        <v>0</v>
      </c>
      <c r="E765" s="240">
        <f t="shared" ref="E765:I768" si="224">E767</f>
        <v>200</v>
      </c>
      <c r="F765" s="240">
        <f t="shared" si="224"/>
        <v>0</v>
      </c>
      <c r="G765" s="240">
        <f t="shared" si="224"/>
        <v>0</v>
      </c>
      <c r="H765" s="240">
        <f t="shared" si="224"/>
        <v>0</v>
      </c>
      <c r="I765" s="240">
        <f t="shared" si="224"/>
        <v>0</v>
      </c>
    </row>
    <row r="766" spans="1:9" s="213" customFormat="1">
      <c r="A766" s="215"/>
      <c r="B766" s="226" t="s">
        <v>30</v>
      </c>
      <c r="C766" s="240">
        <f>D766+E766+F766+G766+H766+I766</f>
        <v>200</v>
      </c>
      <c r="D766" s="240">
        <f>D768</f>
        <v>0</v>
      </c>
      <c r="E766" s="240">
        <f t="shared" si="224"/>
        <v>200</v>
      </c>
      <c r="F766" s="240">
        <f t="shared" si="224"/>
        <v>0</v>
      </c>
      <c r="G766" s="240">
        <f t="shared" si="224"/>
        <v>0</v>
      </c>
      <c r="H766" s="240">
        <f t="shared" si="224"/>
        <v>0</v>
      </c>
      <c r="I766" s="240">
        <f t="shared" si="224"/>
        <v>0</v>
      </c>
    </row>
    <row r="767" spans="1:9" s="213" customFormat="1">
      <c r="A767" s="133" t="s">
        <v>295</v>
      </c>
      <c r="B767" s="237" t="s">
        <v>29</v>
      </c>
      <c r="C767" s="240">
        <f t="shared" ref="C767" si="225">D767+E767+F767+G767+H767+I767</f>
        <v>200</v>
      </c>
      <c r="D767" s="240">
        <f>D769</f>
        <v>0</v>
      </c>
      <c r="E767" s="240">
        <f t="shared" si="224"/>
        <v>200</v>
      </c>
      <c r="F767" s="240">
        <f t="shared" si="224"/>
        <v>0</v>
      </c>
      <c r="G767" s="240">
        <f t="shared" si="224"/>
        <v>0</v>
      </c>
      <c r="H767" s="240">
        <f t="shared" si="224"/>
        <v>0</v>
      </c>
      <c r="I767" s="240">
        <f t="shared" si="224"/>
        <v>0</v>
      </c>
    </row>
    <row r="768" spans="1:9" s="213" customFormat="1">
      <c r="A768" s="215"/>
      <c r="B768" s="226" t="s">
        <v>30</v>
      </c>
      <c r="C768" s="240">
        <f>D768+E768+F768+G768+H768+I768</f>
        <v>200</v>
      </c>
      <c r="D768" s="240">
        <f>D770</f>
        <v>0</v>
      </c>
      <c r="E768" s="240">
        <f t="shared" si="224"/>
        <v>200</v>
      </c>
      <c r="F768" s="240">
        <f t="shared" si="224"/>
        <v>0</v>
      </c>
      <c r="G768" s="240">
        <f t="shared" si="224"/>
        <v>0</v>
      </c>
      <c r="H768" s="240">
        <f t="shared" si="224"/>
        <v>0</v>
      </c>
      <c r="I768" s="240">
        <f t="shared" si="224"/>
        <v>0</v>
      </c>
    </row>
    <row r="769" spans="1:9" s="213" customFormat="1" ht="28.35">
      <c r="A769" s="449" t="s">
        <v>296</v>
      </c>
      <c r="B769" s="237" t="s">
        <v>29</v>
      </c>
      <c r="C769" s="240">
        <f t="shared" ref="C769" si="226">D769+E769+F769+G769+H769+I769</f>
        <v>200</v>
      </c>
      <c r="D769" s="240">
        <v>0</v>
      </c>
      <c r="E769" s="240">
        <v>200</v>
      </c>
      <c r="F769" s="240">
        <v>0</v>
      </c>
      <c r="G769" s="240">
        <v>0</v>
      </c>
      <c r="H769" s="240">
        <v>0</v>
      </c>
      <c r="I769" s="240">
        <v>0</v>
      </c>
    </row>
    <row r="770" spans="1:9" s="213" customFormat="1">
      <c r="A770" s="215"/>
      <c r="B770" s="226" t="s">
        <v>30</v>
      </c>
      <c r="C770" s="240">
        <f>D770+E770+F770+G770+H770+I770</f>
        <v>200</v>
      </c>
      <c r="D770" s="240">
        <v>0</v>
      </c>
      <c r="E770" s="240">
        <v>200</v>
      </c>
      <c r="F770" s="240">
        <v>0</v>
      </c>
      <c r="G770" s="240">
        <v>0</v>
      </c>
      <c r="H770" s="240">
        <v>0</v>
      </c>
      <c r="I770" s="240">
        <v>0</v>
      </c>
    </row>
    <row r="771" spans="1:9">
      <c r="A771" s="593" t="s">
        <v>297</v>
      </c>
      <c r="B771" s="589"/>
      <c r="C771" s="589"/>
      <c r="D771" s="589"/>
      <c r="E771" s="589"/>
      <c r="F771" s="589"/>
      <c r="G771" s="589"/>
      <c r="H771" s="589"/>
      <c r="I771" s="590"/>
    </row>
    <row r="772" spans="1:9">
      <c r="A772" s="79" t="s">
        <v>54</v>
      </c>
      <c r="B772" s="160" t="s">
        <v>29</v>
      </c>
      <c r="C772" s="52">
        <f t="shared" ref="C772:C793" si="227">D772+E772+F772+G772+H772+I772</f>
        <v>108.96000000000001</v>
      </c>
      <c r="D772" s="52">
        <f t="shared" ref="D772:I787" si="228">D774</f>
        <v>9.9600000000000009</v>
      </c>
      <c r="E772" s="52">
        <f t="shared" si="228"/>
        <v>99</v>
      </c>
      <c r="F772" s="52">
        <f t="shared" si="228"/>
        <v>0</v>
      </c>
      <c r="G772" s="52">
        <f t="shared" si="228"/>
        <v>0</v>
      </c>
      <c r="H772" s="52">
        <f t="shared" si="228"/>
        <v>0</v>
      </c>
      <c r="I772" s="52">
        <f t="shared" si="228"/>
        <v>0</v>
      </c>
    </row>
    <row r="773" spans="1:9">
      <c r="A773" s="21" t="s">
        <v>87</v>
      </c>
      <c r="B773" s="4" t="s">
        <v>30</v>
      </c>
      <c r="C773" s="52">
        <f t="shared" si="227"/>
        <v>108.96000000000001</v>
      </c>
      <c r="D773" s="52">
        <f t="shared" si="228"/>
        <v>9.9600000000000009</v>
      </c>
      <c r="E773" s="52">
        <f t="shared" si="228"/>
        <v>99</v>
      </c>
      <c r="F773" s="52">
        <f t="shared" si="228"/>
        <v>0</v>
      </c>
      <c r="G773" s="52">
        <f t="shared" si="228"/>
        <v>0</v>
      </c>
      <c r="H773" s="52">
        <f t="shared" si="228"/>
        <v>0</v>
      </c>
      <c r="I773" s="52">
        <f t="shared" si="228"/>
        <v>0</v>
      </c>
    </row>
    <row r="774" spans="1:9">
      <c r="A774" s="58" t="s">
        <v>31</v>
      </c>
      <c r="B774" s="160" t="s">
        <v>29</v>
      </c>
      <c r="C774" s="52">
        <f t="shared" si="227"/>
        <v>108.96000000000001</v>
      </c>
      <c r="D774" s="52">
        <f>D776+D784</f>
        <v>9.9600000000000009</v>
      </c>
      <c r="E774" s="52">
        <f t="shared" ref="E774:I775" si="229">E776+E784</f>
        <v>99</v>
      </c>
      <c r="F774" s="52">
        <f>F784</f>
        <v>0</v>
      </c>
      <c r="G774" s="52">
        <f>G784</f>
        <v>0</v>
      </c>
      <c r="H774" s="52">
        <f>H784</f>
        <v>0</v>
      </c>
      <c r="I774" s="52">
        <f>I784</f>
        <v>0</v>
      </c>
    </row>
    <row r="775" spans="1:9">
      <c r="A775" s="21" t="s">
        <v>89</v>
      </c>
      <c r="B775" s="4" t="s">
        <v>30</v>
      </c>
      <c r="C775" s="52">
        <f t="shared" si="227"/>
        <v>108.96000000000001</v>
      </c>
      <c r="D775" s="52">
        <f>D777+D785</f>
        <v>9.9600000000000009</v>
      </c>
      <c r="E775" s="52">
        <f t="shared" si="229"/>
        <v>99</v>
      </c>
      <c r="F775" s="52">
        <f t="shared" si="229"/>
        <v>0</v>
      </c>
      <c r="G775" s="52">
        <f t="shared" si="229"/>
        <v>0</v>
      </c>
      <c r="H775" s="52">
        <f t="shared" si="229"/>
        <v>0</v>
      </c>
      <c r="I775" s="52">
        <f t="shared" si="229"/>
        <v>0</v>
      </c>
    </row>
    <row r="776" spans="1:9" ht="25.7">
      <c r="A776" s="398" t="s">
        <v>49</v>
      </c>
      <c r="B776" s="63" t="s">
        <v>29</v>
      </c>
      <c r="C776" s="52">
        <f t="shared" si="227"/>
        <v>99</v>
      </c>
      <c r="D776" s="52">
        <f>D778</f>
        <v>0</v>
      </c>
      <c r="E776" s="52">
        <f t="shared" ref="E776:I777" si="230">E778</f>
        <v>99</v>
      </c>
      <c r="F776" s="52">
        <f t="shared" si="230"/>
        <v>0</v>
      </c>
      <c r="G776" s="52">
        <f t="shared" si="230"/>
        <v>0</v>
      </c>
      <c r="H776" s="52">
        <f t="shared" si="230"/>
        <v>0</v>
      </c>
      <c r="I776" s="52">
        <f t="shared" si="230"/>
        <v>0</v>
      </c>
    </row>
    <row r="777" spans="1:9" ht="12.95">
      <c r="A777" s="16"/>
      <c r="B777" s="62" t="s">
        <v>30</v>
      </c>
      <c r="C777" s="52">
        <f t="shared" si="227"/>
        <v>99</v>
      </c>
      <c r="D777" s="52">
        <f>D779</f>
        <v>0</v>
      </c>
      <c r="E777" s="52">
        <f t="shared" si="230"/>
        <v>99</v>
      </c>
      <c r="F777" s="52">
        <f t="shared" si="230"/>
        <v>0</v>
      </c>
      <c r="G777" s="52">
        <f t="shared" si="230"/>
        <v>0</v>
      </c>
      <c r="H777" s="52">
        <f t="shared" si="230"/>
        <v>0</v>
      </c>
      <c r="I777" s="52">
        <f t="shared" si="230"/>
        <v>0</v>
      </c>
    </row>
    <row r="778" spans="1:9" s="126" customFormat="1" ht="17.25" customHeight="1">
      <c r="A778" s="399" t="s">
        <v>298</v>
      </c>
      <c r="B778" s="122" t="s">
        <v>29</v>
      </c>
      <c r="C778" s="125">
        <f t="shared" si="227"/>
        <v>99</v>
      </c>
      <c r="D778" s="125">
        <f>D780+D782</f>
        <v>0</v>
      </c>
      <c r="E778" s="125">
        <f t="shared" ref="E778:I779" si="231">E780+E782</f>
        <v>99</v>
      </c>
      <c r="F778" s="125">
        <f t="shared" si="231"/>
        <v>0</v>
      </c>
      <c r="G778" s="125">
        <f t="shared" si="231"/>
        <v>0</v>
      </c>
      <c r="H778" s="125">
        <f t="shared" si="231"/>
        <v>0</v>
      </c>
      <c r="I778" s="125">
        <f t="shared" si="231"/>
        <v>0</v>
      </c>
    </row>
    <row r="779" spans="1:9" s="126" customFormat="1">
      <c r="A779" s="12"/>
      <c r="B779" s="123" t="s">
        <v>30</v>
      </c>
      <c r="C779" s="125">
        <f t="shared" si="227"/>
        <v>99</v>
      </c>
      <c r="D779" s="125">
        <f>D781+D783</f>
        <v>0</v>
      </c>
      <c r="E779" s="125">
        <f t="shared" si="231"/>
        <v>99</v>
      </c>
      <c r="F779" s="125">
        <f t="shared" si="231"/>
        <v>0</v>
      </c>
      <c r="G779" s="125">
        <f t="shared" si="231"/>
        <v>0</v>
      </c>
      <c r="H779" s="125">
        <f t="shared" si="231"/>
        <v>0</v>
      </c>
      <c r="I779" s="125">
        <f t="shared" si="231"/>
        <v>0</v>
      </c>
    </row>
    <row r="780" spans="1:9" s="253" customFormat="1" ht="24.95">
      <c r="A780" s="500" t="s">
        <v>299</v>
      </c>
      <c r="B780" s="216" t="s">
        <v>29</v>
      </c>
      <c r="C780" s="203">
        <f t="shared" si="227"/>
        <v>48</v>
      </c>
      <c r="D780" s="203">
        <v>0</v>
      </c>
      <c r="E780" s="203">
        <v>48</v>
      </c>
      <c r="F780" s="203">
        <v>0</v>
      </c>
      <c r="G780" s="203">
        <v>0</v>
      </c>
      <c r="H780" s="203">
        <v>0</v>
      </c>
      <c r="I780" s="203">
        <v>0</v>
      </c>
    </row>
    <row r="781" spans="1:9" s="249" customFormat="1">
      <c r="A781" s="202"/>
      <c r="B781" s="217" t="s">
        <v>30</v>
      </c>
      <c r="C781" s="203">
        <f t="shared" si="227"/>
        <v>48</v>
      </c>
      <c r="D781" s="203">
        <v>0</v>
      </c>
      <c r="E781" s="203">
        <v>48</v>
      </c>
      <c r="F781" s="203">
        <v>0</v>
      </c>
      <c r="G781" s="203">
        <v>0</v>
      </c>
      <c r="H781" s="203">
        <v>0</v>
      </c>
      <c r="I781" s="203">
        <v>0</v>
      </c>
    </row>
    <row r="782" spans="1:9" s="253" customFormat="1" ht="24.95">
      <c r="A782" s="500" t="s">
        <v>300</v>
      </c>
      <c r="B782" s="216" t="s">
        <v>29</v>
      </c>
      <c r="C782" s="203">
        <f t="shared" si="227"/>
        <v>51</v>
      </c>
      <c r="D782" s="203">
        <v>0</v>
      </c>
      <c r="E782" s="203">
        <v>51</v>
      </c>
      <c r="F782" s="203">
        <v>0</v>
      </c>
      <c r="G782" s="203">
        <v>0</v>
      </c>
      <c r="H782" s="203">
        <v>0</v>
      </c>
      <c r="I782" s="203">
        <v>0</v>
      </c>
    </row>
    <row r="783" spans="1:9" s="249" customFormat="1">
      <c r="A783" s="202"/>
      <c r="B783" s="217" t="s">
        <v>30</v>
      </c>
      <c r="C783" s="203">
        <f t="shared" si="227"/>
        <v>51</v>
      </c>
      <c r="D783" s="203">
        <v>0</v>
      </c>
      <c r="E783" s="203">
        <v>51</v>
      </c>
      <c r="F783" s="203">
        <v>0</v>
      </c>
      <c r="G783" s="203">
        <v>0</v>
      </c>
      <c r="H783" s="203">
        <v>0</v>
      </c>
      <c r="I783" s="203">
        <v>0</v>
      </c>
    </row>
    <row r="784" spans="1:9" ht="12.95">
      <c r="A784" s="19" t="s">
        <v>37</v>
      </c>
      <c r="B784" s="3" t="s">
        <v>29</v>
      </c>
      <c r="C784" s="52">
        <f t="shared" si="227"/>
        <v>9.9600000000000009</v>
      </c>
      <c r="D784" s="52">
        <f t="shared" si="228"/>
        <v>9.9600000000000009</v>
      </c>
      <c r="E784" s="52">
        <f t="shared" si="228"/>
        <v>0</v>
      </c>
      <c r="F784" s="52">
        <f t="shared" si="228"/>
        <v>0</v>
      </c>
      <c r="G784" s="52">
        <f t="shared" si="228"/>
        <v>0</v>
      </c>
      <c r="H784" s="52">
        <f t="shared" si="228"/>
        <v>0</v>
      </c>
      <c r="I784" s="52">
        <f t="shared" si="228"/>
        <v>0</v>
      </c>
    </row>
    <row r="785" spans="1:17" ht="12.95">
      <c r="A785" s="16"/>
      <c r="B785" s="4" t="s">
        <v>30</v>
      </c>
      <c r="C785" s="52">
        <f t="shared" si="227"/>
        <v>9.9600000000000009</v>
      </c>
      <c r="D785" s="52">
        <f t="shared" si="228"/>
        <v>9.9600000000000009</v>
      </c>
      <c r="E785" s="52">
        <f t="shared" si="228"/>
        <v>0</v>
      </c>
      <c r="F785" s="52">
        <f t="shared" si="228"/>
        <v>0</v>
      </c>
      <c r="G785" s="52">
        <f t="shared" si="228"/>
        <v>0</v>
      </c>
      <c r="H785" s="52">
        <f t="shared" si="228"/>
        <v>0</v>
      </c>
      <c r="I785" s="52">
        <f t="shared" si="228"/>
        <v>0</v>
      </c>
    </row>
    <row r="786" spans="1:17">
      <c r="A786" s="31" t="s">
        <v>50</v>
      </c>
      <c r="B786" s="160" t="s">
        <v>29</v>
      </c>
      <c r="C786" s="52">
        <f t="shared" si="227"/>
        <v>9.9600000000000009</v>
      </c>
      <c r="D786" s="52">
        <f t="shared" si="228"/>
        <v>9.9600000000000009</v>
      </c>
      <c r="E786" s="52">
        <f t="shared" si="228"/>
        <v>0</v>
      </c>
      <c r="F786" s="52">
        <f t="shared" si="228"/>
        <v>0</v>
      </c>
      <c r="G786" s="52">
        <f t="shared" si="228"/>
        <v>0</v>
      </c>
      <c r="H786" s="52">
        <f t="shared" si="228"/>
        <v>0</v>
      </c>
      <c r="I786" s="52">
        <f t="shared" si="228"/>
        <v>0</v>
      </c>
    </row>
    <row r="787" spans="1:17">
      <c r="A787" s="12"/>
      <c r="B787" s="4" t="s">
        <v>30</v>
      </c>
      <c r="C787" s="52">
        <f t="shared" si="227"/>
        <v>9.9600000000000009</v>
      </c>
      <c r="D787" s="52">
        <f t="shared" si="228"/>
        <v>9.9600000000000009</v>
      </c>
      <c r="E787" s="52">
        <f t="shared" si="228"/>
        <v>0</v>
      </c>
      <c r="F787" s="52">
        <f t="shared" si="228"/>
        <v>0</v>
      </c>
      <c r="G787" s="52">
        <f t="shared" si="228"/>
        <v>0</v>
      </c>
      <c r="H787" s="52">
        <f t="shared" si="228"/>
        <v>0</v>
      </c>
      <c r="I787" s="52">
        <f t="shared" si="228"/>
        <v>0</v>
      </c>
    </row>
    <row r="788" spans="1:17" s="126" customFormat="1">
      <c r="A788" s="133" t="s">
        <v>42</v>
      </c>
      <c r="B788" s="124" t="s">
        <v>29</v>
      </c>
      <c r="C788" s="125">
        <f t="shared" si="227"/>
        <v>9.9600000000000009</v>
      </c>
      <c r="D788" s="125">
        <f t="shared" ref="D788:I791" si="232">D790</f>
        <v>9.9600000000000009</v>
      </c>
      <c r="E788" s="125">
        <f t="shared" si="232"/>
        <v>0</v>
      </c>
      <c r="F788" s="125">
        <f t="shared" si="232"/>
        <v>0</v>
      </c>
      <c r="G788" s="125">
        <f t="shared" si="232"/>
        <v>0</v>
      </c>
      <c r="H788" s="125">
        <f t="shared" si="232"/>
        <v>0</v>
      </c>
      <c r="I788" s="125">
        <f t="shared" si="232"/>
        <v>0</v>
      </c>
    </row>
    <row r="789" spans="1:17" s="126" customFormat="1">
      <c r="A789" s="134"/>
      <c r="B789" s="127" t="s">
        <v>30</v>
      </c>
      <c r="C789" s="125">
        <f t="shared" si="227"/>
        <v>9.9600000000000009</v>
      </c>
      <c r="D789" s="125">
        <f t="shared" si="232"/>
        <v>9.9600000000000009</v>
      </c>
      <c r="E789" s="125">
        <f t="shared" si="232"/>
        <v>0</v>
      </c>
      <c r="F789" s="125">
        <f t="shared" si="232"/>
        <v>0</v>
      </c>
      <c r="G789" s="125">
        <f t="shared" si="232"/>
        <v>0</v>
      </c>
      <c r="H789" s="125">
        <f t="shared" si="232"/>
        <v>0</v>
      </c>
      <c r="I789" s="125">
        <f t="shared" si="232"/>
        <v>0</v>
      </c>
    </row>
    <row r="790" spans="1:17" s="247" customFormat="1" ht="28.35">
      <c r="A790" s="395" t="s">
        <v>301</v>
      </c>
      <c r="B790" s="237" t="s">
        <v>29</v>
      </c>
      <c r="C790" s="291">
        <f t="shared" si="227"/>
        <v>9.9600000000000009</v>
      </c>
      <c r="D790" s="291">
        <f t="shared" si="232"/>
        <v>9.9600000000000009</v>
      </c>
      <c r="E790" s="291">
        <f t="shared" si="232"/>
        <v>0</v>
      </c>
      <c r="F790" s="291">
        <f t="shared" si="232"/>
        <v>0</v>
      </c>
      <c r="G790" s="291">
        <f t="shared" si="232"/>
        <v>0</v>
      </c>
      <c r="H790" s="291">
        <f t="shared" si="232"/>
        <v>0</v>
      </c>
      <c r="I790" s="291">
        <f t="shared" si="232"/>
        <v>0</v>
      </c>
    </row>
    <row r="791" spans="1:17" s="247" customFormat="1">
      <c r="A791" s="215"/>
      <c r="B791" s="226" t="s">
        <v>30</v>
      </c>
      <c r="C791" s="291">
        <f t="shared" si="227"/>
        <v>9.9600000000000009</v>
      </c>
      <c r="D791" s="291">
        <f t="shared" si="232"/>
        <v>9.9600000000000009</v>
      </c>
      <c r="E791" s="291">
        <f t="shared" si="232"/>
        <v>0</v>
      </c>
      <c r="F791" s="291">
        <f t="shared" si="232"/>
        <v>0</v>
      </c>
      <c r="G791" s="291">
        <f t="shared" si="232"/>
        <v>0</v>
      </c>
      <c r="H791" s="291">
        <f t="shared" si="232"/>
        <v>0</v>
      </c>
      <c r="I791" s="291">
        <f t="shared" si="232"/>
        <v>0</v>
      </c>
    </row>
    <row r="792" spans="1:17" s="212" customFormat="1" ht="14.1">
      <c r="A792" s="448" t="s">
        <v>302</v>
      </c>
      <c r="B792" s="237" t="s">
        <v>29</v>
      </c>
      <c r="C792" s="240">
        <f t="shared" si="227"/>
        <v>9.9600000000000009</v>
      </c>
      <c r="D792" s="240">
        <v>9.9600000000000009</v>
      </c>
      <c r="E792" s="240">
        <v>0</v>
      </c>
      <c r="F792" s="240">
        <v>0</v>
      </c>
      <c r="G792" s="240">
        <v>0</v>
      </c>
      <c r="H792" s="240">
        <v>0</v>
      </c>
      <c r="I792" s="240">
        <v>0</v>
      </c>
      <c r="J792" s="626" t="s">
        <v>303</v>
      </c>
      <c r="K792" s="616"/>
      <c r="L792" s="616"/>
      <c r="M792" s="616"/>
      <c r="N792" s="616"/>
      <c r="O792" s="616"/>
      <c r="P792" s="616"/>
      <c r="Q792" s="616"/>
    </row>
    <row r="793" spans="1:17" s="207" customFormat="1">
      <c r="A793" s="12"/>
      <c r="B793" s="123" t="s">
        <v>30</v>
      </c>
      <c r="C793" s="78">
        <f t="shared" si="227"/>
        <v>9.9600000000000009</v>
      </c>
      <c r="D793" s="78">
        <v>9.9600000000000009</v>
      </c>
      <c r="E793" s="78">
        <v>0</v>
      </c>
      <c r="F793" s="78">
        <v>0</v>
      </c>
      <c r="G793" s="78">
        <v>0</v>
      </c>
      <c r="H793" s="78">
        <v>0</v>
      </c>
      <c r="I793" s="78">
        <v>0</v>
      </c>
      <c r="J793" s="617"/>
      <c r="K793" s="616"/>
      <c r="L793" s="616"/>
      <c r="M793" s="616"/>
      <c r="N793" s="616"/>
      <c r="O793" s="616"/>
      <c r="P793" s="616"/>
      <c r="Q793" s="616"/>
    </row>
    <row r="794" spans="1:17">
      <c r="A794" s="662" t="s">
        <v>86</v>
      </c>
      <c r="B794" s="645"/>
      <c r="C794" s="645"/>
      <c r="D794" s="645"/>
      <c r="E794" s="645"/>
      <c r="F794" s="645"/>
      <c r="G794" s="645"/>
      <c r="H794" s="645"/>
      <c r="I794" s="646"/>
    </row>
    <row r="795" spans="1:17">
      <c r="A795" s="31" t="s">
        <v>54</v>
      </c>
      <c r="B795" s="24" t="s">
        <v>29</v>
      </c>
      <c r="C795" s="52">
        <f t="shared" ref="C795:C1008" si="233">D795+E795+F795+G795+H795+I795</f>
        <v>49726.54</v>
      </c>
      <c r="D795" s="52">
        <f t="shared" ref="D795:I796" si="234">D797</f>
        <v>27738.510000000002</v>
      </c>
      <c r="E795" s="64">
        <f t="shared" si="234"/>
        <v>20860</v>
      </c>
      <c r="F795" s="52">
        <f t="shared" si="234"/>
        <v>0</v>
      </c>
      <c r="G795" s="52">
        <f t="shared" si="234"/>
        <v>0</v>
      </c>
      <c r="H795" s="52">
        <f t="shared" si="234"/>
        <v>0</v>
      </c>
      <c r="I795" s="52">
        <f t="shared" si="234"/>
        <v>1128.0299999999995</v>
      </c>
    </row>
    <row r="796" spans="1:17">
      <c r="A796" s="21" t="s">
        <v>87</v>
      </c>
      <c r="B796" s="26" t="s">
        <v>30</v>
      </c>
      <c r="C796" s="52">
        <f t="shared" si="233"/>
        <v>49726.54</v>
      </c>
      <c r="D796" s="52">
        <f t="shared" si="234"/>
        <v>27738.510000000002</v>
      </c>
      <c r="E796" s="64">
        <f t="shared" si="234"/>
        <v>20860</v>
      </c>
      <c r="F796" s="52">
        <f t="shared" si="234"/>
        <v>0</v>
      </c>
      <c r="G796" s="52">
        <f t="shared" si="234"/>
        <v>0</v>
      </c>
      <c r="H796" s="52">
        <f t="shared" si="234"/>
        <v>0</v>
      </c>
      <c r="I796" s="52">
        <f t="shared" si="234"/>
        <v>1128.0299999999995</v>
      </c>
    </row>
    <row r="797" spans="1:17">
      <c r="A797" s="14" t="s">
        <v>47</v>
      </c>
      <c r="B797" s="24" t="s">
        <v>29</v>
      </c>
      <c r="C797" s="52">
        <f t="shared" si="233"/>
        <v>49726.54</v>
      </c>
      <c r="D797" s="52">
        <f>D799+D807+D825</f>
        <v>27738.510000000002</v>
      </c>
      <c r="E797" s="52">
        <f t="shared" ref="E797:I798" si="235">E799+E807+E825</f>
        <v>20860</v>
      </c>
      <c r="F797" s="52">
        <f t="shared" si="235"/>
        <v>0</v>
      </c>
      <c r="G797" s="52">
        <f t="shared" si="235"/>
        <v>0</v>
      </c>
      <c r="H797" s="52">
        <f t="shared" si="235"/>
        <v>0</v>
      </c>
      <c r="I797" s="52">
        <f t="shared" si="235"/>
        <v>1128.0299999999995</v>
      </c>
    </row>
    <row r="798" spans="1:17">
      <c r="A798" s="12" t="s">
        <v>48</v>
      </c>
      <c r="B798" s="26" t="s">
        <v>30</v>
      </c>
      <c r="C798" s="52">
        <f t="shared" si="233"/>
        <v>49726.54</v>
      </c>
      <c r="D798" s="52">
        <f>D800+D808+D826</f>
        <v>27738.510000000002</v>
      </c>
      <c r="E798" s="52">
        <f t="shared" si="235"/>
        <v>20860</v>
      </c>
      <c r="F798" s="52">
        <f t="shared" si="235"/>
        <v>0</v>
      </c>
      <c r="G798" s="52">
        <f t="shared" si="235"/>
        <v>0</v>
      </c>
      <c r="H798" s="52">
        <f t="shared" si="235"/>
        <v>0</v>
      </c>
      <c r="I798" s="52">
        <f t="shared" si="235"/>
        <v>1128.0299999999995</v>
      </c>
    </row>
    <row r="799" spans="1:17" ht="25.7">
      <c r="A799" s="501" t="s">
        <v>49</v>
      </c>
      <c r="B799" s="63" t="s">
        <v>29</v>
      </c>
      <c r="C799" s="52">
        <f t="shared" si="233"/>
        <v>7122</v>
      </c>
      <c r="D799" s="52">
        <f>D801</f>
        <v>0</v>
      </c>
      <c r="E799" s="52">
        <f t="shared" ref="E799:I800" si="236">E801</f>
        <v>7122</v>
      </c>
      <c r="F799" s="52">
        <f t="shared" si="236"/>
        <v>0</v>
      </c>
      <c r="G799" s="52">
        <f t="shared" si="236"/>
        <v>0</v>
      </c>
      <c r="H799" s="52">
        <f t="shared" si="236"/>
        <v>0</v>
      </c>
      <c r="I799" s="52">
        <f t="shared" si="236"/>
        <v>0</v>
      </c>
    </row>
    <row r="800" spans="1:17" ht="12.95">
      <c r="A800" s="16"/>
      <c r="B800" s="62" t="s">
        <v>30</v>
      </c>
      <c r="C800" s="52">
        <f t="shared" si="233"/>
        <v>7122</v>
      </c>
      <c r="D800" s="52">
        <f>D802</f>
        <v>0</v>
      </c>
      <c r="E800" s="52">
        <f t="shared" si="236"/>
        <v>7122</v>
      </c>
      <c r="F800" s="52">
        <f t="shared" si="236"/>
        <v>0</v>
      </c>
      <c r="G800" s="52">
        <f t="shared" si="236"/>
        <v>0</v>
      </c>
      <c r="H800" s="52">
        <f t="shared" si="236"/>
        <v>0</v>
      </c>
      <c r="I800" s="52">
        <f t="shared" si="236"/>
        <v>0</v>
      </c>
    </row>
    <row r="801" spans="1:17" s="212" customFormat="1" ht="15" customHeight="1">
      <c r="A801" s="380" t="s">
        <v>304</v>
      </c>
      <c r="B801" s="237" t="s">
        <v>29</v>
      </c>
      <c r="C801" s="240">
        <f t="shared" si="233"/>
        <v>7122</v>
      </c>
      <c r="D801" s="240">
        <f>D803+D805</f>
        <v>0</v>
      </c>
      <c r="E801" s="240">
        <f t="shared" ref="E801:I802" si="237">E803+E805</f>
        <v>7122</v>
      </c>
      <c r="F801" s="240">
        <f t="shared" si="237"/>
        <v>0</v>
      </c>
      <c r="G801" s="240">
        <f t="shared" si="237"/>
        <v>0</v>
      </c>
      <c r="H801" s="240">
        <f t="shared" si="237"/>
        <v>0</v>
      </c>
      <c r="I801" s="240">
        <f t="shared" si="237"/>
        <v>0</v>
      </c>
      <c r="J801" s="582"/>
      <c r="K801" s="583"/>
      <c r="L801" s="583"/>
      <c r="M801" s="583"/>
      <c r="N801" s="583"/>
      <c r="O801" s="583"/>
      <c r="P801" s="583"/>
      <c r="Q801" s="583"/>
    </row>
    <row r="802" spans="1:17" s="206" customFormat="1" ht="12.95">
      <c r="A802" s="43"/>
      <c r="B802" s="62" t="s">
        <v>30</v>
      </c>
      <c r="C802" s="78">
        <f t="shared" si="233"/>
        <v>7122</v>
      </c>
      <c r="D802" s="240">
        <f>D804+D806</f>
        <v>0</v>
      </c>
      <c r="E802" s="240">
        <f t="shared" si="237"/>
        <v>7122</v>
      </c>
      <c r="F802" s="240">
        <f t="shared" si="237"/>
        <v>0</v>
      </c>
      <c r="G802" s="240">
        <f t="shared" si="237"/>
        <v>0</v>
      </c>
      <c r="H802" s="240">
        <f t="shared" si="237"/>
        <v>0</v>
      </c>
      <c r="I802" s="240">
        <f t="shared" si="237"/>
        <v>0</v>
      </c>
      <c r="J802" s="582"/>
      <c r="K802" s="583"/>
      <c r="L802" s="583"/>
      <c r="M802" s="583"/>
      <c r="N802" s="583"/>
      <c r="O802" s="583"/>
      <c r="P802" s="583"/>
      <c r="Q802" s="583"/>
    </row>
    <row r="803" spans="1:17" s="212" customFormat="1" ht="41.25" customHeight="1">
      <c r="A803" s="502" t="s">
        <v>305</v>
      </c>
      <c r="B803" s="237" t="s">
        <v>29</v>
      </c>
      <c r="C803" s="240">
        <f t="shared" si="233"/>
        <v>2315</v>
      </c>
      <c r="D803" s="240">
        <v>0</v>
      </c>
      <c r="E803" s="240">
        <v>2315</v>
      </c>
      <c r="F803" s="240">
        <v>0</v>
      </c>
      <c r="G803" s="240">
        <v>0</v>
      </c>
      <c r="H803" s="240">
        <v>0</v>
      </c>
      <c r="I803" s="240"/>
      <c r="J803" s="550"/>
      <c r="K803" s="584"/>
      <c r="L803" s="584"/>
      <c r="M803" s="584"/>
      <c r="N803" s="584"/>
      <c r="O803" s="584"/>
      <c r="P803" s="584"/>
      <c r="Q803" s="584"/>
    </row>
    <row r="804" spans="1:17" s="213" customFormat="1" ht="12.95">
      <c r="A804" s="297"/>
      <c r="B804" s="226" t="s">
        <v>30</v>
      </c>
      <c r="C804" s="240">
        <f t="shared" si="233"/>
        <v>2315</v>
      </c>
      <c r="D804" s="240">
        <v>0</v>
      </c>
      <c r="E804" s="240">
        <v>2315</v>
      </c>
      <c r="F804" s="240">
        <v>0</v>
      </c>
      <c r="G804" s="240">
        <v>0</v>
      </c>
      <c r="H804" s="240">
        <v>0</v>
      </c>
      <c r="I804" s="240"/>
      <c r="J804" s="550"/>
      <c r="K804" s="584"/>
      <c r="L804" s="584"/>
      <c r="M804" s="584"/>
      <c r="N804" s="584"/>
      <c r="O804" s="584"/>
      <c r="P804" s="584"/>
      <c r="Q804" s="584"/>
    </row>
    <row r="805" spans="1:17" s="212" customFormat="1" ht="41.25" customHeight="1">
      <c r="A805" s="502" t="s">
        <v>306</v>
      </c>
      <c r="B805" s="237" t="s">
        <v>29</v>
      </c>
      <c r="C805" s="240">
        <f t="shared" si="233"/>
        <v>4807</v>
      </c>
      <c r="D805" s="240">
        <v>0</v>
      </c>
      <c r="E805" s="240">
        <v>4807</v>
      </c>
      <c r="F805" s="240">
        <v>0</v>
      </c>
      <c r="G805" s="240">
        <v>0</v>
      </c>
      <c r="H805" s="240">
        <v>0</v>
      </c>
      <c r="I805" s="240"/>
      <c r="J805" s="550"/>
      <c r="K805" s="584"/>
      <c r="L805" s="584"/>
      <c r="M805" s="584"/>
      <c r="N805" s="584"/>
      <c r="O805" s="584"/>
      <c r="P805" s="584"/>
      <c r="Q805" s="584"/>
    </row>
    <row r="806" spans="1:17" s="213" customFormat="1" ht="12.95">
      <c r="A806" s="297"/>
      <c r="B806" s="226" t="s">
        <v>30</v>
      </c>
      <c r="C806" s="240">
        <f t="shared" si="233"/>
        <v>4807</v>
      </c>
      <c r="D806" s="240">
        <v>0</v>
      </c>
      <c r="E806" s="240">
        <v>4807</v>
      </c>
      <c r="F806" s="240">
        <v>0</v>
      </c>
      <c r="G806" s="240">
        <v>0</v>
      </c>
      <c r="H806" s="240">
        <v>0</v>
      </c>
      <c r="I806" s="240"/>
      <c r="J806" s="550"/>
      <c r="K806" s="584"/>
      <c r="L806" s="584"/>
      <c r="M806" s="584"/>
      <c r="N806" s="584"/>
      <c r="O806" s="584"/>
      <c r="P806" s="584"/>
      <c r="Q806" s="584"/>
    </row>
    <row r="807" spans="1:17" ht="25.7">
      <c r="A807" s="258" t="s">
        <v>36</v>
      </c>
      <c r="B807" s="63" t="s">
        <v>29</v>
      </c>
      <c r="C807" s="52">
        <f t="shared" si="233"/>
        <v>23590</v>
      </c>
      <c r="D807" s="52">
        <f>D809+D815+D821</f>
        <v>14624.970000000001</v>
      </c>
      <c r="E807" s="52">
        <f t="shared" ref="E807:I808" si="238">E809+E815+E821</f>
        <v>7837</v>
      </c>
      <c r="F807" s="52">
        <f t="shared" si="238"/>
        <v>0</v>
      </c>
      <c r="G807" s="52">
        <f t="shared" si="238"/>
        <v>0</v>
      </c>
      <c r="H807" s="52">
        <f t="shared" si="238"/>
        <v>0</v>
      </c>
      <c r="I807" s="52">
        <f t="shared" si="238"/>
        <v>1128.0299999999995</v>
      </c>
    </row>
    <row r="808" spans="1:17" ht="12.95">
      <c r="A808" s="16"/>
      <c r="B808" s="62" t="s">
        <v>30</v>
      </c>
      <c r="C808" s="52">
        <f t="shared" si="233"/>
        <v>23590</v>
      </c>
      <c r="D808" s="52">
        <f>D810+D816+D822</f>
        <v>14624.970000000001</v>
      </c>
      <c r="E808" s="52">
        <f t="shared" si="238"/>
        <v>7837</v>
      </c>
      <c r="F808" s="52">
        <f t="shared" si="238"/>
        <v>0</v>
      </c>
      <c r="G808" s="52">
        <f t="shared" si="238"/>
        <v>0</v>
      </c>
      <c r="H808" s="52">
        <f t="shared" si="238"/>
        <v>0</v>
      </c>
      <c r="I808" s="52">
        <f t="shared" si="238"/>
        <v>1128.0299999999995</v>
      </c>
    </row>
    <row r="809" spans="1:17" s="212" customFormat="1" ht="15" customHeight="1">
      <c r="A809" s="380" t="s">
        <v>307</v>
      </c>
      <c r="B809" s="237" t="s">
        <v>29</v>
      </c>
      <c r="C809" s="240">
        <f t="shared" si="233"/>
        <v>17785</v>
      </c>
      <c r="D809" s="240">
        <f>D811+D813</f>
        <v>13243.11</v>
      </c>
      <c r="E809" s="240">
        <f t="shared" ref="E809:I810" si="239">E811+E813</f>
        <v>3735</v>
      </c>
      <c r="F809" s="240">
        <f t="shared" si="239"/>
        <v>0</v>
      </c>
      <c r="G809" s="240">
        <f t="shared" si="239"/>
        <v>0</v>
      </c>
      <c r="H809" s="240">
        <f t="shared" si="239"/>
        <v>0</v>
      </c>
      <c r="I809" s="240">
        <f t="shared" si="239"/>
        <v>806.88999999999942</v>
      </c>
      <c r="J809" s="582"/>
      <c r="K809" s="583"/>
      <c r="L809" s="583"/>
      <c r="M809" s="583"/>
      <c r="N809" s="583"/>
      <c r="O809" s="583"/>
      <c r="P809" s="583"/>
      <c r="Q809" s="583"/>
    </row>
    <row r="810" spans="1:17" s="206" customFormat="1" ht="12.95">
      <c r="A810" s="43"/>
      <c r="B810" s="62" t="s">
        <v>30</v>
      </c>
      <c r="C810" s="78">
        <f t="shared" si="233"/>
        <v>17785</v>
      </c>
      <c r="D810" s="240">
        <f>D812+D814</f>
        <v>13243.11</v>
      </c>
      <c r="E810" s="240">
        <f t="shared" si="239"/>
        <v>3735</v>
      </c>
      <c r="F810" s="240">
        <f t="shared" si="239"/>
        <v>0</v>
      </c>
      <c r="G810" s="240">
        <f t="shared" si="239"/>
        <v>0</v>
      </c>
      <c r="H810" s="240">
        <f t="shared" si="239"/>
        <v>0</v>
      </c>
      <c r="I810" s="240">
        <f t="shared" si="239"/>
        <v>806.88999999999942</v>
      </c>
      <c r="J810" s="582"/>
      <c r="K810" s="583"/>
      <c r="L810" s="583"/>
      <c r="M810" s="583"/>
      <c r="N810" s="583"/>
      <c r="O810" s="583"/>
      <c r="P810" s="583"/>
      <c r="Q810" s="583"/>
    </row>
    <row r="811" spans="1:17" s="213" customFormat="1" ht="27" customHeight="1">
      <c r="A811" s="361" t="s">
        <v>308</v>
      </c>
      <c r="B811" s="237" t="s">
        <v>29</v>
      </c>
      <c r="C811" s="240">
        <f t="shared" si="233"/>
        <v>14050</v>
      </c>
      <c r="D811" s="240">
        <v>13243.11</v>
      </c>
      <c r="E811" s="240">
        <v>0</v>
      </c>
      <c r="F811" s="240">
        <v>0</v>
      </c>
      <c r="G811" s="240">
        <v>0</v>
      </c>
      <c r="H811" s="240">
        <v>0</v>
      </c>
      <c r="I811" s="240">
        <f>14064-13243.11-55+41</f>
        <v>806.88999999999942</v>
      </c>
      <c r="J811" s="550"/>
      <c r="K811" s="584"/>
      <c r="L811" s="584"/>
      <c r="M811" s="584"/>
      <c r="N811" s="584"/>
      <c r="O811" s="584"/>
      <c r="P811" s="584"/>
      <c r="Q811" s="584"/>
    </row>
    <row r="812" spans="1:17" s="213" customFormat="1" ht="12.95">
      <c r="A812" s="297"/>
      <c r="B812" s="226" t="s">
        <v>30</v>
      </c>
      <c r="C812" s="240">
        <f t="shared" si="233"/>
        <v>14050</v>
      </c>
      <c r="D812" s="240">
        <v>13243.11</v>
      </c>
      <c r="E812" s="240">
        <v>0</v>
      </c>
      <c r="F812" s="240">
        <v>0</v>
      </c>
      <c r="G812" s="240">
        <v>0</v>
      </c>
      <c r="H812" s="240">
        <v>0</v>
      </c>
      <c r="I812" s="240">
        <f>14064-13243.11-55+41</f>
        <v>806.88999999999942</v>
      </c>
      <c r="J812" s="550"/>
      <c r="K812" s="584"/>
      <c r="L812" s="584"/>
      <c r="M812" s="584"/>
      <c r="N812" s="584"/>
      <c r="O812" s="584"/>
      <c r="P812" s="584"/>
      <c r="Q812" s="584"/>
    </row>
    <row r="813" spans="1:17" s="213" customFormat="1" ht="16.5" customHeight="1">
      <c r="A813" s="450" t="s">
        <v>309</v>
      </c>
      <c r="B813" s="237" t="s">
        <v>29</v>
      </c>
      <c r="C813" s="240">
        <f t="shared" si="233"/>
        <v>3735</v>
      </c>
      <c r="D813" s="240">
        <v>0</v>
      </c>
      <c r="E813" s="240">
        <v>3735</v>
      </c>
      <c r="F813" s="240">
        <v>0</v>
      </c>
      <c r="G813" s="240">
        <v>0</v>
      </c>
      <c r="H813" s="240">
        <v>0</v>
      </c>
      <c r="I813" s="240">
        <v>0</v>
      </c>
      <c r="J813" s="582"/>
      <c r="K813" s="583"/>
      <c r="L813" s="583"/>
      <c r="M813" s="583"/>
      <c r="N813" s="583"/>
      <c r="O813" s="583"/>
      <c r="P813" s="583"/>
      <c r="Q813" s="583"/>
    </row>
    <row r="814" spans="1:17" s="206" customFormat="1" ht="12.95">
      <c r="A814" s="43"/>
      <c r="B814" s="62" t="s">
        <v>30</v>
      </c>
      <c r="C814" s="78">
        <f t="shared" si="233"/>
        <v>3735</v>
      </c>
      <c r="D814" s="240">
        <v>0</v>
      </c>
      <c r="E814" s="240">
        <v>3735</v>
      </c>
      <c r="F814" s="78">
        <v>0</v>
      </c>
      <c r="G814" s="78">
        <v>0</v>
      </c>
      <c r="H814" s="78">
        <v>0</v>
      </c>
      <c r="I814" s="240">
        <v>0</v>
      </c>
      <c r="J814" s="582"/>
      <c r="K814" s="583"/>
      <c r="L814" s="583"/>
      <c r="M814" s="583"/>
      <c r="N814" s="583"/>
      <c r="O814" s="583"/>
      <c r="P814" s="583"/>
      <c r="Q814" s="583"/>
    </row>
    <row r="815" spans="1:17" s="212" customFormat="1" ht="17.25" customHeight="1">
      <c r="A815" s="380" t="s">
        <v>218</v>
      </c>
      <c r="B815" s="237" t="s">
        <v>29</v>
      </c>
      <c r="C815" s="240">
        <f t="shared" si="233"/>
        <v>3185</v>
      </c>
      <c r="D815" s="240">
        <f>D817+D819</f>
        <v>1381.86</v>
      </c>
      <c r="E815" s="240">
        <f t="shared" ref="E815:I816" si="240">E817+E819</f>
        <v>1482</v>
      </c>
      <c r="F815" s="240">
        <f t="shared" si="240"/>
        <v>0</v>
      </c>
      <c r="G815" s="240">
        <f t="shared" si="240"/>
        <v>0</v>
      </c>
      <c r="H815" s="240">
        <f t="shared" si="240"/>
        <v>0</v>
      </c>
      <c r="I815" s="240">
        <f t="shared" si="240"/>
        <v>321.1400000000001</v>
      </c>
      <c r="J815" s="582"/>
      <c r="K815" s="583"/>
      <c r="L815" s="583"/>
      <c r="M815" s="583"/>
      <c r="N815" s="583"/>
      <c r="O815" s="583"/>
      <c r="P815" s="583"/>
      <c r="Q815" s="583"/>
    </row>
    <row r="816" spans="1:17" s="206" customFormat="1" ht="12.95">
      <c r="A816" s="43"/>
      <c r="B816" s="62" t="s">
        <v>30</v>
      </c>
      <c r="C816" s="78">
        <f t="shared" si="233"/>
        <v>3185</v>
      </c>
      <c r="D816" s="240">
        <f>D818+D820</f>
        <v>1381.86</v>
      </c>
      <c r="E816" s="240">
        <f t="shared" si="240"/>
        <v>1482</v>
      </c>
      <c r="F816" s="240">
        <f t="shared" si="240"/>
        <v>0</v>
      </c>
      <c r="G816" s="240">
        <f t="shared" si="240"/>
        <v>0</v>
      </c>
      <c r="H816" s="240">
        <f t="shared" si="240"/>
        <v>0</v>
      </c>
      <c r="I816" s="240">
        <f t="shared" si="240"/>
        <v>321.1400000000001</v>
      </c>
      <c r="J816" s="582"/>
      <c r="K816" s="583"/>
      <c r="L816" s="583"/>
      <c r="M816" s="583"/>
      <c r="N816" s="583"/>
      <c r="O816" s="583"/>
      <c r="P816" s="583"/>
      <c r="Q816" s="583"/>
    </row>
    <row r="817" spans="1:17" s="212" customFormat="1" ht="26.25" customHeight="1">
      <c r="A817" s="361" t="s">
        <v>308</v>
      </c>
      <c r="B817" s="237" t="s">
        <v>29</v>
      </c>
      <c r="C817" s="240">
        <f t="shared" si="233"/>
        <v>1773</v>
      </c>
      <c r="D817" s="240">
        <v>1381.86</v>
      </c>
      <c r="E817" s="240">
        <v>70</v>
      </c>
      <c r="F817" s="240">
        <v>0</v>
      </c>
      <c r="G817" s="240">
        <v>0</v>
      </c>
      <c r="H817" s="240">
        <v>0</v>
      </c>
      <c r="I817" s="240">
        <f>1773-1381.86-70</f>
        <v>321.1400000000001</v>
      </c>
      <c r="J817" s="550" t="s">
        <v>310</v>
      </c>
      <c r="K817" s="584"/>
      <c r="L817" s="584"/>
      <c r="M817" s="584"/>
      <c r="N817" s="584"/>
      <c r="O817" s="584"/>
      <c r="P817" s="584"/>
      <c r="Q817" s="584"/>
    </row>
    <row r="818" spans="1:17" s="213" customFormat="1" ht="12.95">
      <c r="A818" s="297"/>
      <c r="B818" s="226" t="s">
        <v>30</v>
      </c>
      <c r="C818" s="240">
        <f t="shared" si="233"/>
        <v>1773</v>
      </c>
      <c r="D818" s="240">
        <v>1381.86</v>
      </c>
      <c r="E818" s="240">
        <v>70</v>
      </c>
      <c r="F818" s="240">
        <v>0</v>
      </c>
      <c r="G818" s="240">
        <v>0</v>
      </c>
      <c r="H818" s="240">
        <v>0</v>
      </c>
      <c r="I818" s="240">
        <f>1773-1381.86-70</f>
        <v>321.1400000000001</v>
      </c>
      <c r="J818" s="550"/>
      <c r="K818" s="584"/>
      <c r="L818" s="584"/>
      <c r="M818" s="584"/>
      <c r="N818" s="584"/>
      <c r="O818" s="584"/>
      <c r="P818" s="584"/>
      <c r="Q818" s="584"/>
    </row>
    <row r="819" spans="1:17" s="212" customFormat="1" ht="27" customHeight="1">
      <c r="A819" s="503" t="s">
        <v>311</v>
      </c>
      <c r="B819" s="237" t="s">
        <v>29</v>
      </c>
      <c r="C819" s="240">
        <f t="shared" si="233"/>
        <v>1412</v>
      </c>
      <c r="D819" s="240">
        <v>0</v>
      </c>
      <c r="E819" s="240">
        <v>1412</v>
      </c>
      <c r="F819" s="240">
        <v>0</v>
      </c>
      <c r="G819" s="240">
        <v>0</v>
      </c>
      <c r="H819" s="240">
        <v>0</v>
      </c>
      <c r="I819" s="240">
        <v>0</v>
      </c>
      <c r="J819" s="582"/>
      <c r="K819" s="583"/>
      <c r="L819" s="583"/>
      <c r="M819" s="583"/>
      <c r="N819" s="583"/>
      <c r="O819" s="583"/>
      <c r="P819" s="583"/>
      <c r="Q819" s="583"/>
    </row>
    <row r="820" spans="1:17" s="206" customFormat="1" ht="12.95">
      <c r="A820" s="43"/>
      <c r="B820" s="62" t="s">
        <v>30</v>
      </c>
      <c r="C820" s="78">
        <f t="shared" si="233"/>
        <v>1412</v>
      </c>
      <c r="D820" s="240">
        <v>0</v>
      </c>
      <c r="E820" s="78">
        <v>1412</v>
      </c>
      <c r="F820" s="78">
        <v>0</v>
      </c>
      <c r="G820" s="78">
        <v>0</v>
      </c>
      <c r="H820" s="78">
        <v>0</v>
      </c>
      <c r="I820" s="240">
        <v>0</v>
      </c>
      <c r="J820" s="582"/>
      <c r="K820" s="583"/>
      <c r="L820" s="583"/>
      <c r="M820" s="583"/>
      <c r="N820" s="583"/>
      <c r="O820" s="583"/>
      <c r="P820" s="583"/>
      <c r="Q820" s="583"/>
    </row>
    <row r="821" spans="1:17" s="212" customFormat="1" ht="15.75" customHeight="1">
      <c r="A821" s="390" t="s">
        <v>312</v>
      </c>
      <c r="B821" s="237" t="s">
        <v>29</v>
      </c>
      <c r="C821" s="240">
        <f t="shared" si="233"/>
        <v>2620</v>
      </c>
      <c r="D821" s="240">
        <f>D823</f>
        <v>0</v>
      </c>
      <c r="E821" s="240">
        <f t="shared" ref="E821:I822" si="241">E823</f>
        <v>2620</v>
      </c>
      <c r="F821" s="240">
        <f t="shared" si="241"/>
        <v>0</v>
      </c>
      <c r="G821" s="240">
        <f t="shared" si="241"/>
        <v>0</v>
      </c>
      <c r="H821" s="240">
        <f t="shared" si="241"/>
        <v>0</v>
      </c>
      <c r="I821" s="240">
        <f t="shared" si="241"/>
        <v>0</v>
      </c>
      <c r="J821" s="582"/>
      <c r="K821" s="583"/>
      <c r="L821" s="583"/>
      <c r="M821" s="583"/>
      <c r="N821" s="583"/>
      <c r="O821" s="583"/>
      <c r="P821" s="583"/>
      <c r="Q821" s="583"/>
    </row>
    <row r="822" spans="1:17" s="206" customFormat="1" ht="12.95">
      <c r="A822" s="43"/>
      <c r="B822" s="62" t="s">
        <v>30</v>
      </c>
      <c r="C822" s="78">
        <f t="shared" si="233"/>
        <v>2620</v>
      </c>
      <c r="D822" s="240">
        <f>D824</f>
        <v>0</v>
      </c>
      <c r="E822" s="240">
        <f t="shared" si="241"/>
        <v>2620</v>
      </c>
      <c r="F822" s="240">
        <f t="shared" si="241"/>
        <v>0</v>
      </c>
      <c r="G822" s="240">
        <f t="shared" si="241"/>
        <v>0</v>
      </c>
      <c r="H822" s="240">
        <f t="shared" si="241"/>
        <v>0</v>
      </c>
      <c r="I822" s="240">
        <f t="shared" si="241"/>
        <v>0</v>
      </c>
      <c r="J822" s="582"/>
      <c r="K822" s="583"/>
      <c r="L822" s="583"/>
      <c r="M822" s="583"/>
      <c r="N822" s="583"/>
      <c r="O822" s="583"/>
      <c r="P822" s="583"/>
      <c r="Q822" s="583"/>
    </row>
    <row r="823" spans="1:17" s="213" customFormat="1" ht="26.25" customHeight="1">
      <c r="A823" s="421" t="s">
        <v>313</v>
      </c>
      <c r="B823" s="237" t="s">
        <v>29</v>
      </c>
      <c r="C823" s="240">
        <f t="shared" si="233"/>
        <v>2620</v>
      </c>
      <c r="D823" s="240">
        <v>0</v>
      </c>
      <c r="E823" s="240">
        <v>2620</v>
      </c>
      <c r="F823" s="240">
        <v>0</v>
      </c>
      <c r="G823" s="240">
        <v>0</v>
      </c>
      <c r="H823" s="240">
        <v>0</v>
      </c>
      <c r="I823" s="240">
        <v>0</v>
      </c>
      <c r="J823" s="550"/>
      <c r="K823" s="584"/>
      <c r="L823" s="584"/>
      <c r="M823" s="584"/>
      <c r="N823" s="584"/>
      <c r="O823" s="584"/>
      <c r="P823" s="584"/>
      <c r="Q823" s="584"/>
    </row>
    <row r="824" spans="1:17" s="213" customFormat="1" ht="12.95">
      <c r="A824" s="297"/>
      <c r="B824" s="226" t="s">
        <v>30</v>
      </c>
      <c r="C824" s="240">
        <f t="shared" si="233"/>
        <v>2620</v>
      </c>
      <c r="D824" s="240">
        <v>0</v>
      </c>
      <c r="E824" s="240">
        <v>2620</v>
      </c>
      <c r="F824" s="240">
        <v>0</v>
      </c>
      <c r="G824" s="240">
        <v>0</v>
      </c>
      <c r="H824" s="240">
        <v>0</v>
      </c>
      <c r="I824" s="240">
        <v>0</v>
      </c>
      <c r="J824" s="550"/>
      <c r="K824" s="584"/>
      <c r="L824" s="584"/>
      <c r="M824" s="584"/>
      <c r="N824" s="584"/>
      <c r="O824" s="584"/>
      <c r="P824" s="584"/>
      <c r="Q824" s="584"/>
    </row>
    <row r="825" spans="1:17" ht="12.95">
      <c r="A825" s="19" t="s">
        <v>37</v>
      </c>
      <c r="B825" s="3" t="s">
        <v>29</v>
      </c>
      <c r="C825" s="52">
        <f t="shared" si="233"/>
        <v>19014.54</v>
      </c>
      <c r="D825" s="52">
        <f t="shared" ref="D825:I826" si="242">D827</f>
        <v>13113.539999999999</v>
      </c>
      <c r="E825" s="52">
        <f t="shared" si="242"/>
        <v>5901</v>
      </c>
      <c r="F825" s="52">
        <f t="shared" si="242"/>
        <v>0</v>
      </c>
      <c r="G825" s="52">
        <f t="shared" si="242"/>
        <v>0</v>
      </c>
      <c r="H825" s="52">
        <f t="shared" si="242"/>
        <v>0</v>
      </c>
      <c r="I825" s="52">
        <f t="shared" si="242"/>
        <v>0</v>
      </c>
    </row>
    <row r="826" spans="1:17" ht="12.95">
      <c r="A826" s="16"/>
      <c r="B826" s="4" t="s">
        <v>30</v>
      </c>
      <c r="C826" s="52">
        <f t="shared" si="233"/>
        <v>19014.54</v>
      </c>
      <c r="D826" s="52">
        <f t="shared" si="242"/>
        <v>13113.539999999999</v>
      </c>
      <c r="E826" s="52">
        <f t="shared" si="242"/>
        <v>5901</v>
      </c>
      <c r="F826" s="52">
        <f t="shared" si="242"/>
        <v>0</v>
      </c>
      <c r="G826" s="52">
        <f t="shared" si="242"/>
        <v>0</v>
      </c>
      <c r="H826" s="52">
        <f t="shared" si="242"/>
        <v>0</v>
      </c>
      <c r="I826" s="52">
        <f t="shared" si="242"/>
        <v>0</v>
      </c>
    </row>
    <row r="827" spans="1:17">
      <c r="A827" s="28" t="s">
        <v>50</v>
      </c>
      <c r="B827" s="29" t="s">
        <v>29</v>
      </c>
      <c r="C827" s="52">
        <f t="shared" si="233"/>
        <v>19014.54</v>
      </c>
      <c r="D827" s="52">
        <f>D829+D1127+D1137</f>
        <v>13113.539999999999</v>
      </c>
      <c r="E827" s="52">
        <f t="shared" ref="E827:I827" si="243">E829+E1127+E1137</f>
        <v>5901</v>
      </c>
      <c r="F827" s="52">
        <f t="shared" si="243"/>
        <v>0</v>
      </c>
      <c r="G827" s="52">
        <f t="shared" si="243"/>
        <v>0</v>
      </c>
      <c r="H827" s="52">
        <f t="shared" si="243"/>
        <v>0</v>
      </c>
      <c r="I827" s="52">
        <f t="shared" si="243"/>
        <v>0</v>
      </c>
    </row>
    <row r="828" spans="1:17">
      <c r="A828" s="11"/>
      <c r="B828" s="29" t="s">
        <v>30</v>
      </c>
      <c r="C828" s="52">
        <f t="shared" si="233"/>
        <v>19014.54</v>
      </c>
      <c r="D828" s="52">
        <f>D830+D1128+D1138</f>
        <v>13113.539999999999</v>
      </c>
      <c r="E828" s="52">
        <f t="shared" ref="E828:I828" si="244">E830+E1128+E1138</f>
        <v>5901</v>
      </c>
      <c r="F828" s="52">
        <f t="shared" si="244"/>
        <v>0</v>
      </c>
      <c r="G828" s="52">
        <f t="shared" si="244"/>
        <v>0</v>
      </c>
      <c r="H828" s="52">
        <f t="shared" si="244"/>
        <v>0</v>
      </c>
      <c r="I828" s="52">
        <f t="shared" si="244"/>
        <v>0</v>
      </c>
    </row>
    <row r="829" spans="1:17" s="95" customFormat="1">
      <c r="A829" s="128" t="s">
        <v>40</v>
      </c>
      <c r="B829" s="129" t="s">
        <v>29</v>
      </c>
      <c r="C829" s="130">
        <f t="shared" si="233"/>
        <v>18926.379999999997</v>
      </c>
      <c r="D829" s="130">
        <f t="shared" ref="D829:I830" si="245">D831+D947+D1007+D1047+D1057+D1083+D1093+D1101+D1111</f>
        <v>13049.38</v>
      </c>
      <c r="E829" s="130">
        <f t="shared" si="245"/>
        <v>5877</v>
      </c>
      <c r="F829" s="130">
        <f t="shared" si="245"/>
        <v>0</v>
      </c>
      <c r="G829" s="130">
        <f t="shared" si="245"/>
        <v>0</v>
      </c>
      <c r="H829" s="130">
        <f t="shared" si="245"/>
        <v>0</v>
      </c>
      <c r="I829" s="130">
        <f t="shared" si="245"/>
        <v>0</v>
      </c>
    </row>
    <row r="830" spans="1:17" s="95" customFormat="1">
      <c r="A830" s="131"/>
      <c r="B830" s="132" t="s">
        <v>30</v>
      </c>
      <c r="C830" s="130">
        <f t="shared" si="233"/>
        <v>18926.379999999997</v>
      </c>
      <c r="D830" s="130">
        <f t="shared" si="245"/>
        <v>13049.38</v>
      </c>
      <c r="E830" s="130">
        <f t="shared" si="245"/>
        <v>5877</v>
      </c>
      <c r="F830" s="130">
        <f t="shared" si="245"/>
        <v>0</v>
      </c>
      <c r="G830" s="130">
        <f t="shared" si="245"/>
        <v>0</v>
      </c>
      <c r="H830" s="130">
        <f t="shared" si="245"/>
        <v>0</v>
      </c>
      <c r="I830" s="130">
        <f t="shared" si="245"/>
        <v>0</v>
      </c>
    </row>
    <row r="831" spans="1:17" s="126" customFormat="1">
      <c r="A831" s="141" t="s">
        <v>90</v>
      </c>
      <c r="B831" s="124" t="s">
        <v>29</v>
      </c>
      <c r="C831" s="125">
        <f t="shared" si="233"/>
        <v>10048.950000000001</v>
      </c>
      <c r="D831" s="125">
        <f>D833+D835+D837+D839+D841+D843+D845+D847+D849+D851+D853+D855+D857+D859+D861+D863+D865+D867+D869+D871+D873+D875+D877+D879+D881+D883+D885+D887+D889+D891+D893+D895+D897+D899+D901+D903+D905+D907+D909+D911+D913+D915+D917+D919+D921+D923+D925+D927+D929+D931+D933+D935+D937+D939+D941+D943+D945</f>
        <v>8231.9500000000007</v>
      </c>
      <c r="E831" s="125">
        <f t="shared" ref="E831:I831" si="246">E833+E835+E837+E839+E841+E843+E845+E847+E849+E851+E853+E855+E857+E859+E861+E863+E865+E867+E869+E871+E873+E875+E877+E879+E881+E883+E885+E887+E889+E891+E893+E895+E897+E899+E901+E903+E905+E907+E909+E911+E913+E915+E917+E919+E921+E923+E925+E927+E929+E931+E933+E935+E937+E939+E941+E943+E945</f>
        <v>1817</v>
      </c>
      <c r="F831" s="125">
        <f t="shared" si="246"/>
        <v>0</v>
      </c>
      <c r="G831" s="125">
        <f t="shared" si="246"/>
        <v>0</v>
      </c>
      <c r="H831" s="125">
        <f t="shared" si="246"/>
        <v>0</v>
      </c>
      <c r="I831" s="125">
        <f t="shared" si="246"/>
        <v>0</v>
      </c>
    </row>
    <row r="832" spans="1:17" s="126" customFormat="1">
      <c r="A832" s="134"/>
      <c r="B832" s="127" t="s">
        <v>30</v>
      </c>
      <c r="C832" s="125">
        <f t="shared" si="233"/>
        <v>10048.950000000001</v>
      </c>
      <c r="D832" s="125">
        <f>D834+D836+D838+D840+D842+D844+D846+D848+D850+D852+D854+D856+D858+D860+D862+D864+D866+D868+D870+D872+D874+D876+D878+D880+D882+D884+D886+D888+D890+D892+D894+D896+D898+D900+D902+D904+D906+D908+D910+D912+D914+D916+D918+D920+D922+D924+D926+D928+D930+D932+D934+D936+D938+D940+D942+D944+D946</f>
        <v>8231.9500000000007</v>
      </c>
      <c r="E832" s="125">
        <f t="shared" ref="E832:I832" si="247">E834+E836+E838+E840+E842+E844+E846+E848+E850+E852+E854+E856+E858+E860+E862+E864+E866+E868+E870+E872+E874+E876+E878+E880+E882+E884+E886+E888+E890+E892+E894+E896+E898+E900+E902+E904+E906+E908+E910+E912+E914+E916+E918+E920+E922+E924+E926+E928+E930+E932+E934+E936+E938+E940+E942+E944+E946</f>
        <v>1817</v>
      </c>
      <c r="F832" s="125">
        <f t="shared" si="247"/>
        <v>0</v>
      </c>
      <c r="G832" s="125">
        <f t="shared" si="247"/>
        <v>0</v>
      </c>
      <c r="H832" s="125">
        <f t="shared" si="247"/>
        <v>0</v>
      </c>
      <c r="I832" s="125">
        <f t="shared" si="247"/>
        <v>0</v>
      </c>
    </row>
    <row r="833" spans="1:9" s="213" customFormat="1" ht="15" customHeight="1">
      <c r="A833" s="325" t="s">
        <v>314</v>
      </c>
      <c r="B833" s="237" t="s">
        <v>29</v>
      </c>
      <c r="C833" s="240">
        <f t="shared" si="233"/>
        <v>179</v>
      </c>
      <c r="D833" s="240">
        <v>179</v>
      </c>
      <c r="E833" s="240">
        <v>0</v>
      </c>
      <c r="F833" s="240">
        <v>0</v>
      </c>
      <c r="G833" s="240">
        <v>0</v>
      </c>
      <c r="H833" s="240">
        <v>0</v>
      </c>
      <c r="I833" s="240">
        <v>0</v>
      </c>
    </row>
    <row r="834" spans="1:9" s="20" customFormat="1">
      <c r="A834" s="504"/>
      <c r="B834" s="62" t="s">
        <v>30</v>
      </c>
      <c r="C834" s="64">
        <f t="shared" si="233"/>
        <v>179</v>
      </c>
      <c r="D834" s="64">
        <v>179</v>
      </c>
      <c r="E834" s="64">
        <v>0</v>
      </c>
      <c r="F834" s="64">
        <v>0</v>
      </c>
      <c r="G834" s="64">
        <v>0</v>
      </c>
      <c r="H834" s="64">
        <v>0</v>
      </c>
      <c r="I834" s="64">
        <v>0</v>
      </c>
    </row>
    <row r="835" spans="1:9" s="213" customFormat="1" ht="15" customHeight="1">
      <c r="A835" s="325" t="s">
        <v>315</v>
      </c>
      <c r="B835" s="237" t="s">
        <v>29</v>
      </c>
      <c r="C835" s="240">
        <f t="shared" si="233"/>
        <v>15</v>
      </c>
      <c r="D835" s="240">
        <v>15</v>
      </c>
      <c r="E835" s="240">
        <v>0</v>
      </c>
      <c r="F835" s="240">
        <v>0</v>
      </c>
      <c r="G835" s="240">
        <v>0</v>
      </c>
      <c r="H835" s="240">
        <v>0</v>
      </c>
      <c r="I835" s="240">
        <v>0</v>
      </c>
    </row>
    <row r="836" spans="1:9" s="213" customFormat="1">
      <c r="A836" s="504"/>
      <c r="B836" s="226" t="s">
        <v>30</v>
      </c>
      <c r="C836" s="240">
        <f t="shared" si="233"/>
        <v>15</v>
      </c>
      <c r="D836" s="240">
        <v>15</v>
      </c>
      <c r="E836" s="240">
        <v>0</v>
      </c>
      <c r="F836" s="240">
        <v>0</v>
      </c>
      <c r="G836" s="240">
        <v>0</v>
      </c>
      <c r="H836" s="240">
        <v>0</v>
      </c>
      <c r="I836" s="240">
        <v>0</v>
      </c>
    </row>
    <row r="837" spans="1:9" s="213" customFormat="1" ht="15.75" customHeight="1">
      <c r="A837" s="325" t="s">
        <v>316</v>
      </c>
      <c r="B837" s="237" t="s">
        <v>29</v>
      </c>
      <c r="C837" s="240">
        <f t="shared" si="233"/>
        <v>4</v>
      </c>
      <c r="D837" s="240">
        <v>4</v>
      </c>
      <c r="E837" s="240">
        <v>0</v>
      </c>
      <c r="F837" s="240">
        <v>0</v>
      </c>
      <c r="G837" s="240">
        <v>0</v>
      </c>
      <c r="H837" s="240">
        <v>0</v>
      </c>
      <c r="I837" s="240">
        <v>0</v>
      </c>
    </row>
    <row r="838" spans="1:9" s="213" customFormat="1">
      <c r="A838" s="504"/>
      <c r="B838" s="226" t="s">
        <v>30</v>
      </c>
      <c r="C838" s="240">
        <f t="shared" si="233"/>
        <v>4</v>
      </c>
      <c r="D838" s="240">
        <v>4</v>
      </c>
      <c r="E838" s="240">
        <v>0</v>
      </c>
      <c r="F838" s="240">
        <v>0</v>
      </c>
      <c r="G838" s="240">
        <v>0</v>
      </c>
      <c r="H838" s="240">
        <v>0</v>
      </c>
      <c r="I838" s="240">
        <v>0</v>
      </c>
    </row>
    <row r="839" spans="1:9" s="213" customFormat="1" ht="16.5" customHeight="1">
      <c r="A839" s="325" t="s">
        <v>317</v>
      </c>
      <c r="B839" s="237" t="s">
        <v>29</v>
      </c>
      <c r="C839" s="240">
        <f t="shared" si="233"/>
        <v>28</v>
      </c>
      <c r="D839" s="240">
        <v>28</v>
      </c>
      <c r="E839" s="240">
        <v>0</v>
      </c>
      <c r="F839" s="240">
        <v>0</v>
      </c>
      <c r="G839" s="240">
        <v>0</v>
      </c>
      <c r="H839" s="240">
        <v>0</v>
      </c>
      <c r="I839" s="240">
        <v>0</v>
      </c>
    </row>
    <row r="840" spans="1:9" s="249" customFormat="1">
      <c r="A840" s="504"/>
      <c r="B840" s="217" t="s">
        <v>30</v>
      </c>
      <c r="C840" s="203">
        <f t="shared" si="233"/>
        <v>28</v>
      </c>
      <c r="D840" s="203">
        <v>28</v>
      </c>
      <c r="E840" s="203">
        <v>0</v>
      </c>
      <c r="F840" s="203">
        <v>0</v>
      </c>
      <c r="G840" s="203">
        <v>0</v>
      </c>
      <c r="H840" s="203">
        <v>0</v>
      </c>
      <c r="I840" s="203">
        <v>0</v>
      </c>
    </row>
    <row r="841" spans="1:9" s="213" customFormat="1" ht="15.75" customHeight="1">
      <c r="A841" s="325" t="s">
        <v>318</v>
      </c>
      <c r="B841" s="237" t="s">
        <v>29</v>
      </c>
      <c r="C841" s="240">
        <f t="shared" si="233"/>
        <v>18</v>
      </c>
      <c r="D841" s="240">
        <v>18</v>
      </c>
      <c r="E841" s="240">
        <v>0</v>
      </c>
      <c r="F841" s="240">
        <v>0</v>
      </c>
      <c r="G841" s="240">
        <v>0</v>
      </c>
      <c r="H841" s="240">
        <v>0</v>
      </c>
      <c r="I841" s="240">
        <v>0</v>
      </c>
    </row>
    <row r="842" spans="1:9" s="213" customFormat="1">
      <c r="A842" s="504"/>
      <c r="B842" s="226" t="s">
        <v>30</v>
      </c>
      <c r="C842" s="240">
        <f t="shared" si="233"/>
        <v>18</v>
      </c>
      <c r="D842" s="240">
        <v>18</v>
      </c>
      <c r="E842" s="240">
        <v>0</v>
      </c>
      <c r="F842" s="240">
        <v>0</v>
      </c>
      <c r="G842" s="240">
        <v>0</v>
      </c>
      <c r="H842" s="240">
        <v>0</v>
      </c>
      <c r="I842" s="240">
        <v>0</v>
      </c>
    </row>
    <row r="843" spans="1:9" s="213" customFormat="1" ht="16.5" customHeight="1">
      <c r="A843" s="325" t="s">
        <v>319</v>
      </c>
      <c r="B843" s="237" t="s">
        <v>29</v>
      </c>
      <c r="C843" s="240">
        <f t="shared" si="233"/>
        <v>822</v>
      </c>
      <c r="D843" s="240">
        <v>822</v>
      </c>
      <c r="E843" s="240">
        <v>0</v>
      </c>
      <c r="F843" s="240">
        <v>0</v>
      </c>
      <c r="G843" s="240">
        <v>0</v>
      </c>
      <c r="H843" s="240">
        <v>0</v>
      </c>
      <c r="I843" s="240">
        <v>0</v>
      </c>
    </row>
    <row r="844" spans="1:9" s="213" customFormat="1">
      <c r="A844" s="504"/>
      <c r="B844" s="226" t="s">
        <v>30</v>
      </c>
      <c r="C844" s="240">
        <f t="shared" si="233"/>
        <v>822</v>
      </c>
      <c r="D844" s="240">
        <v>822</v>
      </c>
      <c r="E844" s="240">
        <v>0</v>
      </c>
      <c r="F844" s="240">
        <v>0</v>
      </c>
      <c r="G844" s="240">
        <v>0</v>
      </c>
      <c r="H844" s="240">
        <v>0</v>
      </c>
      <c r="I844" s="240">
        <v>0</v>
      </c>
    </row>
    <row r="845" spans="1:9" s="213" customFormat="1" ht="15" customHeight="1">
      <c r="A845" s="325" t="s">
        <v>320</v>
      </c>
      <c r="B845" s="237" t="s">
        <v>29</v>
      </c>
      <c r="C845" s="240">
        <f t="shared" si="233"/>
        <v>173</v>
      </c>
      <c r="D845" s="240">
        <v>173</v>
      </c>
      <c r="E845" s="240">
        <v>0</v>
      </c>
      <c r="F845" s="240">
        <v>0</v>
      </c>
      <c r="G845" s="240">
        <v>0</v>
      </c>
      <c r="H845" s="240">
        <v>0</v>
      </c>
      <c r="I845" s="240">
        <v>0</v>
      </c>
    </row>
    <row r="846" spans="1:9" s="249" customFormat="1">
      <c r="A846" s="504"/>
      <c r="B846" s="217" t="s">
        <v>30</v>
      </c>
      <c r="C846" s="203">
        <f t="shared" si="233"/>
        <v>173</v>
      </c>
      <c r="D846" s="203">
        <v>173</v>
      </c>
      <c r="E846" s="203">
        <v>0</v>
      </c>
      <c r="F846" s="203">
        <v>0</v>
      </c>
      <c r="G846" s="203">
        <v>0</v>
      </c>
      <c r="H846" s="203">
        <v>0</v>
      </c>
      <c r="I846" s="203">
        <v>0</v>
      </c>
    </row>
    <row r="847" spans="1:9" s="213" customFormat="1" ht="16.5" customHeight="1">
      <c r="A847" s="325" t="s">
        <v>321</v>
      </c>
      <c r="B847" s="237" t="s">
        <v>29</v>
      </c>
      <c r="C847" s="240">
        <f t="shared" si="233"/>
        <v>71</v>
      </c>
      <c r="D847" s="240">
        <v>71</v>
      </c>
      <c r="E847" s="240">
        <v>0</v>
      </c>
      <c r="F847" s="240">
        <v>0</v>
      </c>
      <c r="G847" s="240">
        <v>0</v>
      </c>
      <c r="H847" s="240">
        <v>0</v>
      </c>
      <c r="I847" s="240">
        <v>0</v>
      </c>
    </row>
    <row r="848" spans="1:9" s="20" customFormat="1">
      <c r="A848" s="504"/>
      <c r="B848" s="62" t="s">
        <v>30</v>
      </c>
      <c r="C848" s="64">
        <f t="shared" si="233"/>
        <v>71</v>
      </c>
      <c r="D848" s="64">
        <v>71</v>
      </c>
      <c r="E848" s="64">
        <v>0</v>
      </c>
      <c r="F848" s="64">
        <v>0</v>
      </c>
      <c r="G848" s="64">
        <v>0</v>
      </c>
      <c r="H848" s="64">
        <v>0</v>
      </c>
      <c r="I848" s="64">
        <v>0</v>
      </c>
    </row>
    <row r="849" spans="1:9" s="213" customFormat="1" ht="16.5" customHeight="1">
      <c r="A849" s="325" t="s">
        <v>322</v>
      </c>
      <c r="B849" s="237" t="s">
        <v>29</v>
      </c>
      <c r="C849" s="240">
        <f t="shared" si="233"/>
        <v>30</v>
      </c>
      <c r="D849" s="240">
        <v>30</v>
      </c>
      <c r="E849" s="240">
        <v>0</v>
      </c>
      <c r="F849" s="240">
        <v>0</v>
      </c>
      <c r="G849" s="240">
        <v>0</v>
      </c>
      <c r="H849" s="240">
        <v>0</v>
      </c>
      <c r="I849" s="240">
        <v>0</v>
      </c>
    </row>
    <row r="850" spans="1:9" s="213" customFormat="1">
      <c r="A850" s="504"/>
      <c r="B850" s="226" t="s">
        <v>30</v>
      </c>
      <c r="C850" s="240">
        <f t="shared" si="233"/>
        <v>30</v>
      </c>
      <c r="D850" s="240">
        <v>30</v>
      </c>
      <c r="E850" s="240">
        <v>0</v>
      </c>
      <c r="F850" s="240">
        <v>0</v>
      </c>
      <c r="G850" s="240">
        <v>0</v>
      </c>
      <c r="H850" s="240">
        <v>0</v>
      </c>
      <c r="I850" s="240">
        <v>0</v>
      </c>
    </row>
    <row r="851" spans="1:9" s="213" customFormat="1" ht="16.5" customHeight="1">
      <c r="A851" s="325" t="s">
        <v>323</v>
      </c>
      <c r="B851" s="237" t="s">
        <v>29</v>
      </c>
      <c r="C851" s="240">
        <f t="shared" si="233"/>
        <v>69</v>
      </c>
      <c r="D851" s="240">
        <v>69</v>
      </c>
      <c r="E851" s="240">
        <v>0</v>
      </c>
      <c r="F851" s="240">
        <v>0</v>
      </c>
      <c r="G851" s="240">
        <v>0</v>
      </c>
      <c r="H851" s="240">
        <v>0</v>
      </c>
      <c r="I851" s="240">
        <v>0</v>
      </c>
    </row>
    <row r="852" spans="1:9" s="249" customFormat="1">
      <c r="A852" s="504"/>
      <c r="B852" s="217" t="s">
        <v>30</v>
      </c>
      <c r="C852" s="203">
        <f t="shared" si="233"/>
        <v>69</v>
      </c>
      <c r="D852" s="203">
        <v>69</v>
      </c>
      <c r="E852" s="203">
        <v>0</v>
      </c>
      <c r="F852" s="203">
        <v>0</v>
      </c>
      <c r="G852" s="203">
        <v>0</v>
      </c>
      <c r="H852" s="203">
        <v>0</v>
      </c>
      <c r="I852" s="203">
        <v>0</v>
      </c>
    </row>
    <row r="853" spans="1:9" s="213" customFormat="1" ht="15.75" customHeight="1">
      <c r="A853" s="325" t="s">
        <v>324</v>
      </c>
      <c r="B853" s="237" t="s">
        <v>29</v>
      </c>
      <c r="C853" s="240">
        <f t="shared" si="233"/>
        <v>305</v>
      </c>
      <c r="D853" s="240">
        <v>305</v>
      </c>
      <c r="E853" s="240">
        <v>0</v>
      </c>
      <c r="F853" s="240">
        <v>0</v>
      </c>
      <c r="G853" s="240">
        <v>0</v>
      </c>
      <c r="H853" s="240">
        <v>0</v>
      </c>
      <c r="I853" s="240">
        <v>0</v>
      </c>
    </row>
    <row r="854" spans="1:9" s="213" customFormat="1">
      <c r="A854" s="504"/>
      <c r="B854" s="226" t="s">
        <v>30</v>
      </c>
      <c r="C854" s="240">
        <f t="shared" si="233"/>
        <v>305</v>
      </c>
      <c r="D854" s="240">
        <v>305</v>
      </c>
      <c r="E854" s="240">
        <v>0</v>
      </c>
      <c r="F854" s="240">
        <v>0</v>
      </c>
      <c r="G854" s="240">
        <v>0</v>
      </c>
      <c r="H854" s="240">
        <v>0</v>
      </c>
      <c r="I854" s="240">
        <v>0</v>
      </c>
    </row>
    <row r="855" spans="1:9" s="213" customFormat="1" ht="16.5" customHeight="1">
      <c r="A855" s="325" t="s">
        <v>325</v>
      </c>
      <c r="B855" s="237" t="s">
        <v>29</v>
      </c>
      <c r="C855" s="240">
        <f t="shared" si="233"/>
        <v>5</v>
      </c>
      <c r="D855" s="240">
        <v>5</v>
      </c>
      <c r="E855" s="64">
        <v>0</v>
      </c>
      <c r="F855" s="240">
        <v>0</v>
      </c>
      <c r="G855" s="240">
        <v>0</v>
      </c>
      <c r="H855" s="240">
        <v>0</v>
      </c>
      <c r="I855" s="240">
        <v>0</v>
      </c>
    </row>
    <row r="856" spans="1:9" s="20" customFormat="1">
      <c r="A856" s="504"/>
      <c r="B856" s="62" t="s">
        <v>30</v>
      </c>
      <c r="C856" s="64">
        <f t="shared" si="233"/>
        <v>5</v>
      </c>
      <c r="D856" s="64">
        <v>5</v>
      </c>
      <c r="E856" s="64">
        <v>0</v>
      </c>
      <c r="F856" s="64">
        <v>0</v>
      </c>
      <c r="G856" s="64">
        <v>0</v>
      </c>
      <c r="H856" s="64">
        <v>0</v>
      </c>
      <c r="I856" s="64">
        <v>0</v>
      </c>
    </row>
    <row r="857" spans="1:9" s="213" customFormat="1" ht="15.75" customHeight="1">
      <c r="A857" s="325" t="s">
        <v>326</v>
      </c>
      <c r="B857" s="237" t="s">
        <v>29</v>
      </c>
      <c r="C857" s="240">
        <f t="shared" si="233"/>
        <v>10</v>
      </c>
      <c r="D857" s="240">
        <v>10</v>
      </c>
      <c r="E857" s="240">
        <v>0</v>
      </c>
      <c r="F857" s="240">
        <v>0</v>
      </c>
      <c r="G857" s="240">
        <v>0</v>
      </c>
      <c r="H857" s="240">
        <v>0</v>
      </c>
      <c r="I857" s="240">
        <v>0</v>
      </c>
    </row>
    <row r="858" spans="1:9" s="213" customFormat="1">
      <c r="A858" s="504"/>
      <c r="B858" s="226" t="s">
        <v>30</v>
      </c>
      <c r="C858" s="240">
        <f t="shared" si="233"/>
        <v>10</v>
      </c>
      <c r="D858" s="240">
        <v>10</v>
      </c>
      <c r="E858" s="240">
        <v>0</v>
      </c>
      <c r="F858" s="240">
        <v>0</v>
      </c>
      <c r="G858" s="240">
        <v>0</v>
      </c>
      <c r="H858" s="240">
        <v>0</v>
      </c>
      <c r="I858" s="240">
        <v>0</v>
      </c>
    </row>
    <row r="859" spans="1:9" s="213" customFormat="1" ht="16.5" customHeight="1">
      <c r="A859" s="325" t="s">
        <v>327</v>
      </c>
      <c r="B859" s="237" t="s">
        <v>29</v>
      </c>
      <c r="C859" s="240">
        <f t="shared" si="233"/>
        <v>7.5</v>
      </c>
      <c r="D859" s="240">
        <v>7.5</v>
      </c>
      <c r="E859" s="240">
        <v>0</v>
      </c>
      <c r="F859" s="240">
        <v>0</v>
      </c>
      <c r="G859" s="240">
        <v>0</v>
      </c>
      <c r="H859" s="240">
        <v>0</v>
      </c>
      <c r="I859" s="240">
        <v>0</v>
      </c>
    </row>
    <row r="860" spans="1:9" s="249" customFormat="1">
      <c r="A860" s="504"/>
      <c r="B860" s="217" t="s">
        <v>30</v>
      </c>
      <c r="C860" s="203">
        <f t="shared" si="233"/>
        <v>7.5</v>
      </c>
      <c r="D860" s="203">
        <v>7.5</v>
      </c>
      <c r="E860" s="203">
        <v>0</v>
      </c>
      <c r="F860" s="203">
        <v>0</v>
      </c>
      <c r="G860" s="203">
        <v>0</v>
      </c>
      <c r="H860" s="203">
        <v>0</v>
      </c>
      <c r="I860" s="203">
        <v>0</v>
      </c>
    </row>
    <row r="861" spans="1:9" s="213" customFormat="1" ht="16.5" customHeight="1">
      <c r="A861" s="325" t="s">
        <v>328</v>
      </c>
      <c r="B861" s="237" t="s">
        <v>29</v>
      </c>
      <c r="C861" s="240">
        <f t="shared" si="233"/>
        <v>7.53</v>
      </c>
      <c r="D861" s="240">
        <v>7.53</v>
      </c>
      <c r="E861" s="240">
        <v>0</v>
      </c>
      <c r="F861" s="240">
        <v>0</v>
      </c>
      <c r="G861" s="240">
        <v>0</v>
      </c>
      <c r="H861" s="240">
        <v>0</v>
      </c>
      <c r="I861" s="240">
        <v>0</v>
      </c>
    </row>
    <row r="862" spans="1:9" s="213" customFormat="1">
      <c r="A862" s="504"/>
      <c r="B862" s="226" t="s">
        <v>30</v>
      </c>
      <c r="C862" s="240">
        <f t="shared" si="233"/>
        <v>7.53</v>
      </c>
      <c r="D862" s="240">
        <v>7.53</v>
      </c>
      <c r="E862" s="240">
        <v>0</v>
      </c>
      <c r="F862" s="240">
        <v>0</v>
      </c>
      <c r="G862" s="240">
        <v>0</v>
      </c>
      <c r="H862" s="240">
        <v>0</v>
      </c>
      <c r="I862" s="240">
        <v>0</v>
      </c>
    </row>
    <row r="863" spans="1:9" s="213" customFormat="1" ht="16.5" customHeight="1">
      <c r="A863" s="325" t="s">
        <v>329</v>
      </c>
      <c r="B863" s="237" t="s">
        <v>29</v>
      </c>
      <c r="C863" s="240">
        <f t="shared" si="233"/>
        <v>5</v>
      </c>
      <c r="D863" s="240">
        <v>5</v>
      </c>
      <c r="E863" s="64">
        <v>0</v>
      </c>
      <c r="F863" s="240">
        <v>0</v>
      </c>
      <c r="G863" s="240">
        <v>0</v>
      </c>
      <c r="H863" s="240">
        <v>0</v>
      </c>
      <c r="I863" s="240">
        <v>0</v>
      </c>
    </row>
    <row r="864" spans="1:9" s="20" customFormat="1">
      <c r="A864" s="504"/>
      <c r="B864" s="62" t="s">
        <v>30</v>
      </c>
      <c r="C864" s="64">
        <f t="shared" si="233"/>
        <v>5</v>
      </c>
      <c r="D864" s="64">
        <v>5</v>
      </c>
      <c r="E864" s="64">
        <v>0</v>
      </c>
      <c r="F864" s="64">
        <v>0</v>
      </c>
      <c r="G864" s="64">
        <v>0</v>
      </c>
      <c r="H864" s="64">
        <v>0</v>
      </c>
      <c r="I864" s="64">
        <v>0</v>
      </c>
    </row>
    <row r="865" spans="1:9" s="213" customFormat="1" ht="16.5" customHeight="1">
      <c r="A865" s="325" t="s">
        <v>330</v>
      </c>
      <c r="B865" s="237" t="s">
        <v>29</v>
      </c>
      <c r="C865" s="240">
        <f t="shared" si="233"/>
        <v>9.6199999999999992</v>
      </c>
      <c r="D865" s="240">
        <v>9.6199999999999992</v>
      </c>
      <c r="E865" s="240">
        <v>0</v>
      </c>
      <c r="F865" s="240">
        <v>0</v>
      </c>
      <c r="G865" s="240">
        <v>0</v>
      </c>
      <c r="H865" s="240">
        <v>0</v>
      </c>
      <c r="I865" s="240">
        <v>0</v>
      </c>
    </row>
    <row r="866" spans="1:9" s="213" customFormat="1">
      <c r="A866" s="504"/>
      <c r="B866" s="226" t="s">
        <v>30</v>
      </c>
      <c r="C866" s="240">
        <f t="shared" si="233"/>
        <v>9.6199999999999992</v>
      </c>
      <c r="D866" s="240">
        <v>9.6199999999999992</v>
      </c>
      <c r="E866" s="240">
        <v>0</v>
      </c>
      <c r="F866" s="240">
        <v>0</v>
      </c>
      <c r="G866" s="240">
        <v>0</v>
      </c>
      <c r="H866" s="240">
        <v>0</v>
      </c>
      <c r="I866" s="240">
        <v>0</v>
      </c>
    </row>
    <row r="867" spans="1:9" s="213" customFormat="1" ht="16.5" customHeight="1">
      <c r="A867" s="325" t="s">
        <v>331</v>
      </c>
      <c r="B867" s="237" t="s">
        <v>29</v>
      </c>
      <c r="C867" s="240">
        <f t="shared" si="233"/>
        <v>22.15</v>
      </c>
      <c r="D867" s="240">
        <v>22.15</v>
      </c>
      <c r="E867" s="240">
        <v>0</v>
      </c>
      <c r="F867" s="240">
        <v>0</v>
      </c>
      <c r="G867" s="240">
        <v>0</v>
      </c>
      <c r="H867" s="240">
        <v>0</v>
      </c>
      <c r="I867" s="240">
        <v>0</v>
      </c>
    </row>
    <row r="868" spans="1:9" s="213" customFormat="1">
      <c r="A868" s="504"/>
      <c r="B868" s="226" t="s">
        <v>30</v>
      </c>
      <c r="C868" s="240">
        <f t="shared" si="233"/>
        <v>22.15</v>
      </c>
      <c r="D868" s="240">
        <v>22.15</v>
      </c>
      <c r="E868" s="240">
        <v>0</v>
      </c>
      <c r="F868" s="240">
        <v>0</v>
      </c>
      <c r="G868" s="240">
        <v>0</v>
      </c>
      <c r="H868" s="240">
        <v>0</v>
      </c>
      <c r="I868" s="240">
        <v>0</v>
      </c>
    </row>
    <row r="869" spans="1:9" s="213" customFormat="1" ht="15.75" customHeight="1">
      <c r="A869" s="325" t="s">
        <v>332</v>
      </c>
      <c r="B869" s="237" t="s">
        <v>29</v>
      </c>
      <c r="C869" s="240">
        <f t="shared" si="233"/>
        <v>30.49</v>
      </c>
      <c r="D869" s="240">
        <v>30.49</v>
      </c>
      <c r="E869" s="64">
        <v>0</v>
      </c>
      <c r="F869" s="240">
        <v>0</v>
      </c>
      <c r="G869" s="240">
        <v>0</v>
      </c>
      <c r="H869" s="240">
        <v>0</v>
      </c>
      <c r="I869" s="240">
        <v>0</v>
      </c>
    </row>
    <row r="870" spans="1:9" s="20" customFormat="1">
      <c r="A870" s="504"/>
      <c r="B870" s="62" t="s">
        <v>30</v>
      </c>
      <c r="C870" s="64">
        <f t="shared" si="233"/>
        <v>30.49</v>
      </c>
      <c r="D870" s="64">
        <v>30.49</v>
      </c>
      <c r="E870" s="64">
        <v>0</v>
      </c>
      <c r="F870" s="64">
        <v>0</v>
      </c>
      <c r="G870" s="64">
        <v>0</v>
      </c>
      <c r="H870" s="64">
        <v>0</v>
      </c>
      <c r="I870" s="64">
        <v>0</v>
      </c>
    </row>
    <row r="871" spans="1:9" s="213" customFormat="1" ht="15.75" customHeight="1">
      <c r="A871" s="473" t="s">
        <v>333</v>
      </c>
      <c r="B871" s="237" t="s">
        <v>29</v>
      </c>
      <c r="C871" s="240">
        <f t="shared" si="233"/>
        <v>3</v>
      </c>
      <c r="D871" s="240">
        <v>3</v>
      </c>
      <c r="E871" s="240">
        <v>0</v>
      </c>
      <c r="F871" s="240">
        <v>0</v>
      </c>
      <c r="G871" s="240">
        <v>0</v>
      </c>
      <c r="H871" s="240">
        <v>0</v>
      </c>
      <c r="I871" s="240">
        <v>0</v>
      </c>
    </row>
    <row r="872" spans="1:9" s="27" customFormat="1">
      <c r="A872" s="504"/>
      <c r="B872" s="26" t="s">
        <v>30</v>
      </c>
      <c r="C872" s="72">
        <f t="shared" si="233"/>
        <v>3</v>
      </c>
      <c r="D872" s="72">
        <v>3</v>
      </c>
      <c r="E872" s="72">
        <v>0</v>
      </c>
      <c r="F872" s="72">
        <v>0</v>
      </c>
      <c r="G872" s="72">
        <v>0</v>
      </c>
      <c r="H872" s="72">
        <v>0</v>
      </c>
      <c r="I872" s="72">
        <v>0</v>
      </c>
    </row>
    <row r="873" spans="1:9" s="213" customFormat="1" ht="15.75" customHeight="1">
      <c r="A873" s="325" t="s">
        <v>334</v>
      </c>
      <c r="B873" s="237" t="s">
        <v>29</v>
      </c>
      <c r="C873" s="240">
        <f t="shared" si="233"/>
        <v>30</v>
      </c>
      <c r="D873" s="240">
        <v>30</v>
      </c>
      <c r="E873" s="240">
        <v>0</v>
      </c>
      <c r="F873" s="240">
        <v>0</v>
      </c>
      <c r="G873" s="240">
        <v>0</v>
      </c>
      <c r="H873" s="240">
        <v>0</v>
      </c>
      <c r="I873" s="240">
        <v>0</v>
      </c>
    </row>
    <row r="874" spans="1:9" s="20" customFormat="1">
      <c r="A874" s="504"/>
      <c r="B874" s="62" t="s">
        <v>30</v>
      </c>
      <c r="C874" s="64">
        <f t="shared" si="233"/>
        <v>30</v>
      </c>
      <c r="D874" s="64">
        <v>30</v>
      </c>
      <c r="E874" s="64">
        <v>0</v>
      </c>
      <c r="F874" s="64">
        <v>0</v>
      </c>
      <c r="G874" s="64">
        <v>0</v>
      </c>
      <c r="H874" s="64">
        <v>0</v>
      </c>
      <c r="I874" s="64">
        <v>0</v>
      </c>
    </row>
    <row r="875" spans="1:9" s="213" customFormat="1" ht="15.75" customHeight="1">
      <c r="A875" s="325" t="s">
        <v>335</v>
      </c>
      <c r="B875" s="237" t="s">
        <v>29</v>
      </c>
      <c r="C875" s="240">
        <f t="shared" si="233"/>
        <v>28</v>
      </c>
      <c r="D875" s="240">
        <v>28</v>
      </c>
      <c r="E875" s="240">
        <v>0</v>
      </c>
      <c r="F875" s="240">
        <v>0</v>
      </c>
      <c r="G875" s="240">
        <v>0</v>
      </c>
      <c r="H875" s="240">
        <v>0</v>
      </c>
      <c r="I875" s="240">
        <v>0</v>
      </c>
    </row>
    <row r="876" spans="1:9" s="20" customFormat="1">
      <c r="A876" s="504"/>
      <c r="B876" s="62" t="s">
        <v>30</v>
      </c>
      <c r="C876" s="64">
        <f t="shared" si="233"/>
        <v>28</v>
      </c>
      <c r="D876" s="64">
        <v>28</v>
      </c>
      <c r="E876" s="64">
        <v>0</v>
      </c>
      <c r="F876" s="64">
        <v>0</v>
      </c>
      <c r="G876" s="64">
        <v>0</v>
      </c>
      <c r="H876" s="64">
        <v>0</v>
      </c>
      <c r="I876" s="64">
        <v>0</v>
      </c>
    </row>
    <row r="877" spans="1:9" s="213" customFormat="1" ht="15.75" customHeight="1">
      <c r="A877" s="325" t="s">
        <v>336</v>
      </c>
      <c r="B877" s="237" t="s">
        <v>29</v>
      </c>
      <c r="C877" s="240">
        <f t="shared" si="233"/>
        <v>36</v>
      </c>
      <c r="D877" s="240">
        <v>36</v>
      </c>
      <c r="E877" s="240">
        <v>0</v>
      </c>
      <c r="F877" s="240">
        <v>0</v>
      </c>
      <c r="G877" s="240">
        <v>0</v>
      </c>
      <c r="H877" s="240">
        <v>0</v>
      </c>
      <c r="I877" s="240">
        <v>0</v>
      </c>
    </row>
    <row r="878" spans="1:9" s="20" customFormat="1">
      <c r="A878" s="504"/>
      <c r="B878" s="62" t="s">
        <v>30</v>
      </c>
      <c r="C878" s="64">
        <f t="shared" si="233"/>
        <v>36</v>
      </c>
      <c r="D878" s="64">
        <v>36</v>
      </c>
      <c r="E878" s="64">
        <v>0</v>
      </c>
      <c r="F878" s="64">
        <v>0</v>
      </c>
      <c r="G878" s="64">
        <v>0</v>
      </c>
      <c r="H878" s="64">
        <v>0</v>
      </c>
      <c r="I878" s="64">
        <v>0</v>
      </c>
    </row>
    <row r="879" spans="1:9" s="213" customFormat="1" ht="15.75" customHeight="1">
      <c r="A879" s="473" t="s">
        <v>337</v>
      </c>
      <c r="B879" s="237" t="s">
        <v>29</v>
      </c>
      <c r="C879" s="240">
        <f t="shared" si="233"/>
        <v>19</v>
      </c>
      <c r="D879" s="240">
        <v>19</v>
      </c>
      <c r="E879" s="240">
        <v>0</v>
      </c>
      <c r="F879" s="240">
        <v>0</v>
      </c>
      <c r="G879" s="240">
        <v>0</v>
      </c>
      <c r="H879" s="240">
        <v>0</v>
      </c>
      <c r="I879" s="240">
        <v>0</v>
      </c>
    </row>
    <row r="880" spans="1:9" s="20" customFormat="1">
      <c r="A880" s="504"/>
      <c r="B880" s="62" t="s">
        <v>30</v>
      </c>
      <c r="C880" s="64">
        <f t="shared" si="233"/>
        <v>19</v>
      </c>
      <c r="D880" s="64">
        <v>19</v>
      </c>
      <c r="E880" s="64">
        <v>0</v>
      </c>
      <c r="F880" s="64">
        <v>0</v>
      </c>
      <c r="G880" s="64">
        <v>0</v>
      </c>
      <c r="H880" s="64">
        <v>0</v>
      </c>
      <c r="I880" s="64">
        <v>0</v>
      </c>
    </row>
    <row r="881" spans="1:9" s="213" customFormat="1" ht="15.75" customHeight="1">
      <c r="A881" s="325" t="s">
        <v>338</v>
      </c>
      <c r="B881" s="237" t="s">
        <v>29</v>
      </c>
      <c r="C881" s="240">
        <f t="shared" si="233"/>
        <v>5592</v>
      </c>
      <c r="D881" s="240">
        <v>5592</v>
      </c>
      <c r="E881" s="64">
        <v>0</v>
      </c>
      <c r="F881" s="240">
        <v>0</v>
      </c>
      <c r="G881" s="240">
        <v>0</v>
      </c>
      <c r="H881" s="240">
        <v>0</v>
      </c>
      <c r="I881" s="240">
        <v>0</v>
      </c>
    </row>
    <row r="882" spans="1:9" s="20" customFormat="1">
      <c r="A882" s="504"/>
      <c r="B882" s="62" t="s">
        <v>30</v>
      </c>
      <c r="C882" s="64">
        <f t="shared" si="233"/>
        <v>5592</v>
      </c>
      <c r="D882" s="64">
        <v>5592</v>
      </c>
      <c r="E882" s="64">
        <v>0</v>
      </c>
      <c r="F882" s="64">
        <v>0</v>
      </c>
      <c r="G882" s="64">
        <v>0</v>
      </c>
      <c r="H882" s="64">
        <v>0</v>
      </c>
      <c r="I882" s="64">
        <v>0</v>
      </c>
    </row>
    <row r="883" spans="1:9" s="213" customFormat="1" ht="15.75" customHeight="1">
      <c r="A883" s="473" t="s">
        <v>339</v>
      </c>
      <c r="B883" s="237" t="s">
        <v>29</v>
      </c>
      <c r="C883" s="240">
        <f t="shared" si="233"/>
        <v>400</v>
      </c>
      <c r="D883" s="240">
        <v>400</v>
      </c>
      <c r="E883" s="240">
        <v>0</v>
      </c>
      <c r="F883" s="240">
        <v>0</v>
      </c>
      <c r="G883" s="240">
        <v>0</v>
      </c>
      <c r="H883" s="240">
        <v>0</v>
      </c>
      <c r="I883" s="240">
        <v>0</v>
      </c>
    </row>
    <row r="884" spans="1:9" s="20" customFormat="1">
      <c r="A884" s="504"/>
      <c r="B884" s="62" t="s">
        <v>30</v>
      </c>
      <c r="C884" s="64">
        <f t="shared" si="233"/>
        <v>400</v>
      </c>
      <c r="D884" s="64">
        <v>400</v>
      </c>
      <c r="E884" s="64">
        <v>0</v>
      </c>
      <c r="F884" s="64">
        <v>0</v>
      </c>
      <c r="G884" s="64">
        <v>0</v>
      </c>
      <c r="H884" s="64">
        <v>0</v>
      </c>
      <c r="I884" s="64">
        <v>0</v>
      </c>
    </row>
    <row r="885" spans="1:9" s="213" customFormat="1" ht="15.75" customHeight="1">
      <c r="A885" s="473" t="s">
        <v>340</v>
      </c>
      <c r="B885" s="237" t="s">
        <v>29</v>
      </c>
      <c r="C885" s="240">
        <f t="shared" si="233"/>
        <v>63.35</v>
      </c>
      <c r="D885" s="240">
        <v>63.35</v>
      </c>
      <c r="E885" s="64">
        <v>0</v>
      </c>
      <c r="F885" s="240">
        <v>0</v>
      </c>
      <c r="G885" s="240">
        <v>0</v>
      </c>
      <c r="H885" s="240">
        <v>0</v>
      </c>
      <c r="I885" s="240">
        <v>0</v>
      </c>
    </row>
    <row r="886" spans="1:9" s="20" customFormat="1">
      <c r="A886" s="504"/>
      <c r="B886" s="62" t="s">
        <v>30</v>
      </c>
      <c r="C886" s="64">
        <f t="shared" si="233"/>
        <v>63.35</v>
      </c>
      <c r="D886" s="64">
        <v>63.35</v>
      </c>
      <c r="E886" s="64">
        <v>0</v>
      </c>
      <c r="F886" s="64">
        <v>0</v>
      </c>
      <c r="G886" s="64">
        <v>0</v>
      </c>
      <c r="H886" s="64">
        <v>0</v>
      </c>
      <c r="I886" s="64">
        <v>0</v>
      </c>
    </row>
    <row r="887" spans="1:9" s="213" customFormat="1" ht="13.5" customHeight="1">
      <c r="A887" s="325" t="s">
        <v>341</v>
      </c>
      <c r="B887" s="237" t="s">
        <v>29</v>
      </c>
      <c r="C887" s="240">
        <f t="shared" si="233"/>
        <v>6.78</v>
      </c>
      <c r="D887" s="240">
        <v>6.78</v>
      </c>
      <c r="E887" s="64">
        <v>0</v>
      </c>
      <c r="F887" s="240">
        <v>0</v>
      </c>
      <c r="G887" s="240">
        <v>0</v>
      </c>
      <c r="H887" s="240">
        <v>0</v>
      </c>
      <c r="I887" s="240">
        <v>0</v>
      </c>
    </row>
    <row r="888" spans="1:9" s="27" customFormat="1">
      <c r="A888" s="504"/>
      <c r="B888" s="26" t="s">
        <v>30</v>
      </c>
      <c r="C888" s="72">
        <f t="shared" si="233"/>
        <v>6.78</v>
      </c>
      <c r="D888" s="72">
        <v>6.78</v>
      </c>
      <c r="E888" s="72">
        <v>0</v>
      </c>
      <c r="F888" s="72">
        <v>0</v>
      </c>
      <c r="G888" s="72">
        <v>0</v>
      </c>
      <c r="H888" s="72">
        <v>0</v>
      </c>
      <c r="I888" s="72">
        <v>0</v>
      </c>
    </row>
    <row r="889" spans="1:9" s="213" customFormat="1" ht="14.25" customHeight="1">
      <c r="A889" s="325" t="s">
        <v>342</v>
      </c>
      <c r="B889" s="237" t="s">
        <v>29</v>
      </c>
      <c r="C889" s="240">
        <f t="shared" si="233"/>
        <v>3.53</v>
      </c>
      <c r="D889" s="240">
        <v>3.53</v>
      </c>
      <c r="E889" s="64">
        <v>0</v>
      </c>
      <c r="F889" s="240">
        <v>0</v>
      </c>
      <c r="G889" s="240">
        <v>0</v>
      </c>
      <c r="H889" s="240">
        <v>0</v>
      </c>
      <c r="I889" s="240">
        <v>0</v>
      </c>
    </row>
    <row r="890" spans="1:9" s="20" customFormat="1">
      <c r="A890" s="504"/>
      <c r="B890" s="62" t="s">
        <v>30</v>
      </c>
      <c r="C890" s="64">
        <f t="shared" si="233"/>
        <v>3.53</v>
      </c>
      <c r="D890" s="64">
        <v>3.53</v>
      </c>
      <c r="E890" s="64">
        <v>0</v>
      </c>
      <c r="F890" s="64">
        <v>0</v>
      </c>
      <c r="G890" s="64">
        <v>0</v>
      </c>
      <c r="H890" s="64">
        <v>0</v>
      </c>
      <c r="I890" s="64">
        <v>0</v>
      </c>
    </row>
    <row r="891" spans="1:9" s="213" customFormat="1" ht="14.25" customHeight="1">
      <c r="A891" s="325" t="s">
        <v>343</v>
      </c>
      <c r="B891" s="237" t="s">
        <v>29</v>
      </c>
      <c r="C891" s="240">
        <f t="shared" si="233"/>
        <v>5</v>
      </c>
      <c r="D891" s="240">
        <v>5</v>
      </c>
      <c r="E891" s="64">
        <v>0</v>
      </c>
      <c r="F891" s="240">
        <v>0</v>
      </c>
      <c r="G891" s="240">
        <v>0</v>
      </c>
      <c r="H891" s="240">
        <v>0</v>
      </c>
      <c r="I891" s="240">
        <v>0</v>
      </c>
    </row>
    <row r="892" spans="1:9" s="20" customFormat="1">
      <c r="A892" s="504"/>
      <c r="B892" s="62" t="s">
        <v>30</v>
      </c>
      <c r="C892" s="64">
        <f t="shared" si="233"/>
        <v>5</v>
      </c>
      <c r="D892" s="64">
        <v>5</v>
      </c>
      <c r="E892" s="64">
        <v>0</v>
      </c>
      <c r="F892" s="64">
        <v>0</v>
      </c>
      <c r="G892" s="64">
        <v>0</v>
      </c>
      <c r="H892" s="64">
        <v>0</v>
      </c>
      <c r="I892" s="64">
        <v>0</v>
      </c>
    </row>
    <row r="893" spans="1:9" s="213" customFormat="1" ht="14.25" customHeight="1">
      <c r="A893" s="325" t="s">
        <v>344</v>
      </c>
      <c r="B893" s="237" t="s">
        <v>29</v>
      </c>
      <c r="C893" s="240">
        <f t="shared" si="233"/>
        <v>17</v>
      </c>
      <c r="D893" s="240">
        <v>17</v>
      </c>
      <c r="E893" s="64">
        <v>0</v>
      </c>
      <c r="F893" s="240">
        <v>0</v>
      </c>
      <c r="G893" s="240">
        <v>0</v>
      </c>
      <c r="H893" s="240">
        <v>0</v>
      </c>
      <c r="I893" s="240">
        <v>0</v>
      </c>
    </row>
    <row r="894" spans="1:9" s="20" customFormat="1">
      <c r="A894" s="504"/>
      <c r="B894" s="62" t="s">
        <v>30</v>
      </c>
      <c r="C894" s="64">
        <f t="shared" si="233"/>
        <v>17</v>
      </c>
      <c r="D894" s="64">
        <v>17</v>
      </c>
      <c r="E894" s="64">
        <v>0</v>
      </c>
      <c r="F894" s="64">
        <v>0</v>
      </c>
      <c r="G894" s="64">
        <v>0</v>
      </c>
      <c r="H894" s="64">
        <v>0</v>
      </c>
      <c r="I894" s="64">
        <v>0</v>
      </c>
    </row>
    <row r="895" spans="1:9" s="213" customFormat="1" ht="30.75" customHeight="1">
      <c r="A895" s="473" t="s">
        <v>345</v>
      </c>
      <c r="B895" s="237" t="s">
        <v>29</v>
      </c>
      <c r="C895" s="240">
        <f t="shared" si="233"/>
        <v>3</v>
      </c>
      <c r="D895" s="240">
        <v>3</v>
      </c>
      <c r="E895" s="64">
        <v>0</v>
      </c>
      <c r="F895" s="240">
        <v>0</v>
      </c>
      <c r="G895" s="240">
        <v>0</v>
      </c>
      <c r="H895" s="240">
        <v>0</v>
      </c>
      <c r="I895" s="240">
        <v>0</v>
      </c>
    </row>
    <row r="896" spans="1:9" s="27" customFormat="1">
      <c r="A896" s="504"/>
      <c r="B896" s="26" t="s">
        <v>30</v>
      </c>
      <c r="C896" s="72">
        <f t="shared" si="233"/>
        <v>3</v>
      </c>
      <c r="D896" s="72">
        <v>3</v>
      </c>
      <c r="E896" s="72">
        <v>0</v>
      </c>
      <c r="F896" s="72">
        <v>0</v>
      </c>
      <c r="G896" s="72">
        <v>0</v>
      </c>
      <c r="H896" s="72">
        <v>0</v>
      </c>
      <c r="I896" s="72">
        <v>0</v>
      </c>
    </row>
    <row r="897" spans="1:9" s="213" customFormat="1" ht="14.25" customHeight="1">
      <c r="A897" s="473" t="s">
        <v>346</v>
      </c>
      <c r="B897" s="237" t="s">
        <v>29</v>
      </c>
      <c r="C897" s="240">
        <f t="shared" si="233"/>
        <v>4</v>
      </c>
      <c r="D897" s="240">
        <v>4</v>
      </c>
      <c r="E897" s="64">
        <v>0</v>
      </c>
      <c r="F897" s="240">
        <v>0</v>
      </c>
      <c r="G897" s="240">
        <v>0</v>
      </c>
      <c r="H897" s="240">
        <v>0</v>
      </c>
      <c r="I897" s="240">
        <v>0</v>
      </c>
    </row>
    <row r="898" spans="1:9" s="20" customFormat="1" ht="14.1">
      <c r="A898" s="393"/>
      <c r="B898" s="62" t="s">
        <v>30</v>
      </c>
      <c r="C898" s="64">
        <f t="shared" si="233"/>
        <v>4</v>
      </c>
      <c r="D898" s="64">
        <v>4</v>
      </c>
      <c r="E898" s="64">
        <v>0</v>
      </c>
      <c r="F898" s="64">
        <v>0</v>
      </c>
      <c r="G898" s="64">
        <v>0</v>
      </c>
      <c r="H898" s="64">
        <v>0</v>
      </c>
      <c r="I898" s="64">
        <v>0</v>
      </c>
    </row>
    <row r="899" spans="1:9" s="213" customFormat="1" ht="14.25" customHeight="1">
      <c r="A899" s="362" t="s">
        <v>347</v>
      </c>
      <c r="B899" s="237" t="s">
        <v>29</v>
      </c>
      <c r="C899" s="240">
        <f t="shared" si="233"/>
        <v>18</v>
      </c>
      <c r="D899" s="240">
        <v>18</v>
      </c>
      <c r="E899" s="64">
        <v>0</v>
      </c>
      <c r="F899" s="240">
        <v>0</v>
      </c>
      <c r="G899" s="240">
        <v>0</v>
      </c>
      <c r="H899" s="240">
        <v>0</v>
      </c>
      <c r="I899" s="240">
        <v>0</v>
      </c>
    </row>
    <row r="900" spans="1:9" s="20" customFormat="1" ht="14.1">
      <c r="A900" s="393"/>
      <c r="B900" s="62" t="s">
        <v>30</v>
      </c>
      <c r="C900" s="64">
        <f t="shared" si="233"/>
        <v>18</v>
      </c>
      <c r="D900" s="64">
        <v>18</v>
      </c>
      <c r="E900" s="64">
        <v>0</v>
      </c>
      <c r="F900" s="64">
        <v>0</v>
      </c>
      <c r="G900" s="64">
        <v>0</v>
      </c>
      <c r="H900" s="64">
        <v>0</v>
      </c>
      <c r="I900" s="64">
        <v>0</v>
      </c>
    </row>
    <row r="901" spans="1:9" s="213" customFormat="1" ht="14.25" customHeight="1">
      <c r="A901" s="362" t="s">
        <v>348</v>
      </c>
      <c r="B901" s="237" t="s">
        <v>29</v>
      </c>
      <c r="C901" s="240">
        <f t="shared" si="233"/>
        <v>18</v>
      </c>
      <c r="D901" s="240">
        <v>18</v>
      </c>
      <c r="E901" s="64">
        <v>0</v>
      </c>
      <c r="F901" s="240">
        <v>0</v>
      </c>
      <c r="G901" s="240">
        <v>0</v>
      </c>
      <c r="H901" s="240">
        <v>0</v>
      </c>
      <c r="I901" s="240">
        <v>0</v>
      </c>
    </row>
    <row r="902" spans="1:9" s="27" customFormat="1" ht="14.1">
      <c r="A902" s="283"/>
      <c r="B902" s="26" t="s">
        <v>30</v>
      </c>
      <c r="C902" s="72">
        <f t="shared" si="233"/>
        <v>18</v>
      </c>
      <c r="D902" s="72">
        <v>18</v>
      </c>
      <c r="E902" s="72">
        <v>0</v>
      </c>
      <c r="F902" s="72">
        <v>0</v>
      </c>
      <c r="G902" s="72">
        <v>0</v>
      </c>
      <c r="H902" s="72">
        <v>0</v>
      </c>
      <c r="I902" s="72">
        <v>0</v>
      </c>
    </row>
    <row r="903" spans="1:9" s="213" customFormat="1" ht="14.25" customHeight="1">
      <c r="A903" s="362" t="s">
        <v>349</v>
      </c>
      <c r="B903" s="237" t="s">
        <v>29</v>
      </c>
      <c r="C903" s="240">
        <f t="shared" si="233"/>
        <v>83</v>
      </c>
      <c r="D903" s="240">
        <v>83</v>
      </c>
      <c r="E903" s="64">
        <v>0</v>
      </c>
      <c r="F903" s="240">
        <v>0</v>
      </c>
      <c r="G903" s="240">
        <v>0</v>
      </c>
      <c r="H903" s="240">
        <v>0</v>
      </c>
      <c r="I903" s="240">
        <v>0</v>
      </c>
    </row>
    <row r="904" spans="1:9" s="20" customFormat="1" ht="14.1">
      <c r="A904" s="393"/>
      <c r="B904" s="62" t="s">
        <v>30</v>
      </c>
      <c r="C904" s="64">
        <f t="shared" si="233"/>
        <v>83</v>
      </c>
      <c r="D904" s="64">
        <v>83</v>
      </c>
      <c r="E904" s="64">
        <v>0</v>
      </c>
      <c r="F904" s="64">
        <v>0</v>
      </c>
      <c r="G904" s="64">
        <v>0</v>
      </c>
      <c r="H904" s="64">
        <v>0</v>
      </c>
      <c r="I904" s="64">
        <v>0</v>
      </c>
    </row>
    <row r="905" spans="1:9" s="213" customFormat="1" ht="14.25" customHeight="1">
      <c r="A905" s="362" t="s">
        <v>350</v>
      </c>
      <c r="B905" s="237" t="s">
        <v>29</v>
      </c>
      <c r="C905" s="240">
        <f t="shared" si="233"/>
        <v>91</v>
      </c>
      <c r="D905" s="240">
        <v>91</v>
      </c>
      <c r="E905" s="64">
        <v>0</v>
      </c>
      <c r="F905" s="240">
        <v>0</v>
      </c>
      <c r="G905" s="240">
        <v>0</v>
      </c>
      <c r="H905" s="240">
        <v>0</v>
      </c>
      <c r="I905" s="240">
        <v>0</v>
      </c>
    </row>
    <row r="906" spans="1:9" s="27" customFormat="1" ht="14.1">
      <c r="A906" s="283"/>
      <c r="B906" s="26" t="s">
        <v>30</v>
      </c>
      <c r="C906" s="72">
        <f t="shared" si="233"/>
        <v>91</v>
      </c>
      <c r="D906" s="72">
        <v>91</v>
      </c>
      <c r="E906" s="72">
        <v>0</v>
      </c>
      <c r="F906" s="72">
        <v>0</v>
      </c>
      <c r="G906" s="72">
        <v>0</v>
      </c>
      <c r="H906" s="72">
        <v>0</v>
      </c>
      <c r="I906" s="72">
        <v>0</v>
      </c>
    </row>
    <row r="907" spans="1:9" s="213" customFormat="1" ht="14.25" customHeight="1">
      <c r="A907" s="362" t="s">
        <v>351</v>
      </c>
      <c r="B907" s="237" t="s">
        <v>29</v>
      </c>
      <c r="C907" s="240">
        <f t="shared" si="233"/>
        <v>72</v>
      </c>
      <c r="D907" s="240">
        <v>0</v>
      </c>
      <c r="E907" s="240">
        <v>72</v>
      </c>
      <c r="F907" s="240">
        <v>0</v>
      </c>
      <c r="G907" s="240">
        <v>0</v>
      </c>
      <c r="H907" s="240">
        <v>0</v>
      </c>
      <c r="I907" s="240">
        <v>0</v>
      </c>
    </row>
    <row r="908" spans="1:9" s="213" customFormat="1" ht="14.1">
      <c r="A908" s="393"/>
      <c r="B908" s="226" t="s">
        <v>30</v>
      </c>
      <c r="C908" s="240">
        <f t="shared" si="233"/>
        <v>72</v>
      </c>
      <c r="D908" s="240">
        <v>0</v>
      </c>
      <c r="E908" s="240">
        <v>72</v>
      </c>
      <c r="F908" s="240">
        <v>0</v>
      </c>
      <c r="G908" s="240">
        <v>0</v>
      </c>
      <c r="H908" s="240">
        <v>0</v>
      </c>
      <c r="I908" s="240">
        <v>0</v>
      </c>
    </row>
    <row r="909" spans="1:9" s="213" customFormat="1" ht="14.25" customHeight="1">
      <c r="A909" s="362" t="s">
        <v>352</v>
      </c>
      <c r="B909" s="237" t="s">
        <v>29</v>
      </c>
      <c r="C909" s="240">
        <f t="shared" si="233"/>
        <v>175</v>
      </c>
      <c r="D909" s="240">
        <v>0</v>
      </c>
      <c r="E909" s="240">
        <v>175</v>
      </c>
      <c r="F909" s="240">
        <v>0</v>
      </c>
      <c r="G909" s="240">
        <v>0</v>
      </c>
      <c r="H909" s="240">
        <v>0</v>
      </c>
      <c r="I909" s="240">
        <v>0</v>
      </c>
    </row>
    <row r="910" spans="1:9" s="213" customFormat="1" ht="14.1">
      <c r="A910" s="393"/>
      <c r="B910" s="226" t="s">
        <v>30</v>
      </c>
      <c r="C910" s="240">
        <f t="shared" si="233"/>
        <v>175</v>
      </c>
      <c r="D910" s="240">
        <v>0</v>
      </c>
      <c r="E910" s="240">
        <v>175</v>
      </c>
      <c r="F910" s="240">
        <v>0</v>
      </c>
      <c r="G910" s="240">
        <v>0</v>
      </c>
      <c r="H910" s="240">
        <v>0</v>
      </c>
      <c r="I910" s="240">
        <v>0</v>
      </c>
    </row>
    <row r="911" spans="1:9" s="213" customFormat="1" ht="14.25" customHeight="1">
      <c r="A911" s="363" t="s">
        <v>353</v>
      </c>
      <c r="B911" s="237" t="s">
        <v>29</v>
      </c>
      <c r="C911" s="240">
        <f t="shared" si="233"/>
        <v>12</v>
      </c>
      <c r="D911" s="240">
        <v>0</v>
      </c>
      <c r="E911" s="240">
        <v>12</v>
      </c>
      <c r="F911" s="240">
        <v>0</v>
      </c>
      <c r="G911" s="240">
        <v>0</v>
      </c>
      <c r="H911" s="240">
        <v>0</v>
      </c>
      <c r="I911" s="240">
        <v>0</v>
      </c>
    </row>
    <row r="912" spans="1:9" s="213" customFormat="1" ht="14.1">
      <c r="A912" s="393"/>
      <c r="B912" s="226" t="s">
        <v>30</v>
      </c>
      <c r="C912" s="240">
        <f t="shared" si="233"/>
        <v>12</v>
      </c>
      <c r="D912" s="240">
        <v>0</v>
      </c>
      <c r="E912" s="240">
        <v>12</v>
      </c>
      <c r="F912" s="240">
        <v>0</v>
      </c>
      <c r="G912" s="240">
        <v>0</v>
      </c>
      <c r="H912" s="240">
        <v>0</v>
      </c>
      <c r="I912" s="240">
        <v>0</v>
      </c>
    </row>
    <row r="913" spans="1:9" s="213" customFormat="1" ht="14.25" customHeight="1">
      <c r="A913" s="362" t="s">
        <v>354</v>
      </c>
      <c r="B913" s="237" t="s">
        <v>29</v>
      </c>
      <c r="C913" s="240">
        <f t="shared" si="233"/>
        <v>30</v>
      </c>
      <c r="D913" s="240">
        <v>0</v>
      </c>
      <c r="E913" s="240">
        <v>30</v>
      </c>
      <c r="F913" s="240">
        <v>0</v>
      </c>
      <c r="G913" s="240">
        <v>0</v>
      </c>
      <c r="H913" s="240">
        <v>0</v>
      </c>
      <c r="I913" s="240">
        <v>0</v>
      </c>
    </row>
    <row r="914" spans="1:9" s="213" customFormat="1" ht="14.1">
      <c r="A914" s="393"/>
      <c r="B914" s="226" t="s">
        <v>30</v>
      </c>
      <c r="C914" s="240">
        <f t="shared" si="233"/>
        <v>30</v>
      </c>
      <c r="D914" s="240">
        <v>0</v>
      </c>
      <c r="E914" s="240">
        <v>30</v>
      </c>
      <c r="F914" s="240">
        <v>0</v>
      </c>
      <c r="G914" s="240">
        <v>0</v>
      </c>
      <c r="H914" s="240">
        <v>0</v>
      </c>
      <c r="I914" s="240">
        <v>0</v>
      </c>
    </row>
    <row r="915" spans="1:9" s="213" customFormat="1" ht="14.25" customHeight="1">
      <c r="A915" s="362" t="s">
        <v>355</v>
      </c>
      <c r="B915" s="237" t="s">
        <v>29</v>
      </c>
      <c r="C915" s="240">
        <f t="shared" si="233"/>
        <v>67</v>
      </c>
      <c r="D915" s="240">
        <v>0</v>
      </c>
      <c r="E915" s="240">
        <v>67</v>
      </c>
      <c r="F915" s="240">
        <v>0</v>
      </c>
      <c r="G915" s="240">
        <v>0</v>
      </c>
      <c r="H915" s="240">
        <v>0</v>
      </c>
      <c r="I915" s="240">
        <v>0</v>
      </c>
    </row>
    <row r="916" spans="1:9" s="213" customFormat="1" ht="14.1">
      <c r="A916" s="393"/>
      <c r="B916" s="226" t="s">
        <v>30</v>
      </c>
      <c r="C916" s="240">
        <f t="shared" si="233"/>
        <v>67</v>
      </c>
      <c r="D916" s="240">
        <v>0</v>
      </c>
      <c r="E916" s="240">
        <v>67</v>
      </c>
      <c r="F916" s="240">
        <v>0</v>
      </c>
      <c r="G916" s="240">
        <v>0</v>
      </c>
      <c r="H916" s="240">
        <v>0</v>
      </c>
      <c r="I916" s="240">
        <v>0</v>
      </c>
    </row>
    <row r="917" spans="1:9" s="213" customFormat="1" ht="14.25" customHeight="1">
      <c r="A917" s="362" t="s">
        <v>356</v>
      </c>
      <c r="B917" s="237" t="s">
        <v>29</v>
      </c>
      <c r="C917" s="240">
        <f t="shared" si="233"/>
        <v>140</v>
      </c>
      <c r="D917" s="240">
        <v>0</v>
      </c>
      <c r="E917" s="240">
        <v>140</v>
      </c>
      <c r="F917" s="240">
        <v>0</v>
      </c>
      <c r="G917" s="240">
        <v>0</v>
      </c>
      <c r="H917" s="240">
        <v>0</v>
      </c>
      <c r="I917" s="240">
        <v>0</v>
      </c>
    </row>
    <row r="918" spans="1:9" s="213" customFormat="1" ht="14.1">
      <c r="A918" s="393"/>
      <c r="B918" s="226" t="s">
        <v>30</v>
      </c>
      <c r="C918" s="240">
        <f t="shared" si="233"/>
        <v>140</v>
      </c>
      <c r="D918" s="240">
        <v>0</v>
      </c>
      <c r="E918" s="240">
        <v>140</v>
      </c>
      <c r="F918" s="240">
        <v>0</v>
      </c>
      <c r="G918" s="240">
        <v>0</v>
      </c>
      <c r="H918" s="240">
        <v>0</v>
      </c>
      <c r="I918" s="240">
        <v>0</v>
      </c>
    </row>
    <row r="919" spans="1:9" s="213" customFormat="1" ht="14.25" customHeight="1">
      <c r="A919" s="362" t="s">
        <v>357</v>
      </c>
      <c r="B919" s="237" t="s">
        <v>29</v>
      </c>
      <c r="C919" s="240">
        <f t="shared" si="233"/>
        <v>46</v>
      </c>
      <c r="D919" s="240">
        <v>0</v>
      </c>
      <c r="E919" s="240">
        <v>46</v>
      </c>
      <c r="F919" s="240">
        <v>0</v>
      </c>
      <c r="G919" s="240">
        <v>0</v>
      </c>
      <c r="H919" s="240">
        <v>0</v>
      </c>
      <c r="I919" s="240">
        <v>0</v>
      </c>
    </row>
    <row r="920" spans="1:9" s="213" customFormat="1" ht="14.1">
      <c r="A920" s="393"/>
      <c r="B920" s="226" t="s">
        <v>30</v>
      </c>
      <c r="C920" s="240">
        <f t="shared" si="233"/>
        <v>46</v>
      </c>
      <c r="D920" s="240">
        <v>0</v>
      </c>
      <c r="E920" s="240">
        <v>46</v>
      </c>
      <c r="F920" s="240">
        <v>0</v>
      </c>
      <c r="G920" s="240">
        <v>0</v>
      </c>
      <c r="H920" s="240">
        <v>0</v>
      </c>
      <c r="I920" s="240">
        <v>0</v>
      </c>
    </row>
    <row r="921" spans="1:9" s="213" customFormat="1" ht="14.25" customHeight="1">
      <c r="A921" s="363" t="s">
        <v>358</v>
      </c>
      <c r="B921" s="237" t="s">
        <v>29</v>
      </c>
      <c r="C921" s="240">
        <f t="shared" si="233"/>
        <v>37</v>
      </c>
      <c r="D921" s="240">
        <v>0</v>
      </c>
      <c r="E921" s="240">
        <v>37</v>
      </c>
      <c r="F921" s="240">
        <v>0</v>
      </c>
      <c r="G921" s="240">
        <v>0</v>
      </c>
      <c r="H921" s="240">
        <v>0</v>
      </c>
      <c r="I921" s="240">
        <v>0</v>
      </c>
    </row>
    <row r="922" spans="1:9" s="213" customFormat="1" ht="14.1">
      <c r="A922" s="393"/>
      <c r="B922" s="226" t="s">
        <v>30</v>
      </c>
      <c r="C922" s="240">
        <f t="shared" si="233"/>
        <v>37</v>
      </c>
      <c r="D922" s="240">
        <v>0</v>
      </c>
      <c r="E922" s="240">
        <v>37</v>
      </c>
      <c r="F922" s="240">
        <v>0</v>
      </c>
      <c r="G922" s="240">
        <v>0</v>
      </c>
      <c r="H922" s="240">
        <v>0</v>
      </c>
      <c r="I922" s="240">
        <v>0</v>
      </c>
    </row>
    <row r="923" spans="1:9" s="213" customFormat="1" ht="14.25" customHeight="1">
      <c r="A923" s="451" t="s">
        <v>359</v>
      </c>
      <c r="B923" s="237" t="s">
        <v>29</v>
      </c>
      <c r="C923" s="240">
        <f t="shared" si="233"/>
        <v>15</v>
      </c>
      <c r="D923" s="240">
        <v>0</v>
      </c>
      <c r="E923" s="240">
        <v>15</v>
      </c>
      <c r="F923" s="240">
        <v>0</v>
      </c>
      <c r="G923" s="240">
        <v>0</v>
      </c>
      <c r="H923" s="240">
        <v>0</v>
      </c>
      <c r="I923" s="240">
        <v>0</v>
      </c>
    </row>
    <row r="924" spans="1:9" s="27" customFormat="1" ht="14.1">
      <c r="A924" s="283"/>
      <c r="B924" s="26" t="s">
        <v>30</v>
      </c>
      <c r="C924" s="72">
        <f t="shared" si="233"/>
        <v>15</v>
      </c>
      <c r="D924" s="72">
        <v>0</v>
      </c>
      <c r="E924" s="72">
        <v>15</v>
      </c>
      <c r="F924" s="72">
        <v>0</v>
      </c>
      <c r="G924" s="72">
        <v>0</v>
      </c>
      <c r="H924" s="72">
        <v>0</v>
      </c>
      <c r="I924" s="72">
        <v>0</v>
      </c>
    </row>
    <row r="925" spans="1:9" s="213" customFormat="1" ht="14.25" customHeight="1">
      <c r="A925" s="451" t="s">
        <v>360</v>
      </c>
      <c r="B925" s="237" t="s">
        <v>29</v>
      </c>
      <c r="C925" s="240">
        <f t="shared" ref="C925:C926" si="248">D925+E925+F925+G925+H925+I925</f>
        <v>19</v>
      </c>
      <c r="D925" s="240">
        <v>0</v>
      </c>
      <c r="E925" s="240">
        <v>19</v>
      </c>
      <c r="F925" s="240">
        <v>0</v>
      </c>
      <c r="G925" s="240">
        <v>0</v>
      </c>
      <c r="H925" s="240">
        <v>0</v>
      </c>
      <c r="I925" s="240">
        <v>0</v>
      </c>
    </row>
    <row r="926" spans="1:9" s="27" customFormat="1" ht="14.1">
      <c r="A926" s="283"/>
      <c r="B926" s="26" t="s">
        <v>30</v>
      </c>
      <c r="C926" s="72">
        <f t="shared" si="248"/>
        <v>19</v>
      </c>
      <c r="D926" s="72">
        <v>0</v>
      </c>
      <c r="E926" s="72">
        <v>19</v>
      </c>
      <c r="F926" s="72">
        <v>0</v>
      </c>
      <c r="G926" s="72">
        <v>0</v>
      </c>
      <c r="H926" s="72">
        <v>0</v>
      </c>
      <c r="I926" s="72">
        <v>0</v>
      </c>
    </row>
    <row r="927" spans="1:9" s="213" customFormat="1" ht="14.25" customHeight="1">
      <c r="A927" s="451" t="s">
        <v>361</v>
      </c>
      <c r="B927" s="237" t="s">
        <v>29</v>
      </c>
      <c r="C927" s="240">
        <f t="shared" ref="C927:C930" si="249">D927+E927+F927+G927+H927+I927</f>
        <v>200</v>
      </c>
      <c r="D927" s="240">
        <v>0</v>
      </c>
      <c r="E927" s="240">
        <v>200</v>
      </c>
      <c r="F927" s="240">
        <v>0</v>
      </c>
      <c r="G927" s="240">
        <v>0</v>
      </c>
      <c r="H927" s="240">
        <v>0</v>
      </c>
      <c r="I927" s="240">
        <v>0</v>
      </c>
    </row>
    <row r="928" spans="1:9" s="27" customFormat="1" ht="14.1">
      <c r="A928" s="283"/>
      <c r="B928" s="26" t="s">
        <v>30</v>
      </c>
      <c r="C928" s="72">
        <f t="shared" si="249"/>
        <v>200</v>
      </c>
      <c r="D928" s="72">
        <v>0</v>
      </c>
      <c r="E928" s="72">
        <v>200</v>
      </c>
      <c r="F928" s="72">
        <v>0</v>
      </c>
      <c r="G928" s="72">
        <v>0</v>
      </c>
      <c r="H928" s="72">
        <v>0</v>
      </c>
      <c r="I928" s="72">
        <v>0</v>
      </c>
    </row>
    <row r="929" spans="1:9" s="213" customFormat="1" ht="14.25" customHeight="1">
      <c r="A929" s="451" t="s">
        <v>362</v>
      </c>
      <c r="B929" s="237" t="s">
        <v>29</v>
      </c>
      <c r="C929" s="240">
        <f t="shared" si="249"/>
        <v>200</v>
      </c>
      <c r="D929" s="240">
        <v>0</v>
      </c>
      <c r="E929" s="240">
        <v>200</v>
      </c>
      <c r="F929" s="240">
        <v>0</v>
      </c>
      <c r="G929" s="240">
        <v>0</v>
      </c>
      <c r="H929" s="240">
        <v>0</v>
      </c>
      <c r="I929" s="240">
        <v>0</v>
      </c>
    </row>
    <row r="930" spans="1:9" s="27" customFormat="1" ht="14.1">
      <c r="A930" s="283"/>
      <c r="B930" s="26" t="s">
        <v>30</v>
      </c>
      <c r="C930" s="72">
        <f t="shared" si="249"/>
        <v>200</v>
      </c>
      <c r="D930" s="72">
        <v>0</v>
      </c>
      <c r="E930" s="72">
        <v>200</v>
      </c>
      <c r="F930" s="72">
        <v>0</v>
      </c>
      <c r="G930" s="72">
        <v>0</v>
      </c>
      <c r="H930" s="72">
        <v>0</v>
      </c>
      <c r="I930" s="72">
        <v>0</v>
      </c>
    </row>
    <row r="931" spans="1:9" s="213" customFormat="1" ht="14.25" customHeight="1">
      <c r="A931" s="451" t="s">
        <v>363</v>
      </c>
      <c r="B931" s="237" t="s">
        <v>29</v>
      </c>
      <c r="C931" s="240">
        <f t="shared" ref="C931:C934" si="250">D931+E931+F931+G931+H931+I931</f>
        <v>25</v>
      </c>
      <c r="D931" s="240">
        <v>0</v>
      </c>
      <c r="E931" s="240">
        <v>25</v>
      </c>
      <c r="F931" s="240">
        <v>0</v>
      </c>
      <c r="G931" s="240">
        <v>0</v>
      </c>
      <c r="H931" s="240">
        <v>0</v>
      </c>
      <c r="I931" s="240">
        <v>0</v>
      </c>
    </row>
    <row r="932" spans="1:9" s="27" customFormat="1" ht="14.1">
      <c r="A932" s="283"/>
      <c r="B932" s="26" t="s">
        <v>30</v>
      </c>
      <c r="C932" s="72">
        <f t="shared" si="250"/>
        <v>25</v>
      </c>
      <c r="D932" s="72">
        <v>0</v>
      </c>
      <c r="E932" s="72">
        <v>25</v>
      </c>
      <c r="F932" s="72">
        <v>0</v>
      </c>
      <c r="G932" s="72">
        <v>0</v>
      </c>
      <c r="H932" s="72">
        <v>0</v>
      </c>
      <c r="I932" s="72">
        <v>0</v>
      </c>
    </row>
    <row r="933" spans="1:9" s="213" customFormat="1" ht="14.25" customHeight="1">
      <c r="A933" s="451" t="s">
        <v>364</v>
      </c>
      <c r="B933" s="237" t="s">
        <v>29</v>
      </c>
      <c r="C933" s="240">
        <f t="shared" si="250"/>
        <v>330</v>
      </c>
      <c r="D933" s="240">
        <v>0</v>
      </c>
      <c r="E933" s="240">
        <v>330</v>
      </c>
      <c r="F933" s="240">
        <v>0</v>
      </c>
      <c r="G933" s="240">
        <v>0</v>
      </c>
      <c r="H933" s="240">
        <v>0</v>
      </c>
      <c r="I933" s="240">
        <v>0</v>
      </c>
    </row>
    <row r="934" spans="1:9" s="27" customFormat="1" ht="14.1">
      <c r="A934" s="283"/>
      <c r="B934" s="26" t="s">
        <v>30</v>
      </c>
      <c r="C934" s="72">
        <f t="shared" si="250"/>
        <v>330</v>
      </c>
      <c r="D934" s="72">
        <v>0</v>
      </c>
      <c r="E934" s="72">
        <v>330</v>
      </c>
      <c r="F934" s="72">
        <v>0</v>
      </c>
      <c r="G934" s="72">
        <v>0</v>
      </c>
      <c r="H934" s="72">
        <v>0</v>
      </c>
      <c r="I934" s="72">
        <v>0</v>
      </c>
    </row>
    <row r="935" spans="1:9" s="213" customFormat="1" ht="14.25" customHeight="1">
      <c r="A935" s="451" t="s">
        <v>365</v>
      </c>
      <c r="B935" s="237" t="s">
        <v>29</v>
      </c>
      <c r="C935" s="240">
        <f t="shared" ref="C935:C938" si="251">D935+E935+F935+G935+H935+I935</f>
        <v>330</v>
      </c>
      <c r="D935" s="240">
        <v>0</v>
      </c>
      <c r="E935" s="240">
        <v>330</v>
      </c>
      <c r="F935" s="240">
        <v>0</v>
      </c>
      <c r="G935" s="240">
        <v>0</v>
      </c>
      <c r="H935" s="240">
        <v>0</v>
      </c>
      <c r="I935" s="240">
        <v>0</v>
      </c>
    </row>
    <row r="936" spans="1:9" s="27" customFormat="1" ht="14.1">
      <c r="A936" s="283"/>
      <c r="B936" s="26" t="s">
        <v>30</v>
      </c>
      <c r="C936" s="72">
        <f t="shared" si="251"/>
        <v>330</v>
      </c>
      <c r="D936" s="72">
        <v>0</v>
      </c>
      <c r="E936" s="72">
        <v>330</v>
      </c>
      <c r="F936" s="72">
        <v>0</v>
      </c>
      <c r="G936" s="72">
        <v>0</v>
      </c>
      <c r="H936" s="72">
        <v>0</v>
      </c>
      <c r="I936" s="72">
        <v>0</v>
      </c>
    </row>
    <row r="937" spans="1:9" s="213" customFormat="1" ht="14.25" customHeight="1">
      <c r="A937" s="451" t="s">
        <v>366</v>
      </c>
      <c r="B937" s="237" t="s">
        <v>29</v>
      </c>
      <c r="C937" s="240">
        <f t="shared" si="251"/>
        <v>10</v>
      </c>
      <c r="D937" s="240">
        <v>0</v>
      </c>
      <c r="E937" s="240">
        <v>10</v>
      </c>
      <c r="F937" s="240">
        <v>0</v>
      </c>
      <c r="G937" s="240">
        <v>0</v>
      </c>
      <c r="H937" s="240">
        <v>0</v>
      </c>
      <c r="I937" s="240">
        <v>0</v>
      </c>
    </row>
    <row r="938" spans="1:9" s="27" customFormat="1" ht="14.1">
      <c r="A938" s="283"/>
      <c r="B938" s="26" t="s">
        <v>30</v>
      </c>
      <c r="C938" s="72">
        <f t="shared" si="251"/>
        <v>10</v>
      </c>
      <c r="D938" s="72">
        <v>0</v>
      </c>
      <c r="E938" s="72">
        <v>10</v>
      </c>
      <c r="F938" s="72">
        <v>0</v>
      </c>
      <c r="G938" s="72">
        <v>0</v>
      </c>
      <c r="H938" s="72">
        <v>0</v>
      </c>
      <c r="I938" s="72">
        <v>0</v>
      </c>
    </row>
    <row r="939" spans="1:9" s="213" customFormat="1" ht="14.25" customHeight="1">
      <c r="A939" s="451" t="s">
        <v>367</v>
      </c>
      <c r="B939" s="237" t="s">
        <v>29</v>
      </c>
      <c r="C939" s="240">
        <f t="shared" ref="C939:C942" si="252">D939+E939+F939+G939+H939+I939</f>
        <v>9</v>
      </c>
      <c r="D939" s="240">
        <v>0</v>
      </c>
      <c r="E939" s="240">
        <v>9</v>
      </c>
      <c r="F939" s="240">
        <v>0</v>
      </c>
      <c r="G939" s="240">
        <v>0</v>
      </c>
      <c r="H939" s="240">
        <v>0</v>
      </c>
      <c r="I939" s="240">
        <v>0</v>
      </c>
    </row>
    <row r="940" spans="1:9" s="27" customFormat="1" ht="14.1">
      <c r="A940" s="283"/>
      <c r="B940" s="26" t="s">
        <v>30</v>
      </c>
      <c r="C940" s="72">
        <f t="shared" si="252"/>
        <v>9</v>
      </c>
      <c r="D940" s="72">
        <v>0</v>
      </c>
      <c r="E940" s="72">
        <v>9</v>
      </c>
      <c r="F940" s="72">
        <v>0</v>
      </c>
      <c r="G940" s="72">
        <v>0</v>
      </c>
      <c r="H940" s="72">
        <v>0</v>
      </c>
      <c r="I940" s="72">
        <v>0</v>
      </c>
    </row>
    <row r="941" spans="1:9" s="213" customFormat="1" ht="14.25" customHeight="1">
      <c r="A941" s="451" t="s">
        <v>368</v>
      </c>
      <c r="B941" s="237" t="s">
        <v>29</v>
      </c>
      <c r="C941" s="240">
        <f t="shared" si="252"/>
        <v>40</v>
      </c>
      <c r="D941" s="240">
        <v>0</v>
      </c>
      <c r="E941" s="240">
        <v>40</v>
      </c>
      <c r="F941" s="240">
        <v>0</v>
      </c>
      <c r="G941" s="240">
        <v>0</v>
      </c>
      <c r="H941" s="240">
        <v>0</v>
      </c>
      <c r="I941" s="240">
        <v>0</v>
      </c>
    </row>
    <row r="942" spans="1:9" s="27" customFormat="1" ht="14.1">
      <c r="A942" s="283"/>
      <c r="B942" s="26" t="s">
        <v>30</v>
      </c>
      <c r="C942" s="72">
        <f t="shared" si="252"/>
        <v>40</v>
      </c>
      <c r="D942" s="72">
        <v>0</v>
      </c>
      <c r="E942" s="72">
        <v>40</v>
      </c>
      <c r="F942" s="72">
        <v>0</v>
      </c>
      <c r="G942" s="72">
        <v>0</v>
      </c>
      <c r="H942" s="72">
        <v>0</v>
      </c>
      <c r="I942" s="72">
        <v>0</v>
      </c>
    </row>
    <row r="943" spans="1:9" s="213" customFormat="1" ht="14.25" customHeight="1">
      <c r="A943" s="451" t="s">
        <v>369</v>
      </c>
      <c r="B943" s="237" t="s">
        <v>29</v>
      </c>
      <c r="C943" s="240">
        <f t="shared" ref="C943:C946" si="253">D943+E943+F943+G943+H943+I943</f>
        <v>54</v>
      </c>
      <c r="D943" s="240">
        <v>0</v>
      </c>
      <c r="E943" s="240">
        <v>54</v>
      </c>
      <c r="F943" s="240">
        <v>0</v>
      </c>
      <c r="G943" s="240">
        <v>0</v>
      </c>
      <c r="H943" s="240">
        <v>0</v>
      </c>
      <c r="I943" s="240">
        <v>0</v>
      </c>
    </row>
    <row r="944" spans="1:9" s="27" customFormat="1" ht="14.1">
      <c r="A944" s="283"/>
      <c r="B944" s="26" t="s">
        <v>30</v>
      </c>
      <c r="C944" s="72">
        <f t="shared" si="253"/>
        <v>54</v>
      </c>
      <c r="D944" s="72">
        <v>0</v>
      </c>
      <c r="E944" s="72">
        <v>54</v>
      </c>
      <c r="F944" s="72">
        <v>0</v>
      </c>
      <c r="G944" s="72">
        <v>0</v>
      </c>
      <c r="H944" s="72">
        <v>0</v>
      </c>
      <c r="I944" s="72">
        <v>0</v>
      </c>
    </row>
    <row r="945" spans="1:9" s="213" customFormat="1" ht="14.25" customHeight="1">
      <c r="A945" s="451" t="s">
        <v>370</v>
      </c>
      <c r="B945" s="237" t="s">
        <v>29</v>
      </c>
      <c r="C945" s="240">
        <f t="shared" si="253"/>
        <v>6</v>
      </c>
      <c r="D945" s="240">
        <v>0</v>
      </c>
      <c r="E945" s="240">
        <v>6</v>
      </c>
      <c r="F945" s="240">
        <v>0</v>
      </c>
      <c r="G945" s="240">
        <v>0</v>
      </c>
      <c r="H945" s="240">
        <v>0</v>
      </c>
      <c r="I945" s="240">
        <v>0</v>
      </c>
    </row>
    <row r="946" spans="1:9" s="27" customFormat="1" ht="14.1">
      <c r="A946" s="283"/>
      <c r="B946" s="26" t="s">
        <v>30</v>
      </c>
      <c r="C946" s="72">
        <f t="shared" si="253"/>
        <v>6</v>
      </c>
      <c r="D946" s="72">
        <v>0</v>
      </c>
      <c r="E946" s="72">
        <v>6</v>
      </c>
      <c r="F946" s="72">
        <v>0</v>
      </c>
      <c r="G946" s="72">
        <v>0</v>
      </c>
      <c r="H946" s="72">
        <v>0</v>
      </c>
      <c r="I946" s="72">
        <v>0</v>
      </c>
    </row>
    <row r="947" spans="1:9" s="126" customFormat="1">
      <c r="A947" s="133" t="s">
        <v>371</v>
      </c>
      <c r="B947" s="142" t="s">
        <v>29</v>
      </c>
      <c r="C947" s="125">
        <f t="shared" si="233"/>
        <v>6194.9699999999993</v>
      </c>
      <c r="D947" s="125">
        <f>D949+D951+D953+D955+D957+D959+D961+D963+D965+D967+D969+D971+D973+D975+D977+D979+D981+D983+D985+D987+D989+D991+D993+D995+D997+D999+D1001+D1003+D1005</f>
        <v>2629.9699999999993</v>
      </c>
      <c r="E947" s="125">
        <f t="shared" ref="E947:I948" si="254">E949+E951+E953+E955+E957+E959+E961+E963+E965+E967+E969+E971+E973+E975+E977+E979+E981+E983+E985+E987+E989+E991+E993+E995+E997+E999+E1001+E1003+E1005</f>
        <v>3565</v>
      </c>
      <c r="F947" s="125">
        <f t="shared" si="254"/>
        <v>0</v>
      </c>
      <c r="G947" s="125">
        <f t="shared" si="254"/>
        <v>0</v>
      </c>
      <c r="H947" s="125">
        <f t="shared" si="254"/>
        <v>0</v>
      </c>
      <c r="I947" s="125">
        <f t="shared" si="254"/>
        <v>0</v>
      </c>
    </row>
    <row r="948" spans="1:9" s="126" customFormat="1">
      <c r="A948" s="134"/>
      <c r="B948" s="127" t="s">
        <v>30</v>
      </c>
      <c r="C948" s="125">
        <f t="shared" si="233"/>
        <v>6194.9699999999993</v>
      </c>
      <c r="D948" s="125">
        <f>D950+D952+D954+D956+D958+D960+D962+D964+D966+D968+D970+D972+D974+D976+D978+D980+D982+D984+D986+D988+D990+D992+D994+D996+D998+D1000+D1002+D1004+D1006</f>
        <v>2629.9699999999993</v>
      </c>
      <c r="E948" s="125">
        <f t="shared" si="254"/>
        <v>3565</v>
      </c>
      <c r="F948" s="125">
        <f t="shared" si="254"/>
        <v>0</v>
      </c>
      <c r="G948" s="125">
        <f t="shared" si="254"/>
        <v>0</v>
      </c>
      <c r="H948" s="125">
        <f t="shared" si="254"/>
        <v>0</v>
      </c>
      <c r="I948" s="125">
        <f t="shared" si="254"/>
        <v>0</v>
      </c>
    </row>
    <row r="949" spans="1:9" s="213" customFormat="1" ht="15" customHeight="1">
      <c r="A949" s="452" t="s">
        <v>372</v>
      </c>
      <c r="B949" s="237" t="s">
        <v>29</v>
      </c>
      <c r="C949" s="240">
        <f t="shared" si="233"/>
        <v>24.58</v>
      </c>
      <c r="D949" s="240">
        <v>24.58</v>
      </c>
      <c r="E949" s="240">
        <v>0</v>
      </c>
      <c r="F949" s="240">
        <v>0</v>
      </c>
      <c r="G949" s="240">
        <v>0</v>
      </c>
      <c r="H949" s="240">
        <v>0</v>
      </c>
      <c r="I949" s="240">
        <v>0</v>
      </c>
    </row>
    <row r="950" spans="1:9" s="20" customFormat="1" ht="14.1">
      <c r="A950" s="393"/>
      <c r="B950" s="62" t="s">
        <v>30</v>
      </c>
      <c r="C950" s="64">
        <f t="shared" si="233"/>
        <v>24.58</v>
      </c>
      <c r="D950" s="64">
        <v>24.58</v>
      </c>
      <c r="E950" s="64">
        <v>0</v>
      </c>
      <c r="F950" s="64">
        <v>0</v>
      </c>
      <c r="G950" s="64">
        <v>0</v>
      </c>
      <c r="H950" s="64">
        <v>0</v>
      </c>
      <c r="I950" s="64">
        <v>0</v>
      </c>
    </row>
    <row r="951" spans="1:9" s="213" customFormat="1" ht="14.25" customHeight="1">
      <c r="A951" s="452" t="s">
        <v>373</v>
      </c>
      <c r="B951" s="237" t="s">
        <v>29</v>
      </c>
      <c r="C951" s="240">
        <f t="shared" si="233"/>
        <v>84</v>
      </c>
      <c r="D951" s="240">
        <v>84</v>
      </c>
      <c r="E951" s="240">
        <v>0</v>
      </c>
      <c r="F951" s="240">
        <v>0</v>
      </c>
      <c r="G951" s="240">
        <v>0</v>
      </c>
      <c r="H951" s="240">
        <v>0</v>
      </c>
      <c r="I951" s="240">
        <v>0</v>
      </c>
    </row>
    <row r="952" spans="1:9" s="213" customFormat="1" ht="15.4">
      <c r="A952" s="356"/>
      <c r="B952" s="226" t="s">
        <v>30</v>
      </c>
      <c r="C952" s="240">
        <f t="shared" si="233"/>
        <v>84</v>
      </c>
      <c r="D952" s="240">
        <v>84</v>
      </c>
      <c r="E952" s="240">
        <v>0</v>
      </c>
      <c r="F952" s="240">
        <v>0</v>
      </c>
      <c r="G952" s="240">
        <v>0</v>
      </c>
      <c r="H952" s="240">
        <v>0</v>
      </c>
      <c r="I952" s="240">
        <v>0</v>
      </c>
    </row>
    <row r="953" spans="1:9" s="213" customFormat="1" ht="15" customHeight="1">
      <c r="A953" s="452" t="s">
        <v>374</v>
      </c>
      <c r="B953" s="237" t="s">
        <v>29</v>
      </c>
      <c r="C953" s="240">
        <f t="shared" si="233"/>
        <v>2368.1</v>
      </c>
      <c r="D953" s="240">
        <v>2368.1</v>
      </c>
      <c r="E953" s="240">
        <v>0</v>
      </c>
      <c r="F953" s="240">
        <v>0</v>
      </c>
      <c r="G953" s="240">
        <v>0</v>
      </c>
      <c r="H953" s="240">
        <v>0</v>
      </c>
      <c r="I953" s="240">
        <v>0</v>
      </c>
    </row>
    <row r="954" spans="1:9" s="249" customFormat="1" ht="14.1">
      <c r="A954" s="393"/>
      <c r="B954" s="217" t="s">
        <v>30</v>
      </c>
      <c r="C954" s="203">
        <f t="shared" si="233"/>
        <v>2368.1</v>
      </c>
      <c r="D954" s="203">
        <v>2368.1</v>
      </c>
      <c r="E954" s="203">
        <v>0</v>
      </c>
      <c r="F954" s="203">
        <v>0</v>
      </c>
      <c r="G954" s="203">
        <v>0</v>
      </c>
      <c r="H954" s="203">
        <v>0</v>
      </c>
      <c r="I954" s="203">
        <v>0</v>
      </c>
    </row>
    <row r="955" spans="1:9" s="213" customFormat="1" ht="15" customHeight="1">
      <c r="A955" s="452" t="s">
        <v>375</v>
      </c>
      <c r="B955" s="237" t="s">
        <v>29</v>
      </c>
      <c r="C955" s="240">
        <f t="shared" si="233"/>
        <v>70.180000000000007</v>
      </c>
      <c r="D955" s="240">
        <v>70.180000000000007</v>
      </c>
      <c r="E955" s="240">
        <v>0</v>
      </c>
      <c r="F955" s="240">
        <v>0</v>
      </c>
      <c r="G955" s="240">
        <v>0</v>
      </c>
      <c r="H955" s="240">
        <v>0</v>
      </c>
      <c r="I955" s="240">
        <v>0</v>
      </c>
    </row>
    <row r="956" spans="1:9" s="213" customFormat="1" ht="15.4">
      <c r="A956" s="356"/>
      <c r="B956" s="226" t="s">
        <v>30</v>
      </c>
      <c r="C956" s="240">
        <f t="shared" si="233"/>
        <v>70.180000000000007</v>
      </c>
      <c r="D956" s="240">
        <v>70.180000000000007</v>
      </c>
      <c r="E956" s="240">
        <v>0</v>
      </c>
      <c r="F956" s="240">
        <v>0</v>
      </c>
      <c r="G956" s="240">
        <v>0</v>
      </c>
      <c r="H956" s="240">
        <v>0</v>
      </c>
      <c r="I956" s="240">
        <v>0</v>
      </c>
    </row>
    <row r="957" spans="1:9" s="213" customFormat="1" ht="16.5" customHeight="1">
      <c r="A957" s="452" t="s">
        <v>376</v>
      </c>
      <c r="B957" s="237" t="s">
        <v>29</v>
      </c>
      <c r="C957" s="240">
        <f t="shared" si="233"/>
        <v>54.98</v>
      </c>
      <c r="D957" s="240">
        <v>54.98</v>
      </c>
      <c r="E957" s="240">
        <v>0</v>
      </c>
      <c r="F957" s="240">
        <v>0</v>
      </c>
      <c r="G957" s="240">
        <v>0</v>
      </c>
      <c r="H957" s="240">
        <v>0</v>
      </c>
      <c r="I957" s="240">
        <v>0</v>
      </c>
    </row>
    <row r="958" spans="1:9" s="20" customFormat="1" ht="15.4">
      <c r="A958" s="356"/>
      <c r="B958" s="62" t="s">
        <v>30</v>
      </c>
      <c r="C958" s="64">
        <f t="shared" si="233"/>
        <v>54.98</v>
      </c>
      <c r="D958" s="64">
        <v>54.98</v>
      </c>
      <c r="E958" s="64">
        <v>0</v>
      </c>
      <c r="F958" s="64">
        <v>0</v>
      </c>
      <c r="G958" s="64">
        <v>0</v>
      </c>
      <c r="H958" s="64">
        <v>0</v>
      </c>
      <c r="I958" s="64">
        <v>0</v>
      </c>
    </row>
    <row r="959" spans="1:9" s="213" customFormat="1" ht="30" customHeight="1">
      <c r="A959" s="323" t="s">
        <v>377</v>
      </c>
      <c r="B959" s="237" t="s">
        <v>29</v>
      </c>
      <c r="C959" s="240">
        <f t="shared" si="233"/>
        <v>4.16</v>
      </c>
      <c r="D959" s="240">
        <v>4.16</v>
      </c>
      <c r="E959" s="240">
        <v>0</v>
      </c>
      <c r="F959" s="240">
        <v>0</v>
      </c>
      <c r="G959" s="240">
        <v>0</v>
      </c>
      <c r="H959" s="240">
        <v>0</v>
      </c>
      <c r="I959" s="240">
        <v>0</v>
      </c>
    </row>
    <row r="960" spans="1:9" s="27" customFormat="1" ht="15.4">
      <c r="A960" s="356"/>
      <c r="B960" s="26" t="s">
        <v>30</v>
      </c>
      <c r="C960" s="72">
        <f t="shared" si="233"/>
        <v>4.16</v>
      </c>
      <c r="D960" s="72">
        <v>4.16</v>
      </c>
      <c r="E960" s="72">
        <v>0</v>
      </c>
      <c r="F960" s="72">
        <v>0</v>
      </c>
      <c r="G960" s="72">
        <v>0</v>
      </c>
      <c r="H960" s="72">
        <v>0</v>
      </c>
      <c r="I960" s="72">
        <v>0</v>
      </c>
    </row>
    <row r="961" spans="1:9" s="249" customFormat="1" ht="16.5" customHeight="1">
      <c r="A961" s="424" t="s">
        <v>378</v>
      </c>
      <c r="B961" s="216" t="s">
        <v>29</v>
      </c>
      <c r="C961" s="203">
        <f t="shared" si="233"/>
        <v>23.97</v>
      </c>
      <c r="D961" s="203">
        <v>23.97</v>
      </c>
      <c r="E961" s="203">
        <v>0</v>
      </c>
      <c r="F961" s="203">
        <v>0</v>
      </c>
      <c r="G961" s="203">
        <v>0</v>
      </c>
      <c r="H961" s="203">
        <v>0</v>
      </c>
      <c r="I961" s="203">
        <v>0</v>
      </c>
    </row>
    <row r="962" spans="1:9" s="27" customFormat="1" ht="15.4">
      <c r="A962" s="356"/>
      <c r="B962" s="26" t="s">
        <v>30</v>
      </c>
      <c r="C962" s="72">
        <f t="shared" si="233"/>
        <v>23.97</v>
      </c>
      <c r="D962" s="72">
        <v>23.97</v>
      </c>
      <c r="E962" s="72">
        <v>0</v>
      </c>
      <c r="F962" s="72">
        <v>0</v>
      </c>
      <c r="G962" s="72">
        <v>0</v>
      </c>
      <c r="H962" s="72">
        <v>0</v>
      </c>
      <c r="I962" s="72">
        <v>0</v>
      </c>
    </row>
    <row r="963" spans="1:9" s="249" customFormat="1" ht="16.5" customHeight="1">
      <c r="A963" s="463" t="s">
        <v>379</v>
      </c>
      <c r="B963" s="216" t="s">
        <v>29</v>
      </c>
      <c r="C963" s="203">
        <f t="shared" si="233"/>
        <v>223</v>
      </c>
      <c r="D963" s="203">
        <v>0</v>
      </c>
      <c r="E963" s="203">
        <v>223</v>
      </c>
      <c r="F963" s="203">
        <v>0</v>
      </c>
      <c r="G963" s="203">
        <v>0</v>
      </c>
      <c r="H963" s="203">
        <v>0</v>
      </c>
      <c r="I963" s="203">
        <v>0</v>
      </c>
    </row>
    <row r="964" spans="1:9" s="249" customFormat="1">
      <c r="A964" s="504"/>
      <c r="B964" s="217" t="s">
        <v>30</v>
      </c>
      <c r="C964" s="203">
        <f t="shared" si="233"/>
        <v>223</v>
      </c>
      <c r="D964" s="203">
        <v>0</v>
      </c>
      <c r="E964" s="203">
        <v>223</v>
      </c>
      <c r="F964" s="203">
        <v>0</v>
      </c>
      <c r="G964" s="203">
        <v>0</v>
      </c>
      <c r="H964" s="203">
        <v>0</v>
      </c>
      <c r="I964" s="203">
        <v>0</v>
      </c>
    </row>
    <row r="965" spans="1:9" s="249" customFormat="1" ht="15" customHeight="1">
      <c r="A965" s="463" t="s">
        <v>380</v>
      </c>
      <c r="B965" s="216" t="s">
        <v>29</v>
      </c>
      <c r="C965" s="203">
        <f t="shared" si="233"/>
        <v>167</v>
      </c>
      <c r="D965" s="203">
        <v>0</v>
      </c>
      <c r="E965" s="203">
        <v>167</v>
      </c>
      <c r="F965" s="203">
        <v>0</v>
      </c>
      <c r="G965" s="203">
        <v>0</v>
      </c>
      <c r="H965" s="203">
        <v>0</v>
      </c>
      <c r="I965" s="203">
        <v>0</v>
      </c>
    </row>
    <row r="966" spans="1:9" s="249" customFormat="1">
      <c r="A966" s="504"/>
      <c r="B966" s="217" t="s">
        <v>30</v>
      </c>
      <c r="C966" s="203">
        <f t="shared" si="233"/>
        <v>167</v>
      </c>
      <c r="D966" s="203">
        <v>0</v>
      </c>
      <c r="E966" s="203">
        <v>167</v>
      </c>
      <c r="F966" s="203">
        <v>0</v>
      </c>
      <c r="G966" s="203">
        <v>0</v>
      </c>
      <c r="H966" s="203">
        <v>0</v>
      </c>
      <c r="I966" s="203">
        <v>0</v>
      </c>
    </row>
    <row r="967" spans="1:9" s="249" customFormat="1" ht="15" customHeight="1">
      <c r="A967" s="463" t="s">
        <v>381</v>
      </c>
      <c r="B967" s="216" t="s">
        <v>29</v>
      </c>
      <c r="C967" s="203">
        <f t="shared" si="233"/>
        <v>35</v>
      </c>
      <c r="D967" s="203">
        <v>0</v>
      </c>
      <c r="E967" s="203">
        <v>35</v>
      </c>
      <c r="F967" s="203">
        <v>0</v>
      </c>
      <c r="G967" s="203">
        <v>0</v>
      </c>
      <c r="H967" s="203">
        <v>0</v>
      </c>
      <c r="I967" s="203">
        <v>0</v>
      </c>
    </row>
    <row r="968" spans="1:9" s="249" customFormat="1">
      <c r="A968" s="504"/>
      <c r="B968" s="217" t="s">
        <v>30</v>
      </c>
      <c r="C968" s="203">
        <f t="shared" si="233"/>
        <v>35</v>
      </c>
      <c r="D968" s="203">
        <v>0</v>
      </c>
      <c r="E968" s="203">
        <v>35</v>
      </c>
      <c r="F968" s="203">
        <v>0</v>
      </c>
      <c r="G968" s="203">
        <v>0</v>
      </c>
      <c r="H968" s="203">
        <v>0</v>
      </c>
      <c r="I968" s="203">
        <v>0</v>
      </c>
    </row>
    <row r="969" spans="1:9" s="249" customFormat="1" ht="28.5" customHeight="1">
      <c r="A969" s="332" t="s">
        <v>382</v>
      </c>
      <c r="B969" s="216" t="s">
        <v>29</v>
      </c>
      <c r="C969" s="203">
        <f t="shared" si="233"/>
        <v>528</v>
      </c>
      <c r="D969" s="203">
        <v>0</v>
      </c>
      <c r="E969" s="203">
        <v>528</v>
      </c>
      <c r="F969" s="203">
        <v>0</v>
      </c>
      <c r="G969" s="203">
        <v>0</v>
      </c>
      <c r="H969" s="203">
        <v>0</v>
      </c>
      <c r="I969" s="203">
        <v>0</v>
      </c>
    </row>
    <row r="970" spans="1:9" s="27" customFormat="1" ht="15.4">
      <c r="A970" s="356"/>
      <c r="B970" s="26" t="s">
        <v>30</v>
      </c>
      <c r="C970" s="72">
        <f t="shared" si="233"/>
        <v>528</v>
      </c>
      <c r="D970" s="72">
        <v>0</v>
      </c>
      <c r="E970" s="72">
        <v>528</v>
      </c>
      <c r="F970" s="72">
        <v>0</v>
      </c>
      <c r="G970" s="72">
        <v>0</v>
      </c>
      <c r="H970" s="72">
        <v>0</v>
      </c>
      <c r="I970" s="72">
        <v>0</v>
      </c>
    </row>
    <row r="971" spans="1:9" s="249" customFormat="1" ht="15.75" customHeight="1">
      <c r="A971" s="463" t="s">
        <v>383</v>
      </c>
      <c r="B971" s="216" t="s">
        <v>29</v>
      </c>
      <c r="C971" s="203">
        <f t="shared" si="233"/>
        <v>368.5</v>
      </c>
      <c r="D971" s="203">
        <v>0</v>
      </c>
      <c r="E971" s="203">
        <v>368.5</v>
      </c>
      <c r="F971" s="203">
        <v>0</v>
      </c>
      <c r="G971" s="203">
        <v>0</v>
      </c>
      <c r="H971" s="203">
        <v>0</v>
      </c>
      <c r="I971" s="203">
        <v>0</v>
      </c>
    </row>
    <row r="972" spans="1:9" s="249" customFormat="1">
      <c r="A972" s="504"/>
      <c r="B972" s="217" t="s">
        <v>30</v>
      </c>
      <c r="C972" s="203">
        <f t="shared" si="233"/>
        <v>368.5</v>
      </c>
      <c r="D972" s="203">
        <v>0</v>
      </c>
      <c r="E972" s="203">
        <v>368.5</v>
      </c>
      <c r="F972" s="203">
        <v>0</v>
      </c>
      <c r="G972" s="203">
        <v>0</v>
      </c>
      <c r="H972" s="203">
        <v>0</v>
      </c>
      <c r="I972" s="203">
        <v>0</v>
      </c>
    </row>
    <row r="973" spans="1:9" s="249" customFormat="1" ht="16.5" customHeight="1">
      <c r="A973" s="463" t="s">
        <v>384</v>
      </c>
      <c r="B973" s="216" t="s">
        <v>29</v>
      </c>
      <c r="C973" s="203">
        <f t="shared" si="233"/>
        <v>110</v>
      </c>
      <c r="D973" s="203">
        <v>0</v>
      </c>
      <c r="E973" s="203">
        <v>110</v>
      </c>
      <c r="F973" s="203">
        <v>0</v>
      </c>
      <c r="G973" s="203">
        <v>0</v>
      </c>
      <c r="H973" s="203">
        <v>0</v>
      </c>
      <c r="I973" s="203">
        <v>0</v>
      </c>
    </row>
    <row r="974" spans="1:9" s="249" customFormat="1">
      <c r="A974" s="504"/>
      <c r="B974" s="217" t="s">
        <v>30</v>
      </c>
      <c r="C974" s="203">
        <f t="shared" si="233"/>
        <v>110</v>
      </c>
      <c r="D974" s="203">
        <v>0</v>
      </c>
      <c r="E974" s="203">
        <v>110</v>
      </c>
      <c r="F974" s="203">
        <v>0</v>
      </c>
      <c r="G974" s="203">
        <v>0</v>
      </c>
      <c r="H974" s="203">
        <v>0</v>
      </c>
      <c r="I974" s="203">
        <v>0</v>
      </c>
    </row>
    <row r="975" spans="1:9" s="249" customFormat="1" ht="16.5" customHeight="1">
      <c r="A975" s="463" t="s">
        <v>385</v>
      </c>
      <c r="B975" s="216" t="s">
        <v>29</v>
      </c>
      <c r="C975" s="203">
        <f t="shared" si="233"/>
        <v>499</v>
      </c>
      <c r="D975" s="203">
        <v>0</v>
      </c>
      <c r="E975" s="203">
        <v>499</v>
      </c>
      <c r="F975" s="203">
        <v>0</v>
      </c>
      <c r="G975" s="203">
        <v>0</v>
      </c>
      <c r="H975" s="203">
        <v>0</v>
      </c>
      <c r="I975" s="203">
        <v>0</v>
      </c>
    </row>
    <row r="976" spans="1:9" s="27" customFormat="1">
      <c r="A976" s="504"/>
      <c r="B976" s="26" t="s">
        <v>30</v>
      </c>
      <c r="C976" s="72">
        <f t="shared" si="233"/>
        <v>499</v>
      </c>
      <c r="D976" s="72">
        <v>0</v>
      </c>
      <c r="E976" s="72">
        <v>499</v>
      </c>
      <c r="F976" s="72">
        <v>0</v>
      </c>
      <c r="G976" s="72">
        <v>0</v>
      </c>
      <c r="H976" s="72">
        <v>0</v>
      </c>
      <c r="I976" s="72">
        <v>0</v>
      </c>
    </row>
    <row r="977" spans="1:9" s="249" customFormat="1" ht="16.5" customHeight="1">
      <c r="A977" s="463" t="s">
        <v>386</v>
      </c>
      <c r="B977" s="216" t="s">
        <v>29</v>
      </c>
      <c r="C977" s="203">
        <f t="shared" si="233"/>
        <v>56</v>
      </c>
      <c r="D977" s="203">
        <v>0</v>
      </c>
      <c r="E977" s="203">
        <v>56</v>
      </c>
      <c r="F977" s="203">
        <v>0</v>
      </c>
      <c r="G977" s="203">
        <v>0</v>
      </c>
      <c r="H977" s="203">
        <v>0</v>
      </c>
      <c r="I977" s="203">
        <v>0</v>
      </c>
    </row>
    <row r="978" spans="1:9" s="249" customFormat="1">
      <c r="A978" s="504"/>
      <c r="B978" s="217" t="s">
        <v>30</v>
      </c>
      <c r="C978" s="203">
        <f t="shared" si="233"/>
        <v>56</v>
      </c>
      <c r="D978" s="203">
        <v>0</v>
      </c>
      <c r="E978" s="203">
        <v>56</v>
      </c>
      <c r="F978" s="203">
        <v>0</v>
      </c>
      <c r="G978" s="203">
        <v>0</v>
      </c>
      <c r="H978" s="203">
        <v>0</v>
      </c>
      <c r="I978" s="203">
        <v>0</v>
      </c>
    </row>
    <row r="979" spans="1:9" s="249" customFormat="1" ht="16.5" customHeight="1">
      <c r="A979" s="463" t="s">
        <v>387</v>
      </c>
      <c r="B979" s="216" t="s">
        <v>29</v>
      </c>
      <c r="C979" s="203">
        <f t="shared" si="233"/>
        <v>118</v>
      </c>
      <c r="D979" s="203">
        <v>0</v>
      </c>
      <c r="E979" s="203">
        <v>118</v>
      </c>
      <c r="F979" s="203">
        <v>0</v>
      </c>
      <c r="G979" s="203">
        <v>0</v>
      </c>
      <c r="H979" s="203">
        <v>0</v>
      </c>
      <c r="I979" s="203">
        <v>0</v>
      </c>
    </row>
    <row r="980" spans="1:9" s="249" customFormat="1">
      <c r="A980" s="504"/>
      <c r="B980" s="217" t="s">
        <v>30</v>
      </c>
      <c r="C980" s="203">
        <f t="shared" si="233"/>
        <v>118</v>
      </c>
      <c r="D980" s="203">
        <v>0</v>
      </c>
      <c r="E980" s="203">
        <v>118</v>
      </c>
      <c r="F980" s="203">
        <v>0</v>
      </c>
      <c r="G980" s="203">
        <v>0</v>
      </c>
      <c r="H980" s="203">
        <v>0</v>
      </c>
      <c r="I980" s="203">
        <v>0</v>
      </c>
    </row>
    <row r="981" spans="1:9" s="249" customFormat="1" ht="16.5" customHeight="1">
      <c r="A981" s="463" t="s">
        <v>388</v>
      </c>
      <c r="B981" s="216" t="s">
        <v>29</v>
      </c>
      <c r="C981" s="203">
        <f t="shared" si="233"/>
        <v>22</v>
      </c>
      <c r="D981" s="203">
        <v>0</v>
      </c>
      <c r="E981" s="203">
        <v>22</v>
      </c>
      <c r="F981" s="203">
        <v>0</v>
      </c>
      <c r="G981" s="203">
        <v>0</v>
      </c>
      <c r="H981" s="203">
        <v>0</v>
      </c>
      <c r="I981" s="203">
        <v>0</v>
      </c>
    </row>
    <row r="982" spans="1:9" s="27" customFormat="1">
      <c r="A982" s="504"/>
      <c r="B982" s="26" t="s">
        <v>30</v>
      </c>
      <c r="C982" s="72">
        <f t="shared" si="233"/>
        <v>22</v>
      </c>
      <c r="D982" s="72">
        <v>0</v>
      </c>
      <c r="E982" s="72">
        <v>22</v>
      </c>
      <c r="F982" s="72">
        <v>0</v>
      </c>
      <c r="G982" s="72">
        <v>0</v>
      </c>
      <c r="H982" s="72">
        <v>0</v>
      </c>
      <c r="I982" s="72">
        <v>0</v>
      </c>
    </row>
    <row r="983" spans="1:9" s="249" customFormat="1" ht="16.5" customHeight="1">
      <c r="A983" s="463" t="s">
        <v>389</v>
      </c>
      <c r="B983" s="216" t="s">
        <v>29</v>
      </c>
      <c r="C983" s="203">
        <f t="shared" si="233"/>
        <v>18</v>
      </c>
      <c r="D983" s="203">
        <v>0</v>
      </c>
      <c r="E983" s="203">
        <v>18</v>
      </c>
      <c r="F983" s="203">
        <v>0</v>
      </c>
      <c r="G983" s="203">
        <v>0</v>
      </c>
      <c r="H983" s="203">
        <v>0</v>
      </c>
      <c r="I983" s="203">
        <v>0</v>
      </c>
    </row>
    <row r="984" spans="1:9" s="249" customFormat="1">
      <c r="A984" s="504"/>
      <c r="B984" s="217" t="s">
        <v>30</v>
      </c>
      <c r="C984" s="203">
        <f t="shared" si="233"/>
        <v>18</v>
      </c>
      <c r="D984" s="203">
        <v>0</v>
      </c>
      <c r="E984" s="203">
        <v>18</v>
      </c>
      <c r="F984" s="203">
        <v>0</v>
      </c>
      <c r="G984" s="203">
        <v>0</v>
      </c>
      <c r="H984" s="203">
        <v>0</v>
      </c>
      <c r="I984" s="203">
        <v>0</v>
      </c>
    </row>
    <row r="985" spans="1:9" s="249" customFormat="1" ht="15.75" customHeight="1">
      <c r="A985" s="463" t="s">
        <v>390</v>
      </c>
      <c r="B985" s="216" t="s">
        <v>29</v>
      </c>
      <c r="C985" s="203">
        <f t="shared" si="233"/>
        <v>174</v>
      </c>
      <c r="D985" s="203">
        <v>0</v>
      </c>
      <c r="E985" s="203">
        <v>174</v>
      </c>
      <c r="F985" s="203">
        <v>0</v>
      </c>
      <c r="G985" s="203">
        <v>0</v>
      </c>
      <c r="H985" s="203">
        <v>0</v>
      </c>
      <c r="I985" s="203">
        <v>0</v>
      </c>
    </row>
    <row r="986" spans="1:9" s="249" customFormat="1">
      <c r="A986" s="504"/>
      <c r="B986" s="217" t="s">
        <v>30</v>
      </c>
      <c r="C986" s="203">
        <f t="shared" si="233"/>
        <v>174</v>
      </c>
      <c r="D986" s="203">
        <v>0</v>
      </c>
      <c r="E986" s="203">
        <v>174</v>
      </c>
      <c r="F986" s="203">
        <v>0</v>
      </c>
      <c r="G986" s="203">
        <v>0</v>
      </c>
      <c r="H986" s="203">
        <v>0</v>
      </c>
      <c r="I986" s="203">
        <v>0</v>
      </c>
    </row>
    <row r="987" spans="1:9" s="249" customFormat="1" ht="15" customHeight="1">
      <c r="A987" s="463" t="s">
        <v>391</v>
      </c>
      <c r="B987" s="216" t="s">
        <v>29</v>
      </c>
      <c r="C987" s="203">
        <f t="shared" si="233"/>
        <v>79</v>
      </c>
      <c r="D987" s="203">
        <v>0</v>
      </c>
      <c r="E987" s="203">
        <v>79</v>
      </c>
      <c r="F987" s="203">
        <v>0</v>
      </c>
      <c r="G987" s="203">
        <v>0</v>
      </c>
      <c r="H987" s="203">
        <v>0</v>
      </c>
      <c r="I987" s="203">
        <v>0</v>
      </c>
    </row>
    <row r="988" spans="1:9" s="249" customFormat="1">
      <c r="A988" s="504"/>
      <c r="B988" s="217" t="s">
        <v>30</v>
      </c>
      <c r="C988" s="203">
        <f t="shared" si="233"/>
        <v>79</v>
      </c>
      <c r="D988" s="203">
        <v>0</v>
      </c>
      <c r="E988" s="203">
        <v>79</v>
      </c>
      <c r="F988" s="203">
        <v>0</v>
      </c>
      <c r="G988" s="203">
        <v>0</v>
      </c>
      <c r="H988" s="203">
        <v>0</v>
      </c>
      <c r="I988" s="203">
        <v>0</v>
      </c>
    </row>
    <row r="989" spans="1:9" s="249" customFormat="1" ht="15" customHeight="1">
      <c r="A989" s="463" t="s">
        <v>392</v>
      </c>
      <c r="B989" s="216" t="s">
        <v>29</v>
      </c>
      <c r="C989" s="203">
        <f t="shared" si="233"/>
        <v>200</v>
      </c>
      <c r="D989" s="203">
        <v>0</v>
      </c>
      <c r="E989" s="203">
        <v>200</v>
      </c>
      <c r="F989" s="203">
        <v>0</v>
      </c>
      <c r="G989" s="203">
        <v>0</v>
      </c>
      <c r="H989" s="203">
        <v>0</v>
      </c>
      <c r="I989" s="203">
        <v>0</v>
      </c>
    </row>
    <row r="990" spans="1:9" s="27" customFormat="1">
      <c r="A990" s="504"/>
      <c r="B990" s="26" t="s">
        <v>30</v>
      </c>
      <c r="C990" s="72">
        <f t="shared" si="233"/>
        <v>200</v>
      </c>
      <c r="D990" s="72">
        <v>0</v>
      </c>
      <c r="E990" s="72">
        <v>200</v>
      </c>
      <c r="F990" s="72">
        <v>0</v>
      </c>
      <c r="G990" s="72">
        <v>0</v>
      </c>
      <c r="H990" s="72">
        <v>0</v>
      </c>
      <c r="I990" s="72">
        <v>0</v>
      </c>
    </row>
    <row r="991" spans="1:9" s="249" customFormat="1" ht="16.5" customHeight="1">
      <c r="A991" s="463" t="s">
        <v>393</v>
      </c>
      <c r="B991" s="216" t="s">
        <v>29</v>
      </c>
      <c r="C991" s="203">
        <f t="shared" si="233"/>
        <v>94</v>
      </c>
      <c r="D991" s="203">
        <v>0</v>
      </c>
      <c r="E991" s="203">
        <v>94</v>
      </c>
      <c r="F991" s="203">
        <v>0</v>
      </c>
      <c r="G991" s="203">
        <v>0</v>
      </c>
      <c r="H991" s="203">
        <v>0</v>
      </c>
      <c r="I991" s="203">
        <v>0</v>
      </c>
    </row>
    <row r="992" spans="1:9" s="249" customFormat="1">
      <c r="A992" s="504"/>
      <c r="B992" s="217" t="s">
        <v>30</v>
      </c>
      <c r="C992" s="203">
        <f t="shared" si="233"/>
        <v>94</v>
      </c>
      <c r="D992" s="203">
        <v>0</v>
      </c>
      <c r="E992" s="203">
        <v>94</v>
      </c>
      <c r="F992" s="203">
        <v>0</v>
      </c>
      <c r="G992" s="203">
        <v>0</v>
      </c>
      <c r="H992" s="203">
        <v>0</v>
      </c>
      <c r="I992" s="203">
        <v>0</v>
      </c>
    </row>
    <row r="993" spans="1:9" s="249" customFormat="1" ht="16.5" customHeight="1">
      <c r="A993" s="463" t="s">
        <v>394</v>
      </c>
      <c r="B993" s="216" t="s">
        <v>29</v>
      </c>
      <c r="C993" s="203">
        <f t="shared" si="233"/>
        <v>4.5</v>
      </c>
      <c r="D993" s="203">
        <v>0</v>
      </c>
      <c r="E993" s="203">
        <v>4.5</v>
      </c>
      <c r="F993" s="203">
        <v>0</v>
      </c>
      <c r="G993" s="203">
        <v>0</v>
      </c>
      <c r="H993" s="203">
        <v>0</v>
      </c>
      <c r="I993" s="203">
        <v>0</v>
      </c>
    </row>
    <row r="994" spans="1:9" s="249" customFormat="1">
      <c r="A994" s="504"/>
      <c r="B994" s="217" t="s">
        <v>30</v>
      </c>
      <c r="C994" s="203">
        <f t="shared" si="233"/>
        <v>4.5</v>
      </c>
      <c r="D994" s="203">
        <v>0</v>
      </c>
      <c r="E994" s="203">
        <v>4.5</v>
      </c>
      <c r="F994" s="203">
        <v>0</v>
      </c>
      <c r="G994" s="203">
        <v>0</v>
      </c>
      <c r="H994" s="203">
        <v>0</v>
      </c>
      <c r="I994" s="203">
        <v>0</v>
      </c>
    </row>
    <row r="995" spans="1:9" s="249" customFormat="1" ht="16.5" customHeight="1">
      <c r="A995" s="463" t="s">
        <v>395</v>
      </c>
      <c r="B995" s="216" t="s">
        <v>29</v>
      </c>
      <c r="C995" s="203">
        <f t="shared" si="233"/>
        <v>33</v>
      </c>
      <c r="D995" s="203">
        <v>0</v>
      </c>
      <c r="E995" s="203">
        <v>33</v>
      </c>
      <c r="F995" s="203">
        <v>0</v>
      </c>
      <c r="G995" s="203">
        <v>0</v>
      </c>
      <c r="H995" s="203">
        <v>0</v>
      </c>
      <c r="I995" s="203">
        <v>0</v>
      </c>
    </row>
    <row r="996" spans="1:9" s="249" customFormat="1">
      <c r="A996" s="504"/>
      <c r="B996" s="217" t="s">
        <v>30</v>
      </c>
      <c r="C996" s="203">
        <f t="shared" si="233"/>
        <v>33</v>
      </c>
      <c r="D996" s="203">
        <v>0</v>
      </c>
      <c r="E996" s="203">
        <v>33</v>
      </c>
      <c r="F996" s="203">
        <v>0</v>
      </c>
      <c r="G996" s="203">
        <v>0</v>
      </c>
      <c r="H996" s="203">
        <v>0</v>
      </c>
      <c r="I996" s="203">
        <v>0</v>
      </c>
    </row>
    <row r="997" spans="1:9" s="249" customFormat="1" ht="16.5" customHeight="1">
      <c r="A997" s="463" t="s">
        <v>396</v>
      </c>
      <c r="B997" s="216" t="s">
        <v>29</v>
      </c>
      <c r="C997" s="203">
        <f t="shared" si="233"/>
        <v>255</v>
      </c>
      <c r="D997" s="203">
        <v>0</v>
      </c>
      <c r="E997" s="203">
        <v>255</v>
      </c>
      <c r="F997" s="203">
        <v>0</v>
      </c>
      <c r="G997" s="203">
        <v>0</v>
      </c>
      <c r="H997" s="203">
        <v>0</v>
      </c>
      <c r="I997" s="203">
        <v>0</v>
      </c>
    </row>
    <row r="998" spans="1:9" s="27" customFormat="1">
      <c r="A998" s="504"/>
      <c r="B998" s="26" t="s">
        <v>30</v>
      </c>
      <c r="C998" s="72">
        <f t="shared" si="233"/>
        <v>255</v>
      </c>
      <c r="D998" s="72">
        <v>0</v>
      </c>
      <c r="E998" s="72">
        <v>255</v>
      </c>
      <c r="F998" s="72">
        <v>0</v>
      </c>
      <c r="G998" s="72">
        <v>0</v>
      </c>
      <c r="H998" s="72">
        <v>0</v>
      </c>
      <c r="I998" s="72">
        <v>0</v>
      </c>
    </row>
    <row r="999" spans="1:9" s="249" customFormat="1" ht="16.5" customHeight="1">
      <c r="A999" s="463" t="s">
        <v>397</v>
      </c>
      <c r="B999" s="216" t="s">
        <v>29</v>
      </c>
      <c r="C999" s="203">
        <f t="shared" si="233"/>
        <v>35</v>
      </c>
      <c r="D999" s="203">
        <v>0</v>
      </c>
      <c r="E999" s="203">
        <v>35</v>
      </c>
      <c r="F999" s="203">
        <v>0</v>
      </c>
      <c r="G999" s="203">
        <v>0</v>
      </c>
      <c r="H999" s="203">
        <v>0</v>
      </c>
      <c r="I999" s="203">
        <v>0</v>
      </c>
    </row>
    <row r="1000" spans="1:9" s="249" customFormat="1">
      <c r="A1000" s="504"/>
      <c r="B1000" s="217" t="s">
        <v>30</v>
      </c>
      <c r="C1000" s="203">
        <f t="shared" si="233"/>
        <v>35</v>
      </c>
      <c r="D1000" s="203">
        <v>0</v>
      </c>
      <c r="E1000" s="203">
        <v>35</v>
      </c>
      <c r="F1000" s="203">
        <v>0</v>
      </c>
      <c r="G1000" s="203">
        <v>0</v>
      </c>
      <c r="H1000" s="203">
        <v>0</v>
      </c>
      <c r="I1000" s="203">
        <v>0</v>
      </c>
    </row>
    <row r="1001" spans="1:9" s="249" customFormat="1" ht="16.5" customHeight="1">
      <c r="A1001" s="463" t="s">
        <v>398</v>
      </c>
      <c r="B1001" s="216" t="s">
        <v>29</v>
      </c>
      <c r="C1001" s="203">
        <f t="shared" si="233"/>
        <v>109</v>
      </c>
      <c r="D1001" s="203">
        <v>0</v>
      </c>
      <c r="E1001" s="203">
        <v>109</v>
      </c>
      <c r="F1001" s="203">
        <v>0</v>
      </c>
      <c r="G1001" s="203">
        <v>0</v>
      </c>
      <c r="H1001" s="203">
        <v>0</v>
      </c>
      <c r="I1001" s="203">
        <v>0</v>
      </c>
    </row>
    <row r="1002" spans="1:9" s="249" customFormat="1">
      <c r="A1002" s="504"/>
      <c r="B1002" s="217" t="s">
        <v>30</v>
      </c>
      <c r="C1002" s="203">
        <f t="shared" si="233"/>
        <v>109</v>
      </c>
      <c r="D1002" s="203">
        <v>0</v>
      </c>
      <c r="E1002" s="203">
        <v>109</v>
      </c>
      <c r="F1002" s="203">
        <v>0</v>
      </c>
      <c r="G1002" s="203">
        <v>0</v>
      </c>
      <c r="H1002" s="203">
        <v>0</v>
      </c>
      <c r="I1002" s="203">
        <v>0</v>
      </c>
    </row>
    <row r="1003" spans="1:9" s="249" customFormat="1" ht="16.5" customHeight="1">
      <c r="A1003" s="463" t="s">
        <v>399</v>
      </c>
      <c r="B1003" s="216" t="s">
        <v>29</v>
      </c>
      <c r="C1003" s="203">
        <f t="shared" si="233"/>
        <v>288</v>
      </c>
      <c r="D1003" s="203">
        <v>0</v>
      </c>
      <c r="E1003" s="203">
        <v>288</v>
      </c>
      <c r="F1003" s="203">
        <v>0</v>
      </c>
      <c r="G1003" s="203">
        <v>0</v>
      </c>
      <c r="H1003" s="203">
        <v>0</v>
      </c>
      <c r="I1003" s="203">
        <v>0</v>
      </c>
    </row>
    <row r="1004" spans="1:9" s="27" customFormat="1">
      <c r="A1004" s="504"/>
      <c r="B1004" s="26" t="s">
        <v>30</v>
      </c>
      <c r="C1004" s="72">
        <f t="shared" si="233"/>
        <v>288</v>
      </c>
      <c r="D1004" s="72">
        <v>0</v>
      </c>
      <c r="E1004" s="72">
        <v>288</v>
      </c>
      <c r="F1004" s="72">
        <v>0</v>
      </c>
      <c r="G1004" s="72">
        <v>0</v>
      </c>
      <c r="H1004" s="72">
        <v>0</v>
      </c>
      <c r="I1004" s="72">
        <v>0</v>
      </c>
    </row>
    <row r="1005" spans="1:9" s="249" customFormat="1" ht="16.5" customHeight="1">
      <c r="A1005" s="463" t="s">
        <v>400</v>
      </c>
      <c r="B1005" s="216" t="s">
        <v>29</v>
      </c>
      <c r="C1005" s="203">
        <f t="shared" si="233"/>
        <v>149</v>
      </c>
      <c r="D1005" s="203">
        <v>0</v>
      </c>
      <c r="E1005" s="203">
        <v>149</v>
      </c>
      <c r="F1005" s="203">
        <v>0</v>
      </c>
      <c r="G1005" s="203">
        <v>0</v>
      </c>
      <c r="H1005" s="203">
        <v>0</v>
      </c>
      <c r="I1005" s="203">
        <v>0</v>
      </c>
    </row>
    <row r="1006" spans="1:9" s="27" customFormat="1">
      <c r="A1006" s="504"/>
      <c r="B1006" s="26" t="s">
        <v>30</v>
      </c>
      <c r="C1006" s="72">
        <f t="shared" si="233"/>
        <v>149</v>
      </c>
      <c r="D1006" s="72">
        <v>0</v>
      </c>
      <c r="E1006" s="72">
        <v>149</v>
      </c>
      <c r="F1006" s="72">
        <v>0</v>
      </c>
      <c r="G1006" s="72">
        <v>0</v>
      </c>
      <c r="H1006" s="72">
        <v>0</v>
      </c>
      <c r="I1006" s="72">
        <v>0</v>
      </c>
    </row>
    <row r="1007" spans="1:9" s="95" customFormat="1" ht="24.95">
      <c r="A1007" s="128" t="s">
        <v>401</v>
      </c>
      <c r="B1007" s="129" t="s">
        <v>29</v>
      </c>
      <c r="C1007" s="130">
        <f t="shared" si="233"/>
        <v>766.18</v>
      </c>
      <c r="D1007" s="130">
        <f>D1009+D1011+D1013+D1015+D1017+D1019+D1021+D1023+D1025+D1027+D1029+D1031+D1033+D1035+D1037+D1039+D1041+D1043+D1045</f>
        <v>470.17999999999995</v>
      </c>
      <c r="E1007" s="130">
        <f t="shared" ref="E1007:I1008" si="255">E1009+E1011+E1013+E1015+E1017+E1019+E1021+E1023+E1025+E1027+E1029+E1031+E1033+E1035+E1037+E1039+E1041+E1043+E1045</f>
        <v>296</v>
      </c>
      <c r="F1007" s="130">
        <f t="shared" si="255"/>
        <v>0</v>
      </c>
      <c r="G1007" s="130">
        <f t="shared" si="255"/>
        <v>0</v>
      </c>
      <c r="H1007" s="130">
        <f t="shared" si="255"/>
        <v>0</v>
      </c>
      <c r="I1007" s="130">
        <f t="shared" si="255"/>
        <v>0</v>
      </c>
    </row>
    <row r="1008" spans="1:9" s="95" customFormat="1">
      <c r="A1008" s="131"/>
      <c r="B1008" s="132" t="s">
        <v>30</v>
      </c>
      <c r="C1008" s="130">
        <f t="shared" si="233"/>
        <v>766.18</v>
      </c>
      <c r="D1008" s="130">
        <f>D1010+D1012+D1014+D1016+D1018+D1020+D1022+D1024+D1026+D1028+D1030+D1032+D1034+D1036+D1038+D1040+D1042+D1044+D1046</f>
        <v>470.17999999999995</v>
      </c>
      <c r="E1008" s="130">
        <f t="shared" si="255"/>
        <v>296</v>
      </c>
      <c r="F1008" s="130">
        <f t="shared" si="255"/>
        <v>0</v>
      </c>
      <c r="G1008" s="130">
        <f t="shared" si="255"/>
        <v>0</v>
      </c>
      <c r="H1008" s="130">
        <f t="shared" si="255"/>
        <v>0</v>
      </c>
      <c r="I1008" s="130">
        <f t="shared" si="255"/>
        <v>0</v>
      </c>
    </row>
    <row r="1009" spans="1:9" s="213" customFormat="1" ht="28.5" customHeight="1">
      <c r="A1009" s="418" t="s">
        <v>402</v>
      </c>
      <c r="B1009" s="237" t="s">
        <v>29</v>
      </c>
      <c r="C1009" s="240">
        <f t="shared" ref="C1009:C1084" si="256">D1009+E1009+F1009+G1009+H1009+I1009</f>
        <v>29.63</v>
      </c>
      <c r="D1009" s="240">
        <v>29.63</v>
      </c>
      <c r="E1009" s="64">
        <v>0</v>
      </c>
      <c r="F1009" s="240">
        <v>0</v>
      </c>
      <c r="G1009" s="240">
        <v>0</v>
      </c>
      <c r="H1009" s="240">
        <v>0</v>
      </c>
      <c r="I1009" s="240">
        <v>0</v>
      </c>
    </row>
    <row r="1010" spans="1:9" s="20" customFormat="1" ht="14.1">
      <c r="A1010" s="393"/>
      <c r="B1010" s="62" t="s">
        <v>30</v>
      </c>
      <c r="C1010" s="64">
        <f t="shared" si="256"/>
        <v>29.63</v>
      </c>
      <c r="D1010" s="64">
        <v>29.63</v>
      </c>
      <c r="E1010" s="64">
        <v>0</v>
      </c>
      <c r="F1010" s="64">
        <v>0</v>
      </c>
      <c r="G1010" s="64">
        <v>0</v>
      </c>
      <c r="H1010" s="64">
        <v>0</v>
      </c>
      <c r="I1010" s="64">
        <v>0</v>
      </c>
    </row>
    <row r="1011" spans="1:9" s="213" customFormat="1" ht="15" customHeight="1">
      <c r="A1011" s="453" t="s">
        <v>403</v>
      </c>
      <c r="B1011" s="237" t="s">
        <v>29</v>
      </c>
      <c r="C1011" s="240">
        <f t="shared" si="256"/>
        <v>37.96</v>
      </c>
      <c r="D1011" s="240">
        <v>37.96</v>
      </c>
      <c r="E1011" s="240">
        <v>0</v>
      </c>
      <c r="F1011" s="240">
        <v>0</v>
      </c>
      <c r="G1011" s="240">
        <v>0</v>
      </c>
      <c r="H1011" s="240">
        <v>0</v>
      </c>
      <c r="I1011" s="240">
        <v>0</v>
      </c>
    </row>
    <row r="1012" spans="1:9" s="213" customFormat="1" ht="14.1">
      <c r="A1012" s="393"/>
      <c r="B1012" s="226" t="s">
        <v>30</v>
      </c>
      <c r="C1012" s="240">
        <f t="shared" si="256"/>
        <v>37.96</v>
      </c>
      <c r="D1012" s="240">
        <v>37.96</v>
      </c>
      <c r="E1012" s="240">
        <v>0</v>
      </c>
      <c r="F1012" s="240">
        <v>0</v>
      </c>
      <c r="G1012" s="240">
        <v>0</v>
      </c>
      <c r="H1012" s="240">
        <v>0</v>
      </c>
      <c r="I1012" s="240">
        <v>0</v>
      </c>
    </row>
    <row r="1013" spans="1:9" s="213" customFormat="1" ht="15" customHeight="1">
      <c r="A1013" s="453" t="s">
        <v>404</v>
      </c>
      <c r="B1013" s="237" t="s">
        <v>29</v>
      </c>
      <c r="C1013" s="240">
        <f t="shared" si="256"/>
        <v>34.479999999999997</v>
      </c>
      <c r="D1013" s="240">
        <v>34.479999999999997</v>
      </c>
      <c r="E1013" s="240">
        <v>0</v>
      </c>
      <c r="F1013" s="240">
        <v>0</v>
      </c>
      <c r="G1013" s="240">
        <v>0</v>
      </c>
      <c r="H1013" s="240">
        <v>0</v>
      </c>
      <c r="I1013" s="240">
        <v>0</v>
      </c>
    </row>
    <row r="1014" spans="1:9" s="213" customFormat="1" ht="14.1">
      <c r="A1014" s="393"/>
      <c r="B1014" s="226" t="s">
        <v>30</v>
      </c>
      <c r="C1014" s="240">
        <f t="shared" si="256"/>
        <v>34.479999999999997</v>
      </c>
      <c r="D1014" s="240">
        <v>34.479999999999997</v>
      </c>
      <c r="E1014" s="240">
        <v>0</v>
      </c>
      <c r="F1014" s="240">
        <v>0</v>
      </c>
      <c r="G1014" s="240">
        <v>0</v>
      </c>
      <c r="H1014" s="240">
        <v>0</v>
      </c>
      <c r="I1014" s="240">
        <v>0</v>
      </c>
    </row>
    <row r="1015" spans="1:9" s="213" customFormat="1" ht="15" customHeight="1">
      <c r="A1015" s="453" t="s">
        <v>405</v>
      </c>
      <c r="B1015" s="237" t="s">
        <v>29</v>
      </c>
      <c r="C1015" s="240">
        <f t="shared" si="256"/>
        <v>66.55</v>
      </c>
      <c r="D1015" s="240">
        <v>66.55</v>
      </c>
      <c r="E1015" s="240">
        <v>0</v>
      </c>
      <c r="F1015" s="240">
        <v>0</v>
      </c>
      <c r="G1015" s="240">
        <v>0</v>
      </c>
      <c r="H1015" s="240">
        <v>0</v>
      </c>
      <c r="I1015" s="240">
        <v>0</v>
      </c>
    </row>
    <row r="1016" spans="1:9" s="213" customFormat="1" ht="14.1">
      <c r="A1016" s="393"/>
      <c r="B1016" s="226" t="s">
        <v>30</v>
      </c>
      <c r="C1016" s="240">
        <f t="shared" si="256"/>
        <v>66.55</v>
      </c>
      <c r="D1016" s="240">
        <v>66.55</v>
      </c>
      <c r="E1016" s="240">
        <v>0</v>
      </c>
      <c r="F1016" s="240">
        <v>0</v>
      </c>
      <c r="G1016" s="240">
        <v>0</v>
      </c>
      <c r="H1016" s="240">
        <v>0</v>
      </c>
      <c r="I1016" s="240">
        <v>0</v>
      </c>
    </row>
    <row r="1017" spans="1:9" s="213" customFormat="1" ht="15.75" customHeight="1">
      <c r="A1017" s="453" t="s">
        <v>406</v>
      </c>
      <c r="B1017" s="237" t="s">
        <v>29</v>
      </c>
      <c r="C1017" s="240">
        <f t="shared" si="256"/>
        <v>23.44</v>
      </c>
      <c r="D1017" s="240">
        <v>23.44</v>
      </c>
      <c r="E1017" s="240">
        <v>0</v>
      </c>
      <c r="F1017" s="240">
        <v>0</v>
      </c>
      <c r="G1017" s="240">
        <v>0</v>
      </c>
      <c r="H1017" s="240">
        <v>0</v>
      </c>
      <c r="I1017" s="240">
        <v>0</v>
      </c>
    </row>
    <row r="1018" spans="1:9" s="213" customFormat="1" ht="14.1">
      <c r="A1018" s="393"/>
      <c r="B1018" s="226" t="s">
        <v>30</v>
      </c>
      <c r="C1018" s="240">
        <f t="shared" si="256"/>
        <v>23.44</v>
      </c>
      <c r="D1018" s="240">
        <v>23.44</v>
      </c>
      <c r="E1018" s="240">
        <v>0</v>
      </c>
      <c r="F1018" s="240">
        <v>0</v>
      </c>
      <c r="G1018" s="240">
        <v>0</v>
      </c>
      <c r="H1018" s="240">
        <v>0</v>
      </c>
      <c r="I1018" s="240">
        <v>0</v>
      </c>
    </row>
    <row r="1019" spans="1:9" s="213" customFormat="1" ht="16.5" customHeight="1">
      <c r="A1019" s="453" t="s">
        <v>407</v>
      </c>
      <c r="B1019" s="237" t="s">
        <v>29</v>
      </c>
      <c r="C1019" s="240">
        <f t="shared" si="256"/>
        <v>3.45</v>
      </c>
      <c r="D1019" s="240">
        <v>3.45</v>
      </c>
      <c r="E1019" s="240">
        <v>0</v>
      </c>
      <c r="F1019" s="240">
        <v>0</v>
      </c>
      <c r="G1019" s="240">
        <v>0</v>
      </c>
      <c r="H1019" s="240">
        <v>0</v>
      </c>
      <c r="I1019" s="240">
        <v>0</v>
      </c>
    </row>
    <row r="1020" spans="1:9" s="27" customFormat="1" ht="14.1">
      <c r="A1020" s="283"/>
      <c r="B1020" s="26" t="s">
        <v>30</v>
      </c>
      <c r="C1020" s="72">
        <f t="shared" si="256"/>
        <v>3.45</v>
      </c>
      <c r="D1020" s="72">
        <v>3.45</v>
      </c>
      <c r="E1020" s="72">
        <v>0</v>
      </c>
      <c r="F1020" s="72">
        <v>0</v>
      </c>
      <c r="G1020" s="72">
        <v>0</v>
      </c>
      <c r="H1020" s="72">
        <v>0</v>
      </c>
      <c r="I1020" s="72">
        <v>0</v>
      </c>
    </row>
    <row r="1021" spans="1:9" s="213" customFormat="1" ht="15" customHeight="1">
      <c r="A1021" s="453" t="s">
        <v>408</v>
      </c>
      <c r="B1021" s="237" t="s">
        <v>29</v>
      </c>
      <c r="C1021" s="240">
        <f t="shared" si="256"/>
        <v>172.89</v>
      </c>
      <c r="D1021" s="240">
        <v>67.89</v>
      </c>
      <c r="E1021" s="240">
        <v>105</v>
      </c>
      <c r="F1021" s="240">
        <v>0</v>
      </c>
      <c r="G1021" s="240">
        <v>0</v>
      </c>
      <c r="H1021" s="240">
        <v>0</v>
      </c>
      <c r="I1021" s="240">
        <v>0</v>
      </c>
    </row>
    <row r="1022" spans="1:9" s="213" customFormat="1" ht="14.1">
      <c r="A1022" s="393"/>
      <c r="B1022" s="226" t="s">
        <v>30</v>
      </c>
      <c r="C1022" s="240">
        <f t="shared" si="256"/>
        <v>172.89</v>
      </c>
      <c r="D1022" s="240">
        <v>67.89</v>
      </c>
      <c r="E1022" s="240">
        <v>105</v>
      </c>
      <c r="F1022" s="240">
        <v>0</v>
      </c>
      <c r="G1022" s="240">
        <v>0</v>
      </c>
      <c r="H1022" s="240">
        <v>0</v>
      </c>
      <c r="I1022" s="240">
        <v>0</v>
      </c>
    </row>
    <row r="1023" spans="1:9" s="213" customFormat="1" ht="15" customHeight="1">
      <c r="A1023" s="453" t="s">
        <v>409</v>
      </c>
      <c r="B1023" s="237" t="s">
        <v>29</v>
      </c>
      <c r="C1023" s="240">
        <f t="shared" si="256"/>
        <v>56.510000000000005</v>
      </c>
      <c r="D1023" s="240">
        <v>27.51</v>
      </c>
      <c r="E1023" s="240">
        <v>29</v>
      </c>
      <c r="F1023" s="240">
        <v>0</v>
      </c>
      <c r="G1023" s="240">
        <v>0</v>
      </c>
      <c r="H1023" s="240">
        <v>0</v>
      </c>
      <c r="I1023" s="240">
        <v>0</v>
      </c>
    </row>
    <row r="1024" spans="1:9" s="213" customFormat="1" ht="14.1">
      <c r="A1024" s="393"/>
      <c r="B1024" s="226" t="s">
        <v>30</v>
      </c>
      <c r="C1024" s="240">
        <f t="shared" si="256"/>
        <v>56.510000000000005</v>
      </c>
      <c r="D1024" s="240">
        <v>27.51</v>
      </c>
      <c r="E1024" s="240">
        <v>29</v>
      </c>
      <c r="F1024" s="240">
        <v>0</v>
      </c>
      <c r="G1024" s="240">
        <v>0</v>
      </c>
      <c r="H1024" s="240">
        <v>0</v>
      </c>
      <c r="I1024" s="240">
        <v>0</v>
      </c>
    </row>
    <row r="1025" spans="1:9" s="213" customFormat="1" ht="15" customHeight="1">
      <c r="A1025" s="453" t="s">
        <v>410</v>
      </c>
      <c r="B1025" s="237" t="s">
        <v>29</v>
      </c>
      <c r="C1025" s="240">
        <f t="shared" si="256"/>
        <v>64.27</v>
      </c>
      <c r="D1025" s="240">
        <v>64.27</v>
      </c>
      <c r="E1025" s="240">
        <v>0</v>
      </c>
      <c r="F1025" s="240">
        <v>0</v>
      </c>
      <c r="G1025" s="240">
        <v>0</v>
      </c>
      <c r="H1025" s="240">
        <v>0</v>
      </c>
      <c r="I1025" s="240">
        <v>0</v>
      </c>
    </row>
    <row r="1026" spans="1:9" s="249" customFormat="1" ht="14.1">
      <c r="A1026" s="283"/>
      <c r="B1026" s="217" t="s">
        <v>30</v>
      </c>
      <c r="C1026" s="203">
        <f t="shared" si="256"/>
        <v>64.27</v>
      </c>
      <c r="D1026" s="203">
        <v>64.27</v>
      </c>
      <c r="E1026" s="203">
        <v>0</v>
      </c>
      <c r="F1026" s="203">
        <v>0</v>
      </c>
      <c r="G1026" s="203">
        <v>0</v>
      </c>
      <c r="H1026" s="203">
        <v>0</v>
      </c>
      <c r="I1026" s="203">
        <v>0</v>
      </c>
    </row>
    <row r="1027" spans="1:9" s="213" customFormat="1" ht="15" customHeight="1">
      <c r="A1027" s="453" t="s">
        <v>411</v>
      </c>
      <c r="B1027" s="237" t="s">
        <v>29</v>
      </c>
      <c r="C1027" s="240">
        <f t="shared" si="256"/>
        <v>3.62</v>
      </c>
      <c r="D1027" s="240">
        <v>3.62</v>
      </c>
      <c r="E1027" s="240">
        <v>0</v>
      </c>
      <c r="F1027" s="240">
        <v>0</v>
      </c>
      <c r="G1027" s="240">
        <v>0</v>
      </c>
      <c r="H1027" s="240">
        <v>0</v>
      </c>
      <c r="I1027" s="240">
        <v>0</v>
      </c>
    </row>
    <row r="1028" spans="1:9" s="213" customFormat="1" ht="14.1">
      <c r="A1028" s="393"/>
      <c r="B1028" s="226" t="s">
        <v>30</v>
      </c>
      <c r="C1028" s="240">
        <f t="shared" si="256"/>
        <v>3.62</v>
      </c>
      <c r="D1028" s="240">
        <v>3.62</v>
      </c>
      <c r="E1028" s="240">
        <v>0</v>
      </c>
      <c r="F1028" s="240">
        <v>0</v>
      </c>
      <c r="G1028" s="240">
        <v>0</v>
      </c>
      <c r="H1028" s="240">
        <v>0</v>
      </c>
      <c r="I1028" s="240">
        <v>0</v>
      </c>
    </row>
    <row r="1029" spans="1:9" s="213" customFormat="1" ht="29.25" customHeight="1">
      <c r="A1029" s="418" t="s">
        <v>412</v>
      </c>
      <c r="B1029" s="237" t="s">
        <v>29</v>
      </c>
      <c r="C1029" s="240">
        <f t="shared" si="256"/>
        <v>28.45</v>
      </c>
      <c r="D1029" s="240">
        <v>28.45</v>
      </c>
      <c r="E1029" s="240">
        <v>0</v>
      </c>
      <c r="F1029" s="240">
        <v>0</v>
      </c>
      <c r="G1029" s="240">
        <v>0</v>
      </c>
      <c r="H1029" s="240">
        <v>0</v>
      </c>
      <c r="I1029" s="240">
        <v>0</v>
      </c>
    </row>
    <row r="1030" spans="1:9" s="249" customFormat="1" ht="14.1">
      <c r="A1030" s="283"/>
      <c r="B1030" s="217" t="s">
        <v>30</v>
      </c>
      <c r="C1030" s="203">
        <f t="shared" si="256"/>
        <v>28.45</v>
      </c>
      <c r="D1030" s="203">
        <v>28.45</v>
      </c>
      <c r="E1030" s="203">
        <v>0</v>
      </c>
      <c r="F1030" s="203">
        <v>0</v>
      </c>
      <c r="G1030" s="203">
        <v>0</v>
      </c>
      <c r="H1030" s="203">
        <v>0</v>
      </c>
      <c r="I1030" s="203">
        <v>0</v>
      </c>
    </row>
    <row r="1031" spans="1:9" s="213" customFormat="1" ht="12.75" customHeight="1">
      <c r="A1031" s="453" t="s">
        <v>413</v>
      </c>
      <c r="B1031" s="237" t="s">
        <v>29</v>
      </c>
      <c r="C1031" s="240">
        <f t="shared" si="256"/>
        <v>43.49</v>
      </c>
      <c r="D1031" s="240">
        <v>43.49</v>
      </c>
      <c r="E1031" s="240">
        <v>0</v>
      </c>
      <c r="F1031" s="240">
        <v>0</v>
      </c>
      <c r="G1031" s="240">
        <v>0</v>
      </c>
      <c r="H1031" s="240">
        <v>0</v>
      </c>
      <c r="I1031" s="240">
        <v>0</v>
      </c>
    </row>
    <row r="1032" spans="1:9" s="213" customFormat="1" ht="14.1">
      <c r="A1032" s="393"/>
      <c r="B1032" s="226" t="s">
        <v>30</v>
      </c>
      <c r="C1032" s="240">
        <f t="shared" si="256"/>
        <v>43.49</v>
      </c>
      <c r="D1032" s="240">
        <v>43.49</v>
      </c>
      <c r="E1032" s="240">
        <v>0</v>
      </c>
      <c r="F1032" s="240">
        <v>0</v>
      </c>
      <c r="G1032" s="240">
        <v>0</v>
      </c>
      <c r="H1032" s="240">
        <v>0</v>
      </c>
      <c r="I1032" s="240">
        <v>0</v>
      </c>
    </row>
    <row r="1033" spans="1:9" s="213" customFormat="1" ht="29.25" customHeight="1">
      <c r="A1033" s="418" t="s">
        <v>414</v>
      </c>
      <c r="B1033" s="237" t="s">
        <v>29</v>
      </c>
      <c r="C1033" s="240">
        <f t="shared" si="256"/>
        <v>16.489999999999998</v>
      </c>
      <c r="D1033" s="240">
        <v>16.489999999999998</v>
      </c>
      <c r="E1033" s="240">
        <v>0</v>
      </c>
      <c r="F1033" s="240">
        <v>0</v>
      </c>
      <c r="G1033" s="240">
        <v>0</v>
      </c>
      <c r="H1033" s="240">
        <v>0</v>
      </c>
      <c r="I1033" s="240">
        <v>0</v>
      </c>
    </row>
    <row r="1034" spans="1:9" s="27" customFormat="1" ht="14.1">
      <c r="A1034" s="283"/>
      <c r="B1034" s="26" t="s">
        <v>30</v>
      </c>
      <c r="C1034" s="72">
        <f t="shared" si="256"/>
        <v>16.489999999999998</v>
      </c>
      <c r="D1034" s="72">
        <v>16.489999999999998</v>
      </c>
      <c r="E1034" s="72">
        <v>0</v>
      </c>
      <c r="F1034" s="72">
        <v>0</v>
      </c>
      <c r="G1034" s="72">
        <v>0</v>
      </c>
      <c r="H1034" s="72">
        <v>0</v>
      </c>
      <c r="I1034" s="72">
        <v>0</v>
      </c>
    </row>
    <row r="1035" spans="1:9" s="213" customFormat="1" ht="16.5" customHeight="1">
      <c r="A1035" s="454" t="s">
        <v>415</v>
      </c>
      <c r="B1035" s="237" t="s">
        <v>29</v>
      </c>
      <c r="C1035" s="240">
        <f t="shared" si="256"/>
        <v>22.95</v>
      </c>
      <c r="D1035" s="240">
        <v>22.95</v>
      </c>
      <c r="E1035" s="240">
        <v>0</v>
      </c>
      <c r="F1035" s="240">
        <v>0</v>
      </c>
      <c r="G1035" s="240">
        <v>0</v>
      </c>
      <c r="H1035" s="240">
        <v>0</v>
      </c>
      <c r="I1035" s="240">
        <v>0</v>
      </c>
    </row>
    <row r="1036" spans="1:9" s="27" customFormat="1" ht="14.1">
      <c r="A1036" s="283"/>
      <c r="B1036" s="26" t="s">
        <v>30</v>
      </c>
      <c r="C1036" s="72">
        <f t="shared" si="256"/>
        <v>22.95</v>
      </c>
      <c r="D1036" s="72">
        <v>22.95</v>
      </c>
      <c r="E1036" s="72">
        <v>0</v>
      </c>
      <c r="F1036" s="72">
        <v>0</v>
      </c>
      <c r="G1036" s="72">
        <v>0</v>
      </c>
      <c r="H1036" s="72">
        <v>0</v>
      </c>
      <c r="I1036" s="72">
        <v>0</v>
      </c>
    </row>
    <row r="1037" spans="1:9" s="213" customFormat="1" ht="15.75" customHeight="1">
      <c r="A1037" s="418" t="s">
        <v>416</v>
      </c>
      <c r="B1037" s="237" t="s">
        <v>29</v>
      </c>
      <c r="C1037" s="240">
        <f t="shared" si="256"/>
        <v>50</v>
      </c>
      <c r="D1037" s="240">
        <v>0</v>
      </c>
      <c r="E1037" s="240">
        <v>50</v>
      </c>
      <c r="F1037" s="240">
        <v>0</v>
      </c>
      <c r="G1037" s="240">
        <v>0</v>
      </c>
      <c r="H1037" s="240">
        <v>0</v>
      </c>
      <c r="I1037" s="240">
        <v>0</v>
      </c>
    </row>
    <row r="1038" spans="1:9" s="213" customFormat="1" ht="14.1">
      <c r="A1038" s="393"/>
      <c r="B1038" s="226" t="s">
        <v>30</v>
      </c>
      <c r="C1038" s="240">
        <f t="shared" si="256"/>
        <v>50</v>
      </c>
      <c r="D1038" s="240">
        <v>0</v>
      </c>
      <c r="E1038" s="240">
        <v>50</v>
      </c>
      <c r="F1038" s="240">
        <v>0</v>
      </c>
      <c r="G1038" s="240">
        <v>0</v>
      </c>
      <c r="H1038" s="240">
        <v>0</v>
      </c>
      <c r="I1038" s="240">
        <v>0</v>
      </c>
    </row>
    <row r="1039" spans="1:9" s="213" customFormat="1" ht="15" customHeight="1">
      <c r="A1039" s="418" t="s">
        <v>417</v>
      </c>
      <c r="B1039" s="237" t="s">
        <v>29</v>
      </c>
      <c r="C1039" s="240">
        <f t="shared" si="256"/>
        <v>60</v>
      </c>
      <c r="D1039" s="240">
        <v>0</v>
      </c>
      <c r="E1039" s="240">
        <v>60</v>
      </c>
      <c r="F1039" s="240">
        <v>0</v>
      </c>
      <c r="G1039" s="240">
        <v>0</v>
      </c>
      <c r="H1039" s="240">
        <v>0</v>
      </c>
      <c r="I1039" s="240">
        <v>0</v>
      </c>
    </row>
    <row r="1040" spans="1:9" s="213" customFormat="1" ht="14.1">
      <c r="A1040" s="393"/>
      <c r="B1040" s="226" t="s">
        <v>30</v>
      </c>
      <c r="C1040" s="240">
        <f t="shared" si="256"/>
        <v>60</v>
      </c>
      <c r="D1040" s="240">
        <v>0</v>
      </c>
      <c r="E1040" s="240">
        <v>60</v>
      </c>
      <c r="F1040" s="240">
        <v>0</v>
      </c>
      <c r="G1040" s="240">
        <v>0</v>
      </c>
      <c r="H1040" s="240">
        <v>0</v>
      </c>
      <c r="I1040" s="240">
        <v>0</v>
      </c>
    </row>
    <row r="1041" spans="1:9" s="213" customFormat="1" ht="13.5" customHeight="1">
      <c r="A1041" s="418" t="s">
        <v>418</v>
      </c>
      <c r="B1041" s="237" t="s">
        <v>29</v>
      </c>
      <c r="C1041" s="240">
        <f t="shared" si="256"/>
        <v>32</v>
      </c>
      <c r="D1041" s="240">
        <v>0</v>
      </c>
      <c r="E1041" s="240">
        <v>32</v>
      </c>
      <c r="F1041" s="240">
        <v>0</v>
      </c>
      <c r="G1041" s="240">
        <v>0</v>
      </c>
      <c r="H1041" s="240">
        <v>0</v>
      </c>
      <c r="I1041" s="240">
        <v>0</v>
      </c>
    </row>
    <row r="1042" spans="1:9" s="27" customFormat="1" ht="14.1">
      <c r="A1042" s="283"/>
      <c r="B1042" s="26" t="s">
        <v>30</v>
      </c>
      <c r="C1042" s="72">
        <f t="shared" si="256"/>
        <v>32</v>
      </c>
      <c r="D1042" s="72">
        <v>0</v>
      </c>
      <c r="E1042" s="72">
        <v>32</v>
      </c>
      <c r="F1042" s="72">
        <v>0</v>
      </c>
      <c r="G1042" s="72">
        <v>0</v>
      </c>
      <c r="H1042" s="72">
        <v>0</v>
      </c>
      <c r="I1042" s="72">
        <v>0</v>
      </c>
    </row>
    <row r="1043" spans="1:9" s="213" customFormat="1" ht="14.25" customHeight="1">
      <c r="A1043" s="418" t="s">
        <v>419</v>
      </c>
      <c r="B1043" s="237" t="s">
        <v>29</v>
      </c>
      <c r="C1043" s="240">
        <f t="shared" si="256"/>
        <v>4</v>
      </c>
      <c r="D1043" s="240">
        <v>0</v>
      </c>
      <c r="E1043" s="240">
        <v>4</v>
      </c>
      <c r="F1043" s="240">
        <v>0</v>
      </c>
      <c r="G1043" s="240">
        <v>0</v>
      </c>
      <c r="H1043" s="240">
        <v>0</v>
      </c>
      <c r="I1043" s="240">
        <v>0</v>
      </c>
    </row>
    <row r="1044" spans="1:9" s="213" customFormat="1" ht="17.25" customHeight="1">
      <c r="A1044" s="393"/>
      <c r="B1044" s="226" t="s">
        <v>30</v>
      </c>
      <c r="C1044" s="240">
        <f t="shared" si="256"/>
        <v>4</v>
      </c>
      <c r="D1044" s="240">
        <v>0</v>
      </c>
      <c r="E1044" s="240">
        <v>4</v>
      </c>
      <c r="F1044" s="240">
        <v>0</v>
      </c>
      <c r="G1044" s="240">
        <v>0</v>
      </c>
      <c r="H1044" s="240">
        <v>0</v>
      </c>
      <c r="I1044" s="240">
        <v>0</v>
      </c>
    </row>
    <row r="1045" spans="1:9" s="213" customFormat="1" ht="30" customHeight="1">
      <c r="A1045" s="418" t="s">
        <v>420</v>
      </c>
      <c r="B1045" s="237" t="s">
        <v>29</v>
      </c>
      <c r="C1045" s="240">
        <f t="shared" si="256"/>
        <v>16</v>
      </c>
      <c r="D1045" s="240">
        <v>0</v>
      </c>
      <c r="E1045" s="240">
        <v>16</v>
      </c>
      <c r="F1045" s="240">
        <v>0</v>
      </c>
      <c r="G1045" s="240">
        <v>0</v>
      </c>
      <c r="H1045" s="240">
        <v>0</v>
      </c>
      <c r="I1045" s="240">
        <v>0</v>
      </c>
    </row>
    <row r="1046" spans="1:9" s="27" customFormat="1" ht="17.25" customHeight="1">
      <c r="A1046" s="283"/>
      <c r="B1046" s="26" t="s">
        <v>30</v>
      </c>
      <c r="C1046" s="72">
        <f t="shared" si="256"/>
        <v>16</v>
      </c>
      <c r="D1046" s="72">
        <v>0</v>
      </c>
      <c r="E1046" s="72">
        <v>16</v>
      </c>
      <c r="F1046" s="72">
        <v>0</v>
      </c>
      <c r="G1046" s="72">
        <v>0</v>
      </c>
      <c r="H1046" s="72">
        <v>0</v>
      </c>
      <c r="I1046" s="72">
        <v>0</v>
      </c>
    </row>
    <row r="1047" spans="1:9" s="126" customFormat="1">
      <c r="A1047" s="141" t="s">
        <v>421</v>
      </c>
      <c r="B1047" s="124" t="s">
        <v>29</v>
      </c>
      <c r="C1047" s="125">
        <f t="shared" si="256"/>
        <v>149.38999999999999</v>
      </c>
      <c r="D1047" s="125">
        <f>D1049+D1051+D1053+D1055</f>
        <v>20.39</v>
      </c>
      <c r="E1047" s="125">
        <f t="shared" ref="E1047:I1048" si="257">E1049+E1051+E1053+E1055</f>
        <v>129</v>
      </c>
      <c r="F1047" s="125">
        <f t="shared" si="257"/>
        <v>0</v>
      </c>
      <c r="G1047" s="125">
        <f t="shared" si="257"/>
        <v>0</v>
      </c>
      <c r="H1047" s="125">
        <f t="shared" si="257"/>
        <v>0</v>
      </c>
      <c r="I1047" s="125">
        <f t="shared" si="257"/>
        <v>0</v>
      </c>
    </row>
    <row r="1048" spans="1:9" s="126" customFormat="1">
      <c r="A1048" s="134"/>
      <c r="B1048" s="127" t="s">
        <v>30</v>
      </c>
      <c r="C1048" s="125">
        <f t="shared" si="256"/>
        <v>149.38999999999999</v>
      </c>
      <c r="D1048" s="125">
        <f>D1050+D1052+D1054+D1056</f>
        <v>20.39</v>
      </c>
      <c r="E1048" s="125">
        <f t="shared" si="257"/>
        <v>129</v>
      </c>
      <c r="F1048" s="125">
        <f t="shared" si="257"/>
        <v>0</v>
      </c>
      <c r="G1048" s="125">
        <f t="shared" si="257"/>
        <v>0</v>
      </c>
      <c r="H1048" s="125">
        <f t="shared" si="257"/>
        <v>0</v>
      </c>
      <c r="I1048" s="125">
        <f t="shared" si="257"/>
        <v>0</v>
      </c>
    </row>
    <row r="1049" spans="1:9" s="213" customFormat="1" ht="14.1">
      <c r="A1049" s="418" t="s">
        <v>422</v>
      </c>
      <c r="B1049" s="237" t="s">
        <v>29</v>
      </c>
      <c r="C1049" s="240">
        <f t="shared" si="256"/>
        <v>20.39</v>
      </c>
      <c r="D1049" s="240">
        <v>20.39</v>
      </c>
      <c r="E1049" s="240">
        <v>0</v>
      </c>
      <c r="F1049" s="240">
        <v>0</v>
      </c>
      <c r="G1049" s="240">
        <v>0</v>
      </c>
      <c r="H1049" s="240">
        <v>0</v>
      </c>
      <c r="I1049" s="240">
        <v>0</v>
      </c>
    </row>
    <row r="1050" spans="1:9" s="213" customFormat="1">
      <c r="A1050" s="215"/>
      <c r="B1050" s="226" t="s">
        <v>30</v>
      </c>
      <c r="C1050" s="240">
        <f t="shared" si="256"/>
        <v>20.39</v>
      </c>
      <c r="D1050" s="240">
        <v>20.39</v>
      </c>
      <c r="E1050" s="240">
        <v>0</v>
      </c>
      <c r="F1050" s="240">
        <v>0</v>
      </c>
      <c r="G1050" s="240">
        <v>0</v>
      </c>
      <c r="H1050" s="240">
        <v>0</v>
      </c>
      <c r="I1050" s="240">
        <v>0</v>
      </c>
    </row>
    <row r="1051" spans="1:9" s="213" customFormat="1" ht="14.1">
      <c r="A1051" s="374" t="s">
        <v>423</v>
      </c>
      <c r="B1051" s="237" t="s">
        <v>29</v>
      </c>
      <c r="C1051" s="240">
        <f t="shared" si="256"/>
        <v>12</v>
      </c>
      <c r="D1051" s="240">
        <v>0</v>
      </c>
      <c r="E1051" s="240">
        <v>12</v>
      </c>
      <c r="F1051" s="240">
        <v>0</v>
      </c>
      <c r="G1051" s="240">
        <v>0</v>
      </c>
      <c r="H1051" s="240">
        <v>0</v>
      </c>
      <c r="I1051" s="240">
        <v>0</v>
      </c>
    </row>
    <row r="1052" spans="1:9" s="213" customFormat="1">
      <c r="A1052" s="215"/>
      <c r="B1052" s="226" t="s">
        <v>30</v>
      </c>
      <c r="C1052" s="240">
        <f t="shared" si="256"/>
        <v>12</v>
      </c>
      <c r="D1052" s="240">
        <v>0</v>
      </c>
      <c r="E1052" s="240">
        <v>12</v>
      </c>
      <c r="F1052" s="240">
        <v>0</v>
      </c>
      <c r="G1052" s="240">
        <v>0</v>
      </c>
      <c r="H1052" s="240">
        <v>0</v>
      </c>
      <c r="I1052" s="240">
        <v>0</v>
      </c>
    </row>
    <row r="1053" spans="1:9" s="213" customFormat="1" ht="14.1">
      <c r="A1053" s="418" t="s">
        <v>424</v>
      </c>
      <c r="B1053" s="237" t="s">
        <v>29</v>
      </c>
      <c r="C1053" s="240">
        <f t="shared" si="256"/>
        <v>97</v>
      </c>
      <c r="D1053" s="240">
        <v>0</v>
      </c>
      <c r="E1053" s="240">
        <v>97</v>
      </c>
      <c r="F1053" s="240">
        <v>0</v>
      </c>
      <c r="G1053" s="240">
        <v>0</v>
      </c>
      <c r="H1053" s="240">
        <v>0</v>
      </c>
      <c r="I1053" s="240">
        <v>0</v>
      </c>
    </row>
    <row r="1054" spans="1:9" s="213" customFormat="1">
      <c r="A1054" s="215"/>
      <c r="B1054" s="226" t="s">
        <v>30</v>
      </c>
      <c r="C1054" s="240">
        <f t="shared" si="256"/>
        <v>97</v>
      </c>
      <c r="D1054" s="240">
        <v>0</v>
      </c>
      <c r="E1054" s="240">
        <v>97</v>
      </c>
      <c r="F1054" s="240">
        <v>0</v>
      </c>
      <c r="G1054" s="240">
        <v>0</v>
      </c>
      <c r="H1054" s="240">
        <v>0</v>
      </c>
      <c r="I1054" s="240">
        <v>0</v>
      </c>
    </row>
    <row r="1055" spans="1:9" s="213" customFormat="1" ht="14.1">
      <c r="A1055" s="418" t="s">
        <v>425</v>
      </c>
      <c r="B1055" s="237" t="s">
        <v>29</v>
      </c>
      <c r="C1055" s="240">
        <f t="shared" si="256"/>
        <v>20</v>
      </c>
      <c r="D1055" s="240">
        <v>0</v>
      </c>
      <c r="E1055" s="240">
        <v>20</v>
      </c>
      <c r="F1055" s="240">
        <v>0</v>
      </c>
      <c r="G1055" s="240">
        <v>0</v>
      </c>
      <c r="H1055" s="240">
        <v>0</v>
      </c>
      <c r="I1055" s="240">
        <v>0</v>
      </c>
    </row>
    <row r="1056" spans="1:9" s="213" customFormat="1">
      <c r="A1056" s="215"/>
      <c r="B1056" s="226" t="s">
        <v>30</v>
      </c>
      <c r="C1056" s="240">
        <f t="shared" si="256"/>
        <v>20</v>
      </c>
      <c r="D1056" s="240">
        <v>0</v>
      </c>
      <c r="E1056" s="240">
        <v>20</v>
      </c>
      <c r="F1056" s="240">
        <v>0</v>
      </c>
      <c r="G1056" s="240">
        <v>0</v>
      </c>
      <c r="H1056" s="240">
        <v>0</v>
      </c>
      <c r="I1056" s="240">
        <v>0</v>
      </c>
    </row>
    <row r="1057" spans="1:9" s="247" customFormat="1" ht="16.5" customHeight="1">
      <c r="A1057" s="413" t="s">
        <v>426</v>
      </c>
      <c r="B1057" s="365" t="s">
        <v>29</v>
      </c>
      <c r="C1057" s="291">
        <f t="shared" si="256"/>
        <v>129.12</v>
      </c>
      <c r="D1057" s="291">
        <f>D1073+D1075+D1077+D1079+D1081</f>
        <v>74.12</v>
      </c>
      <c r="E1057" s="291">
        <f t="shared" ref="E1057:I1058" si="258">E1073+E1075+E1077+E1079+E1081</f>
        <v>55</v>
      </c>
      <c r="F1057" s="291">
        <f t="shared" si="258"/>
        <v>0</v>
      </c>
      <c r="G1057" s="291">
        <f t="shared" si="258"/>
        <v>0</v>
      </c>
      <c r="H1057" s="291">
        <f t="shared" si="258"/>
        <v>0</v>
      </c>
      <c r="I1057" s="291">
        <f t="shared" si="258"/>
        <v>0</v>
      </c>
    </row>
    <row r="1058" spans="1:9" s="247" customFormat="1">
      <c r="A1058" s="313"/>
      <c r="B1058" s="289" t="s">
        <v>30</v>
      </c>
      <c r="C1058" s="291">
        <f t="shared" si="256"/>
        <v>129.12</v>
      </c>
      <c r="D1058" s="291">
        <f>D1074+D1076+D1078+D1080+D1082</f>
        <v>74.12</v>
      </c>
      <c r="E1058" s="291">
        <f t="shared" si="258"/>
        <v>55</v>
      </c>
      <c r="F1058" s="291">
        <f t="shared" si="258"/>
        <v>0</v>
      </c>
      <c r="G1058" s="291">
        <f t="shared" si="258"/>
        <v>0</v>
      </c>
      <c r="H1058" s="291">
        <f t="shared" si="258"/>
        <v>0</v>
      </c>
      <c r="I1058" s="291">
        <f t="shared" si="258"/>
        <v>0</v>
      </c>
    </row>
    <row r="1059" spans="1:9" s="213" customFormat="1" hidden="1">
      <c r="A1059" s="267" t="s">
        <v>41</v>
      </c>
      <c r="B1059" s="237" t="s">
        <v>29</v>
      </c>
      <c r="C1059" s="240" t="e">
        <f t="shared" si="256"/>
        <v>#REF!</v>
      </c>
      <c r="D1059" s="291" t="e">
        <f>#REF!+#REF!+#REF!+#REF!+#REF!+#REF!+#REF!+#REF!+D1083</f>
        <v>#REF!</v>
      </c>
      <c r="E1059" s="240">
        <f t="shared" ref="E1059:E1072" si="259">100+49</f>
        <v>149</v>
      </c>
      <c r="F1059" s="240">
        <f t="shared" ref="F1059:I1060" si="260">F1061</f>
        <v>0</v>
      </c>
      <c r="G1059" s="240">
        <f t="shared" si="260"/>
        <v>0</v>
      </c>
      <c r="H1059" s="240">
        <f t="shared" si="260"/>
        <v>0</v>
      </c>
      <c r="I1059" s="240">
        <f t="shared" si="260"/>
        <v>0</v>
      </c>
    </row>
    <row r="1060" spans="1:9" s="213" customFormat="1" hidden="1">
      <c r="A1060" s="215"/>
      <c r="B1060" s="226" t="s">
        <v>30</v>
      </c>
      <c r="C1060" s="240" t="e">
        <f t="shared" si="256"/>
        <v>#REF!</v>
      </c>
      <c r="D1060" s="291" t="e">
        <f>#REF!+#REF!+#REF!+#REF!+#REF!+#REF!+#REF!+#REF!+D1084</f>
        <v>#REF!</v>
      </c>
      <c r="E1060" s="240">
        <f t="shared" si="259"/>
        <v>149</v>
      </c>
      <c r="F1060" s="240">
        <f t="shared" si="260"/>
        <v>0</v>
      </c>
      <c r="G1060" s="240">
        <f t="shared" si="260"/>
        <v>0</v>
      </c>
      <c r="H1060" s="240">
        <f t="shared" si="260"/>
        <v>0</v>
      </c>
      <c r="I1060" s="240">
        <f t="shared" si="260"/>
        <v>0</v>
      </c>
    </row>
    <row r="1061" spans="1:9" s="213" customFormat="1" hidden="1">
      <c r="A1061" s="364" t="s">
        <v>427</v>
      </c>
      <c r="B1061" s="216" t="s">
        <v>29</v>
      </c>
      <c r="C1061" s="240" t="e">
        <f t="shared" si="256"/>
        <v>#REF!</v>
      </c>
      <c r="D1061" s="291" t="e">
        <f>#REF!+#REF!+#REF!+#REF!+#REF!+#REF!+#REF!+D1083+#REF!</f>
        <v>#REF!</v>
      </c>
      <c r="E1061" s="240">
        <f t="shared" si="259"/>
        <v>149</v>
      </c>
      <c r="F1061" s="240">
        <v>0</v>
      </c>
      <c r="G1061" s="240">
        <v>0</v>
      </c>
      <c r="H1061" s="240">
        <v>0</v>
      </c>
      <c r="I1061" s="240">
        <v>0</v>
      </c>
    </row>
    <row r="1062" spans="1:9" s="213" customFormat="1" hidden="1">
      <c r="A1062" s="215"/>
      <c r="B1062" s="217" t="s">
        <v>30</v>
      </c>
      <c r="C1062" s="240" t="e">
        <f t="shared" si="256"/>
        <v>#REF!</v>
      </c>
      <c r="D1062" s="291" t="e">
        <f>#REF!+#REF!+#REF!+#REF!+#REF!+#REF!+#REF!+D1084+#REF!</f>
        <v>#REF!</v>
      </c>
      <c r="E1062" s="240">
        <f t="shared" si="259"/>
        <v>149</v>
      </c>
      <c r="F1062" s="240">
        <v>0</v>
      </c>
      <c r="G1062" s="240">
        <v>0</v>
      </c>
      <c r="H1062" s="240">
        <v>0</v>
      </c>
      <c r="I1062" s="240">
        <v>0</v>
      </c>
    </row>
    <row r="1063" spans="1:9" s="213" customFormat="1" hidden="1">
      <c r="A1063" s="267" t="s">
        <v>42</v>
      </c>
      <c r="B1063" s="237" t="s">
        <v>29</v>
      </c>
      <c r="C1063" s="240" t="e">
        <f t="shared" si="256"/>
        <v>#REF!</v>
      </c>
      <c r="D1063" s="291" t="e">
        <f>#REF!+#REF!+#REF!+#REF!+#REF!+#REF!+D1083+#REF!+#REF!</f>
        <v>#REF!</v>
      </c>
      <c r="E1063" s="240">
        <f t="shared" si="259"/>
        <v>149</v>
      </c>
      <c r="F1063" s="240">
        <f t="shared" ref="F1063:I1064" si="261">F1065+F1067+F1069+F1071</f>
        <v>0</v>
      </c>
      <c r="G1063" s="240">
        <f t="shared" si="261"/>
        <v>0</v>
      </c>
      <c r="H1063" s="240">
        <f t="shared" si="261"/>
        <v>0</v>
      </c>
      <c r="I1063" s="240">
        <f t="shared" si="261"/>
        <v>0</v>
      </c>
    </row>
    <row r="1064" spans="1:9" s="213" customFormat="1" hidden="1">
      <c r="A1064" s="215"/>
      <c r="B1064" s="226" t="s">
        <v>30</v>
      </c>
      <c r="C1064" s="240" t="e">
        <f t="shared" si="256"/>
        <v>#REF!</v>
      </c>
      <c r="D1064" s="291" t="e">
        <f>#REF!+#REF!+#REF!+#REF!+#REF!+#REF!+D1084+#REF!+#REF!</f>
        <v>#REF!</v>
      </c>
      <c r="E1064" s="240">
        <f t="shared" si="259"/>
        <v>149</v>
      </c>
      <c r="F1064" s="240">
        <f t="shared" si="261"/>
        <v>0</v>
      </c>
      <c r="G1064" s="240">
        <f t="shared" si="261"/>
        <v>0</v>
      </c>
      <c r="H1064" s="240">
        <f t="shared" si="261"/>
        <v>0</v>
      </c>
      <c r="I1064" s="240">
        <f t="shared" si="261"/>
        <v>0</v>
      </c>
    </row>
    <row r="1065" spans="1:9" s="213" customFormat="1" hidden="1">
      <c r="A1065" s="364" t="s">
        <v>427</v>
      </c>
      <c r="B1065" s="216" t="s">
        <v>29</v>
      </c>
      <c r="C1065" s="240" t="e">
        <f t="shared" si="256"/>
        <v>#REF!</v>
      </c>
      <c r="D1065" s="291" t="e">
        <f>#REF!+#REF!+#REF!+#REF!+#REF!+D1083+#REF!+#REF!+#REF!</f>
        <v>#REF!</v>
      </c>
      <c r="E1065" s="240">
        <f t="shared" si="259"/>
        <v>149</v>
      </c>
      <c r="F1065" s="240">
        <v>0</v>
      </c>
      <c r="G1065" s="240">
        <v>0</v>
      </c>
      <c r="H1065" s="240">
        <v>0</v>
      </c>
      <c r="I1065" s="240">
        <v>0</v>
      </c>
    </row>
    <row r="1066" spans="1:9" s="213" customFormat="1" hidden="1">
      <c r="A1066" s="215"/>
      <c r="B1066" s="217" t="s">
        <v>30</v>
      </c>
      <c r="C1066" s="240" t="e">
        <f t="shared" si="256"/>
        <v>#REF!</v>
      </c>
      <c r="D1066" s="291" t="e">
        <f>#REF!+#REF!+#REF!+#REF!+#REF!+D1084+#REF!+#REF!+#REF!</f>
        <v>#REF!</v>
      </c>
      <c r="E1066" s="240">
        <f t="shared" si="259"/>
        <v>149</v>
      </c>
      <c r="F1066" s="240">
        <v>0</v>
      </c>
      <c r="G1066" s="240">
        <v>0</v>
      </c>
      <c r="H1066" s="240">
        <v>0</v>
      </c>
      <c r="I1066" s="240">
        <v>0</v>
      </c>
    </row>
    <row r="1067" spans="1:9" s="213" customFormat="1" hidden="1">
      <c r="A1067" s="366" t="s">
        <v>93</v>
      </c>
      <c r="B1067" s="305" t="s">
        <v>29</v>
      </c>
      <c r="C1067" s="240" t="e">
        <f t="shared" si="256"/>
        <v>#REF!</v>
      </c>
      <c r="D1067" s="291" t="e">
        <f>#REF!+#REF!+#REF!+#REF!+D1083+#REF!+#REF!+#REF!+#REF!</f>
        <v>#REF!</v>
      </c>
      <c r="E1067" s="240">
        <f t="shared" si="259"/>
        <v>149</v>
      </c>
      <c r="F1067" s="240">
        <v>0</v>
      </c>
      <c r="G1067" s="240">
        <v>0</v>
      </c>
      <c r="H1067" s="240">
        <v>0</v>
      </c>
      <c r="I1067" s="240">
        <v>0</v>
      </c>
    </row>
    <row r="1068" spans="1:9" s="213" customFormat="1" hidden="1">
      <c r="A1068" s="215"/>
      <c r="B1068" s="217" t="s">
        <v>30</v>
      </c>
      <c r="C1068" s="240" t="e">
        <f t="shared" si="256"/>
        <v>#REF!</v>
      </c>
      <c r="D1068" s="291" t="e">
        <f>#REF!+#REF!+#REF!+#REF!+D1084+#REF!+#REF!+#REF!+#REF!</f>
        <v>#REF!</v>
      </c>
      <c r="E1068" s="240">
        <f t="shared" si="259"/>
        <v>149</v>
      </c>
      <c r="F1068" s="240">
        <v>0</v>
      </c>
      <c r="G1068" s="240">
        <v>0</v>
      </c>
      <c r="H1068" s="240">
        <v>0</v>
      </c>
      <c r="I1068" s="240">
        <v>0</v>
      </c>
    </row>
    <row r="1069" spans="1:9" s="213" customFormat="1" hidden="1">
      <c r="A1069" s="364" t="s">
        <v>428</v>
      </c>
      <c r="B1069" s="216" t="s">
        <v>29</v>
      </c>
      <c r="C1069" s="240" t="e">
        <f t="shared" si="256"/>
        <v>#REF!</v>
      </c>
      <c r="D1069" s="291" t="e">
        <f>#REF!+#REF!+#REF!+D1083+#REF!+#REF!+#REF!+#REF!+#REF!</f>
        <v>#REF!</v>
      </c>
      <c r="E1069" s="240">
        <f t="shared" si="259"/>
        <v>149</v>
      </c>
      <c r="F1069" s="240">
        <v>0</v>
      </c>
      <c r="G1069" s="240">
        <v>0</v>
      </c>
      <c r="H1069" s="240">
        <v>0</v>
      </c>
      <c r="I1069" s="240">
        <v>0</v>
      </c>
    </row>
    <row r="1070" spans="1:9" s="213" customFormat="1" hidden="1">
      <c r="A1070" s="215"/>
      <c r="B1070" s="217" t="s">
        <v>30</v>
      </c>
      <c r="C1070" s="240" t="e">
        <f t="shared" si="256"/>
        <v>#REF!</v>
      </c>
      <c r="D1070" s="291" t="e">
        <f>#REF!+#REF!+#REF!+D1084+#REF!+#REF!+#REF!+#REF!+#REF!</f>
        <v>#REF!</v>
      </c>
      <c r="E1070" s="240">
        <f t="shared" si="259"/>
        <v>149</v>
      </c>
      <c r="F1070" s="240">
        <v>0</v>
      </c>
      <c r="G1070" s="240">
        <v>0</v>
      </c>
      <c r="H1070" s="240">
        <v>0</v>
      </c>
      <c r="I1070" s="240">
        <v>0</v>
      </c>
    </row>
    <row r="1071" spans="1:9" s="249" customFormat="1" hidden="1">
      <c r="A1071" s="364" t="s">
        <v>429</v>
      </c>
      <c r="B1071" s="305" t="s">
        <v>29</v>
      </c>
      <c r="C1071" s="203" t="e">
        <f t="shared" si="256"/>
        <v>#REF!</v>
      </c>
      <c r="D1071" s="291" t="e">
        <f>#REF!+#REF!+D1083+#REF!+#REF!+#REF!+#REF!+#REF!+#REF!</f>
        <v>#REF!</v>
      </c>
      <c r="E1071" s="240">
        <f t="shared" si="259"/>
        <v>149</v>
      </c>
      <c r="F1071" s="203">
        <v>0</v>
      </c>
      <c r="G1071" s="203">
        <v>0</v>
      </c>
      <c r="H1071" s="203">
        <v>0</v>
      </c>
      <c r="I1071" s="203">
        <v>0</v>
      </c>
    </row>
    <row r="1072" spans="1:9" s="249" customFormat="1" hidden="1">
      <c r="A1072" s="202"/>
      <c r="B1072" s="217" t="s">
        <v>30</v>
      </c>
      <c r="C1072" s="203" t="e">
        <f t="shared" si="256"/>
        <v>#REF!</v>
      </c>
      <c r="D1072" s="291" t="e">
        <f>#REF!+#REF!+D1084+#REF!+#REF!+#REF!+#REF!+#REF!+#REF!</f>
        <v>#REF!</v>
      </c>
      <c r="E1072" s="240">
        <f t="shared" si="259"/>
        <v>149</v>
      </c>
      <c r="F1072" s="203">
        <v>0</v>
      </c>
      <c r="G1072" s="203">
        <v>0</v>
      </c>
      <c r="H1072" s="203">
        <v>0</v>
      </c>
      <c r="I1072" s="203">
        <v>0</v>
      </c>
    </row>
    <row r="1073" spans="1:9" s="213" customFormat="1" ht="16.5" customHeight="1">
      <c r="A1073" s="452" t="s">
        <v>430</v>
      </c>
      <c r="B1073" s="237" t="s">
        <v>29</v>
      </c>
      <c r="C1073" s="240">
        <f t="shared" si="256"/>
        <v>22.61</v>
      </c>
      <c r="D1073" s="240">
        <v>22.61</v>
      </c>
      <c r="E1073" s="240">
        <v>0</v>
      </c>
      <c r="F1073" s="240">
        <v>0</v>
      </c>
      <c r="G1073" s="240">
        <v>0</v>
      </c>
      <c r="H1073" s="240">
        <v>0</v>
      </c>
      <c r="I1073" s="240">
        <v>0</v>
      </c>
    </row>
    <row r="1074" spans="1:9" s="20" customFormat="1" ht="14.1">
      <c r="A1074" s="393"/>
      <c r="B1074" s="62" t="s">
        <v>30</v>
      </c>
      <c r="C1074" s="64">
        <f t="shared" si="256"/>
        <v>22.61</v>
      </c>
      <c r="D1074" s="64">
        <v>22.61</v>
      </c>
      <c r="E1074" s="64">
        <v>0</v>
      </c>
      <c r="F1074" s="64">
        <v>0</v>
      </c>
      <c r="G1074" s="64">
        <v>0</v>
      </c>
      <c r="H1074" s="64">
        <v>0</v>
      </c>
      <c r="I1074" s="64">
        <v>0</v>
      </c>
    </row>
    <row r="1075" spans="1:9" s="213" customFormat="1" ht="15.75" customHeight="1">
      <c r="A1075" s="455" t="s">
        <v>431</v>
      </c>
      <c r="B1075" s="237" t="s">
        <v>29</v>
      </c>
      <c r="C1075" s="240">
        <f t="shared" si="256"/>
        <v>17.3</v>
      </c>
      <c r="D1075" s="240">
        <v>17.3</v>
      </c>
      <c r="E1075" s="240">
        <v>0</v>
      </c>
      <c r="F1075" s="240">
        <v>0</v>
      </c>
      <c r="G1075" s="240">
        <v>0</v>
      </c>
      <c r="H1075" s="240">
        <v>0</v>
      </c>
      <c r="I1075" s="240">
        <v>0</v>
      </c>
    </row>
    <row r="1076" spans="1:9" s="213" customFormat="1" ht="14.1">
      <c r="A1076" s="393"/>
      <c r="B1076" s="226" t="s">
        <v>30</v>
      </c>
      <c r="C1076" s="240">
        <f t="shared" si="256"/>
        <v>17.3</v>
      </c>
      <c r="D1076" s="240">
        <v>17.3</v>
      </c>
      <c r="E1076" s="240">
        <v>0</v>
      </c>
      <c r="F1076" s="240">
        <v>0</v>
      </c>
      <c r="G1076" s="240">
        <v>0</v>
      </c>
      <c r="H1076" s="240">
        <v>0</v>
      </c>
      <c r="I1076" s="240">
        <v>0</v>
      </c>
    </row>
    <row r="1077" spans="1:9" s="213" customFormat="1" ht="15.75" customHeight="1">
      <c r="A1077" s="406" t="s">
        <v>432</v>
      </c>
      <c r="B1077" s="237" t="s">
        <v>29</v>
      </c>
      <c r="C1077" s="240">
        <f t="shared" si="256"/>
        <v>7.5</v>
      </c>
      <c r="D1077" s="240">
        <v>7.5</v>
      </c>
      <c r="E1077" s="240">
        <v>0</v>
      </c>
      <c r="F1077" s="240">
        <v>0</v>
      </c>
      <c r="G1077" s="240">
        <v>0</v>
      </c>
      <c r="H1077" s="240">
        <v>0</v>
      </c>
      <c r="I1077" s="240">
        <v>0</v>
      </c>
    </row>
    <row r="1078" spans="1:9" s="213" customFormat="1" ht="14.1">
      <c r="A1078" s="283"/>
      <c r="B1078" s="217" t="s">
        <v>30</v>
      </c>
      <c r="C1078" s="203">
        <f t="shared" si="256"/>
        <v>7.5</v>
      </c>
      <c r="D1078" s="203">
        <v>7.5</v>
      </c>
      <c r="E1078" s="203">
        <v>0</v>
      </c>
      <c r="F1078" s="203">
        <v>0</v>
      </c>
      <c r="G1078" s="203">
        <v>0</v>
      </c>
      <c r="H1078" s="203">
        <v>0</v>
      </c>
      <c r="I1078" s="203">
        <v>0</v>
      </c>
    </row>
    <row r="1079" spans="1:9" s="213" customFormat="1" ht="29.25" customHeight="1">
      <c r="A1079" s="406" t="s">
        <v>433</v>
      </c>
      <c r="B1079" s="237" t="s">
        <v>29</v>
      </c>
      <c r="C1079" s="240">
        <f t="shared" si="256"/>
        <v>66.710000000000008</v>
      </c>
      <c r="D1079" s="240">
        <v>26.71</v>
      </c>
      <c r="E1079" s="240">
        <v>40</v>
      </c>
      <c r="F1079" s="240">
        <v>0</v>
      </c>
      <c r="G1079" s="240">
        <v>0</v>
      </c>
      <c r="H1079" s="240">
        <v>0</v>
      </c>
      <c r="I1079" s="240">
        <v>0</v>
      </c>
    </row>
    <row r="1080" spans="1:9" s="213" customFormat="1" ht="14.1">
      <c r="A1080" s="283"/>
      <c r="B1080" s="217" t="s">
        <v>30</v>
      </c>
      <c r="C1080" s="203">
        <f t="shared" si="256"/>
        <v>66.710000000000008</v>
      </c>
      <c r="D1080" s="203">
        <v>26.71</v>
      </c>
      <c r="E1080" s="203">
        <v>40</v>
      </c>
      <c r="F1080" s="203">
        <v>0</v>
      </c>
      <c r="G1080" s="203">
        <v>0</v>
      </c>
      <c r="H1080" s="203">
        <v>0</v>
      </c>
      <c r="I1080" s="203">
        <v>0</v>
      </c>
    </row>
    <row r="1081" spans="1:9" s="213" customFormat="1" ht="16.5" customHeight="1">
      <c r="A1081" s="406" t="s">
        <v>434</v>
      </c>
      <c r="B1081" s="237" t="s">
        <v>29</v>
      </c>
      <c r="C1081" s="240">
        <f t="shared" si="256"/>
        <v>15</v>
      </c>
      <c r="D1081" s="240">
        <v>0</v>
      </c>
      <c r="E1081" s="240">
        <v>15</v>
      </c>
      <c r="F1081" s="240">
        <v>0</v>
      </c>
      <c r="G1081" s="240">
        <v>0</v>
      </c>
      <c r="H1081" s="240">
        <v>0</v>
      </c>
      <c r="I1081" s="240">
        <v>0</v>
      </c>
    </row>
    <row r="1082" spans="1:9" s="213" customFormat="1" ht="14.1">
      <c r="A1082" s="283"/>
      <c r="B1082" s="217" t="s">
        <v>30</v>
      </c>
      <c r="C1082" s="203">
        <f t="shared" si="256"/>
        <v>15</v>
      </c>
      <c r="D1082" s="203">
        <v>0</v>
      </c>
      <c r="E1082" s="203">
        <v>15</v>
      </c>
      <c r="F1082" s="203">
        <v>0</v>
      </c>
      <c r="G1082" s="203">
        <v>0</v>
      </c>
      <c r="H1082" s="203">
        <v>0</v>
      </c>
      <c r="I1082" s="203">
        <v>0</v>
      </c>
    </row>
    <row r="1083" spans="1:9" s="247" customFormat="1">
      <c r="A1083" s="227" t="s">
        <v>435</v>
      </c>
      <c r="B1083" s="365" t="s">
        <v>29</v>
      </c>
      <c r="C1083" s="291">
        <f t="shared" si="256"/>
        <v>844.16</v>
      </c>
      <c r="D1083" s="291">
        <f>D1085+D1087+D1089+D1091</f>
        <v>829.16</v>
      </c>
      <c r="E1083" s="291">
        <f t="shared" ref="E1083:I1084" si="262">E1085+E1087+E1089+E1091</f>
        <v>15</v>
      </c>
      <c r="F1083" s="291">
        <f t="shared" si="262"/>
        <v>0</v>
      </c>
      <c r="G1083" s="291">
        <f t="shared" si="262"/>
        <v>0</v>
      </c>
      <c r="H1083" s="291">
        <f t="shared" si="262"/>
        <v>0</v>
      </c>
      <c r="I1083" s="291">
        <f t="shared" si="262"/>
        <v>0</v>
      </c>
    </row>
    <row r="1084" spans="1:9" s="247" customFormat="1">
      <c r="A1084" s="313"/>
      <c r="B1084" s="289" t="s">
        <v>30</v>
      </c>
      <c r="C1084" s="291">
        <f t="shared" si="256"/>
        <v>844.16</v>
      </c>
      <c r="D1084" s="291">
        <f>D1086+D1088+D1090+D1092</f>
        <v>829.16</v>
      </c>
      <c r="E1084" s="291">
        <f t="shared" si="262"/>
        <v>15</v>
      </c>
      <c r="F1084" s="291">
        <f t="shared" si="262"/>
        <v>0</v>
      </c>
      <c r="G1084" s="291">
        <f t="shared" si="262"/>
        <v>0</v>
      </c>
      <c r="H1084" s="291">
        <f t="shared" si="262"/>
        <v>0</v>
      </c>
      <c r="I1084" s="291">
        <f t="shared" si="262"/>
        <v>0</v>
      </c>
    </row>
    <row r="1085" spans="1:9" s="213" customFormat="1" ht="14.1">
      <c r="A1085" s="456" t="s">
        <v>436</v>
      </c>
      <c r="B1085" s="237" t="s">
        <v>29</v>
      </c>
      <c r="C1085" s="240">
        <f t="shared" ref="C1085:C1158" si="263">D1085+E1085+F1085+G1085+H1085+I1085</f>
        <v>759.9</v>
      </c>
      <c r="D1085" s="240">
        <v>759.9</v>
      </c>
      <c r="E1085" s="240">
        <v>0</v>
      </c>
      <c r="F1085" s="240">
        <v>0</v>
      </c>
      <c r="G1085" s="240">
        <v>0</v>
      </c>
      <c r="H1085" s="240">
        <v>0</v>
      </c>
      <c r="I1085" s="240">
        <v>0</v>
      </c>
    </row>
    <row r="1086" spans="1:9" s="213" customFormat="1">
      <c r="A1086" s="215"/>
      <c r="B1086" s="226" t="s">
        <v>30</v>
      </c>
      <c r="C1086" s="240">
        <f t="shared" si="263"/>
        <v>759.9</v>
      </c>
      <c r="D1086" s="240">
        <v>759.9</v>
      </c>
      <c r="E1086" s="240">
        <v>0</v>
      </c>
      <c r="F1086" s="240">
        <v>0</v>
      </c>
      <c r="G1086" s="240">
        <v>0</v>
      </c>
      <c r="H1086" s="240">
        <v>0</v>
      </c>
      <c r="I1086" s="240">
        <v>0</v>
      </c>
    </row>
    <row r="1087" spans="1:9" s="213" customFormat="1" ht="14.1">
      <c r="A1087" s="457" t="s">
        <v>437</v>
      </c>
      <c r="B1087" s="237" t="s">
        <v>29</v>
      </c>
      <c r="C1087" s="240">
        <f t="shared" si="263"/>
        <v>20.99</v>
      </c>
      <c r="D1087" s="240">
        <v>20.99</v>
      </c>
      <c r="E1087" s="240">
        <v>0</v>
      </c>
      <c r="F1087" s="240">
        <v>0</v>
      </c>
      <c r="G1087" s="240">
        <v>0</v>
      </c>
      <c r="H1087" s="240">
        <v>0</v>
      </c>
      <c r="I1087" s="240">
        <v>0</v>
      </c>
    </row>
    <row r="1088" spans="1:9" s="20" customFormat="1">
      <c r="A1088" s="12"/>
      <c r="B1088" s="62" t="s">
        <v>30</v>
      </c>
      <c r="C1088" s="64">
        <f t="shared" si="263"/>
        <v>20.99</v>
      </c>
      <c r="D1088" s="64">
        <v>20.99</v>
      </c>
      <c r="E1088" s="64">
        <v>0</v>
      </c>
      <c r="F1088" s="64">
        <v>0</v>
      </c>
      <c r="G1088" s="64">
        <v>0</v>
      </c>
      <c r="H1088" s="64">
        <v>0</v>
      </c>
      <c r="I1088" s="64">
        <v>0</v>
      </c>
    </row>
    <row r="1089" spans="1:9" s="213" customFormat="1" ht="14.1">
      <c r="A1089" s="362" t="s">
        <v>438</v>
      </c>
      <c r="B1089" s="237" t="s">
        <v>29</v>
      </c>
      <c r="C1089" s="240">
        <f t="shared" si="263"/>
        <v>48.27</v>
      </c>
      <c r="D1089" s="240">
        <v>48.27</v>
      </c>
      <c r="E1089" s="240">
        <v>0</v>
      </c>
      <c r="F1089" s="240">
        <v>0</v>
      </c>
      <c r="G1089" s="240">
        <v>0</v>
      </c>
      <c r="H1089" s="240">
        <v>0</v>
      </c>
      <c r="I1089" s="240">
        <v>0</v>
      </c>
    </row>
    <row r="1090" spans="1:9" s="20" customFormat="1">
      <c r="A1090" s="12"/>
      <c r="B1090" s="62" t="s">
        <v>30</v>
      </c>
      <c r="C1090" s="64">
        <f t="shared" si="263"/>
        <v>48.27</v>
      </c>
      <c r="D1090" s="64">
        <v>48.27</v>
      </c>
      <c r="E1090" s="64">
        <v>0</v>
      </c>
      <c r="F1090" s="64">
        <v>0</v>
      </c>
      <c r="G1090" s="64">
        <v>0</v>
      </c>
      <c r="H1090" s="64">
        <v>0</v>
      </c>
      <c r="I1090" s="64">
        <v>0</v>
      </c>
    </row>
    <row r="1091" spans="1:9" s="213" customFormat="1" ht="14.1">
      <c r="A1091" s="418" t="s">
        <v>439</v>
      </c>
      <c r="B1091" s="237" t="s">
        <v>29</v>
      </c>
      <c r="C1091" s="240">
        <f t="shared" si="263"/>
        <v>15</v>
      </c>
      <c r="D1091" s="240">
        <v>0</v>
      </c>
      <c r="E1091" s="240">
        <v>15</v>
      </c>
      <c r="F1091" s="240">
        <v>0</v>
      </c>
      <c r="G1091" s="240">
        <v>0</v>
      </c>
      <c r="H1091" s="240">
        <v>0</v>
      </c>
      <c r="I1091" s="240">
        <v>0</v>
      </c>
    </row>
    <row r="1092" spans="1:9" s="20" customFormat="1">
      <c r="A1092" s="12"/>
      <c r="B1092" s="62" t="s">
        <v>30</v>
      </c>
      <c r="C1092" s="64">
        <f t="shared" si="263"/>
        <v>15</v>
      </c>
      <c r="D1092" s="64">
        <v>0</v>
      </c>
      <c r="E1092" s="64">
        <v>15</v>
      </c>
      <c r="F1092" s="64">
        <v>0</v>
      </c>
      <c r="G1092" s="64">
        <v>0</v>
      </c>
      <c r="H1092" s="64">
        <v>0</v>
      </c>
      <c r="I1092" s="64">
        <v>0</v>
      </c>
    </row>
    <row r="1093" spans="1:9" s="126" customFormat="1">
      <c r="A1093" s="141" t="s">
        <v>440</v>
      </c>
      <c r="B1093" s="124" t="s">
        <v>29</v>
      </c>
      <c r="C1093" s="125">
        <f t="shared" si="263"/>
        <v>150.42000000000002</v>
      </c>
      <c r="D1093" s="125">
        <f>D1095+D1097+D1099</f>
        <v>150.42000000000002</v>
      </c>
      <c r="E1093" s="125">
        <f t="shared" ref="E1093:I1094" si="264">E1095+E1097+E1099</f>
        <v>0</v>
      </c>
      <c r="F1093" s="125">
        <f t="shared" si="264"/>
        <v>0</v>
      </c>
      <c r="G1093" s="125">
        <f t="shared" si="264"/>
        <v>0</v>
      </c>
      <c r="H1093" s="125">
        <f t="shared" si="264"/>
        <v>0</v>
      </c>
      <c r="I1093" s="125">
        <f t="shared" si="264"/>
        <v>0</v>
      </c>
    </row>
    <row r="1094" spans="1:9" s="126" customFormat="1">
      <c r="A1094" s="134"/>
      <c r="B1094" s="127" t="s">
        <v>30</v>
      </c>
      <c r="C1094" s="125">
        <f t="shared" si="263"/>
        <v>150.42000000000002</v>
      </c>
      <c r="D1094" s="125">
        <f>D1096+D1098+D1100</f>
        <v>150.42000000000002</v>
      </c>
      <c r="E1094" s="125">
        <f t="shared" si="264"/>
        <v>0</v>
      </c>
      <c r="F1094" s="125">
        <f t="shared" si="264"/>
        <v>0</v>
      </c>
      <c r="G1094" s="125">
        <f t="shared" si="264"/>
        <v>0</v>
      </c>
      <c r="H1094" s="125">
        <f t="shared" si="264"/>
        <v>0</v>
      </c>
      <c r="I1094" s="125">
        <f t="shared" si="264"/>
        <v>0</v>
      </c>
    </row>
    <row r="1095" spans="1:9" s="213" customFormat="1" ht="12.75" customHeight="1">
      <c r="A1095" s="682" t="s">
        <v>441</v>
      </c>
      <c r="B1095" s="237" t="s">
        <v>29</v>
      </c>
      <c r="C1095" s="240">
        <f t="shared" si="263"/>
        <v>89.25</v>
      </c>
      <c r="D1095" s="240">
        <v>89.25</v>
      </c>
      <c r="E1095" s="240">
        <v>0</v>
      </c>
      <c r="F1095" s="240">
        <v>0</v>
      </c>
      <c r="G1095" s="240">
        <v>0</v>
      </c>
      <c r="H1095" s="240">
        <v>0</v>
      </c>
      <c r="I1095" s="240">
        <v>0</v>
      </c>
    </row>
    <row r="1096" spans="1:9" s="20" customFormat="1" ht="13.5" customHeight="1">
      <c r="A1096" s="683"/>
      <c r="B1096" s="62" t="s">
        <v>30</v>
      </c>
      <c r="C1096" s="64">
        <f t="shared" si="263"/>
        <v>89.25</v>
      </c>
      <c r="D1096" s="64">
        <v>89.25</v>
      </c>
      <c r="E1096" s="64">
        <v>0</v>
      </c>
      <c r="F1096" s="64">
        <v>0</v>
      </c>
      <c r="G1096" s="64">
        <v>0</v>
      </c>
      <c r="H1096" s="64">
        <v>0</v>
      </c>
      <c r="I1096" s="64">
        <v>0</v>
      </c>
    </row>
    <row r="1097" spans="1:9" s="213" customFormat="1" ht="14.25" customHeight="1">
      <c r="A1097" s="505" t="s">
        <v>442</v>
      </c>
      <c r="B1097" s="237" t="s">
        <v>29</v>
      </c>
      <c r="C1097" s="240">
        <f t="shared" si="263"/>
        <v>48.4</v>
      </c>
      <c r="D1097" s="240">
        <v>48.4</v>
      </c>
      <c r="E1097" s="240">
        <v>0</v>
      </c>
      <c r="F1097" s="240">
        <v>0</v>
      </c>
      <c r="G1097" s="240">
        <v>0</v>
      </c>
      <c r="H1097" s="240">
        <v>0</v>
      </c>
      <c r="I1097" s="240">
        <v>0</v>
      </c>
    </row>
    <row r="1098" spans="1:9" s="20" customFormat="1" ht="13.5" customHeight="1">
      <c r="A1098" s="506"/>
      <c r="B1098" s="62" t="s">
        <v>30</v>
      </c>
      <c r="C1098" s="64">
        <f t="shared" si="263"/>
        <v>48.4</v>
      </c>
      <c r="D1098" s="64">
        <v>48.4</v>
      </c>
      <c r="E1098" s="64">
        <v>0</v>
      </c>
      <c r="F1098" s="64">
        <v>0</v>
      </c>
      <c r="G1098" s="64">
        <v>0</v>
      </c>
      <c r="H1098" s="64">
        <v>0</v>
      </c>
      <c r="I1098" s="64">
        <v>0</v>
      </c>
    </row>
    <row r="1099" spans="1:9" s="213" customFormat="1" ht="12.75" customHeight="1">
      <c r="A1099" s="505" t="s">
        <v>443</v>
      </c>
      <c r="B1099" s="237" t="s">
        <v>29</v>
      </c>
      <c r="C1099" s="240">
        <f t="shared" si="263"/>
        <v>12.77</v>
      </c>
      <c r="D1099" s="240">
        <v>12.77</v>
      </c>
      <c r="E1099" s="240">
        <v>0</v>
      </c>
      <c r="F1099" s="240">
        <v>0</v>
      </c>
      <c r="G1099" s="240">
        <v>0</v>
      </c>
      <c r="H1099" s="240">
        <v>0</v>
      </c>
      <c r="I1099" s="240">
        <v>0</v>
      </c>
    </row>
    <row r="1100" spans="1:9" s="209" customFormat="1" ht="13.5" customHeight="1">
      <c r="A1100" s="401"/>
      <c r="B1100" s="62" t="s">
        <v>30</v>
      </c>
      <c r="C1100" s="64">
        <f t="shared" si="263"/>
        <v>12.77</v>
      </c>
      <c r="D1100" s="64">
        <v>12.77</v>
      </c>
      <c r="E1100" s="64">
        <v>0</v>
      </c>
      <c r="F1100" s="64">
        <v>0</v>
      </c>
      <c r="G1100" s="64">
        <v>0</v>
      </c>
      <c r="H1100" s="64">
        <v>0</v>
      </c>
      <c r="I1100" s="64">
        <v>0</v>
      </c>
    </row>
    <row r="1101" spans="1:9" s="126" customFormat="1">
      <c r="A1101" s="227" t="s">
        <v>444</v>
      </c>
      <c r="B1101" s="124" t="s">
        <v>29</v>
      </c>
      <c r="C1101" s="125">
        <f t="shared" si="263"/>
        <v>407.55</v>
      </c>
      <c r="D1101" s="125">
        <f>D1103+D1105+D1107+D1109</f>
        <v>407.55</v>
      </c>
      <c r="E1101" s="125">
        <f t="shared" ref="E1101:I1102" si="265">E1103+E1105+E1107+E1109</f>
        <v>0</v>
      </c>
      <c r="F1101" s="125">
        <f t="shared" si="265"/>
        <v>0</v>
      </c>
      <c r="G1101" s="125">
        <f t="shared" si="265"/>
        <v>0</v>
      </c>
      <c r="H1101" s="125">
        <f t="shared" si="265"/>
        <v>0</v>
      </c>
      <c r="I1101" s="125">
        <f t="shared" si="265"/>
        <v>0</v>
      </c>
    </row>
    <row r="1102" spans="1:9" s="126" customFormat="1">
      <c r="A1102" s="134"/>
      <c r="B1102" s="127" t="s">
        <v>30</v>
      </c>
      <c r="C1102" s="125">
        <f t="shared" si="263"/>
        <v>407.55</v>
      </c>
      <c r="D1102" s="125">
        <f>D1104+D1106+D1108+D1110</f>
        <v>407.55</v>
      </c>
      <c r="E1102" s="125">
        <f t="shared" si="265"/>
        <v>0</v>
      </c>
      <c r="F1102" s="125">
        <f t="shared" si="265"/>
        <v>0</v>
      </c>
      <c r="G1102" s="125">
        <f t="shared" si="265"/>
        <v>0</v>
      </c>
      <c r="H1102" s="125">
        <f t="shared" si="265"/>
        <v>0</v>
      </c>
      <c r="I1102" s="125">
        <f t="shared" si="265"/>
        <v>0</v>
      </c>
    </row>
    <row r="1103" spans="1:9" s="213" customFormat="1" ht="17.25" customHeight="1">
      <c r="A1103" s="458" t="s">
        <v>445</v>
      </c>
      <c r="B1103" s="237" t="s">
        <v>29</v>
      </c>
      <c r="C1103" s="240">
        <f t="shared" si="263"/>
        <v>157.08000000000001</v>
      </c>
      <c r="D1103" s="240">
        <v>157.08000000000001</v>
      </c>
      <c r="E1103" s="240">
        <v>0</v>
      </c>
      <c r="F1103" s="240">
        <v>0</v>
      </c>
      <c r="G1103" s="240">
        <v>0</v>
      </c>
      <c r="H1103" s="240">
        <v>0</v>
      </c>
      <c r="I1103" s="240">
        <v>0</v>
      </c>
    </row>
    <row r="1104" spans="1:9" s="213" customFormat="1" ht="15.4">
      <c r="A1104" s="306"/>
      <c r="B1104" s="226" t="s">
        <v>30</v>
      </c>
      <c r="C1104" s="240">
        <f t="shared" si="263"/>
        <v>157.08000000000001</v>
      </c>
      <c r="D1104" s="240">
        <v>157.08000000000001</v>
      </c>
      <c r="E1104" s="240">
        <v>0</v>
      </c>
      <c r="F1104" s="240">
        <v>0</v>
      </c>
      <c r="G1104" s="240">
        <v>0</v>
      </c>
      <c r="H1104" s="240">
        <v>0</v>
      </c>
      <c r="I1104" s="240">
        <v>0</v>
      </c>
    </row>
    <row r="1105" spans="1:15" s="213" customFormat="1" ht="16.5" customHeight="1">
      <c r="A1105" s="418" t="s">
        <v>446</v>
      </c>
      <c r="B1105" s="237" t="s">
        <v>29</v>
      </c>
      <c r="C1105" s="240">
        <f t="shared" si="263"/>
        <v>95.08</v>
      </c>
      <c r="D1105" s="240">
        <v>95.08</v>
      </c>
      <c r="E1105" s="240">
        <v>0</v>
      </c>
      <c r="F1105" s="240">
        <v>0</v>
      </c>
      <c r="G1105" s="240">
        <v>0</v>
      </c>
      <c r="H1105" s="240">
        <v>0</v>
      </c>
      <c r="I1105" s="240">
        <v>0</v>
      </c>
    </row>
    <row r="1106" spans="1:15" s="20" customFormat="1" ht="15.4">
      <c r="A1106" s="306"/>
      <c r="B1106" s="62" t="s">
        <v>30</v>
      </c>
      <c r="C1106" s="64">
        <f t="shared" si="263"/>
        <v>95.08</v>
      </c>
      <c r="D1106" s="64">
        <v>95.08</v>
      </c>
      <c r="E1106" s="64">
        <v>0</v>
      </c>
      <c r="F1106" s="64">
        <v>0</v>
      </c>
      <c r="G1106" s="64">
        <v>0</v>
      </c>
      <c r="H1106" s="64">
        <v>0</v>
      </c>
      <c r="I1106" s="64">
        <v>0</v>
      </c>
    </row>
    <row r="1107" spans="1:15" s="213" customFormat="1" ht="16.5" customHeight="1">
      <c r="A1107" s="459" t="s">
        <v>447</v>
      </c>
      <c r="B1107" s="237" t="s">
        <v>29</v>
      </c>
      <c r="C1107" s="240">
        <f t="shared" si="263"/>
        <v>5.39</v>
      </c>
      <c r="D1107" s="240">
        <v>5.39</v>
      </c>
      <c r="E1107" s="240">
        <v>0</v>
      </c>
      <c r="F1107" s="240">
        <v>0</v>
      </c>
      <c r="G1107" s="240">
        <v>0</v>
      </c>
      <c r="H1107" s="240">
        <v>0</v>
      </c>
      <c r="I1107" s="240">
        <v>0</v>
      </c>
    </row>
    <row r="1108" spans="1:15" s="209" customFormat="1" ht="15.4">
      <c r="A1108" s="306"/>
      <c r="B1108" s="62" t="s">
        <v>30</v>
      </c>
      <c r="C1108" s="64">
        <f t="shared" si="263"/>
        <v>5.39</v>
      </c>
      <c r="D1108" s="64">
        <v>5.39</v>
      </c>
      <c r="E1108" s="64">
        <v>0</v>
      </c>
      <c r="F1108" s="64">
        <v>0</v>
      </c>
      <c r="G1108" s="64">
        <v>0</v>
      </c>
      <c r="H1108" s="64">
        <v>0</v>
      </c>
      <c r="I1108" s="64">
        <v>0</v>
      </c>
    </row>
    <row r="1109" spans="1:15" s="213" customFormat="1" ht="16.5" customHeight="1">
      <c r="A1109" s="374" t="s">
        <v>448</v>
      </c>
      <c r="B1109" s="237" t="s">
        <v>29</v>
      </c>
      <c r="C1109" s="240">
        <f t="shared" si="263"/>
        <v>150</v>
      </c>
      <c r="D1109" s="240">
        <v>150</v>
      </c>
      <c r="E1109" s="240">
        <v>0</v>
      </c>
      <c r="F1109" s="240">
        <v>0</v>
      </c>
      <c r="G1109" s="240">
        <v>0</v>
      </c>
      <c r="H1109" s="240">
        <v>0</v>
      </c>
      <c r="I1109" s="240">
        <v>0</v>
      </c>
    </row>
    <row r="1110" spans="1:15" s="209" customFormat="1" ht="15.4">
      <c r="A1110" s="306"/>
      <c r="B1110" s="62" t="s">
        <v>30</v>
      </c>
      <c r="C1110" s="64">
        <f t="shared" si="263"/>
        <v>150</v>
      </c>
      <c r="D1110" s="64">
        <v>150</v>
      </c>
      <c r="E1110" s="64">
        <v>0</v>
      </c>
      <c r="F1110" s="64">
        <v>0</v>
      </c>
      <c r="G1110" s="64">
        <v>0</v>
      </c>
      <c r="H1110" s="64">
        <v>0</v>
      </c>
      <c r="I1110" s="64">
        <v>0</v>
      </c>
    </row>
    <row r="1111" spans="1:15" s="145" customFormat="1">
      <c r="A1111" s="23" t="s">
        <v>449</v>
      </c>
      <c r="B1111" s="82" t="s">
        <v>29</v>
      </c>
      <c r="C1111" s="84">
        <f t="shared" si="263"/>
        <v>235.64</v>
      </c>
      <c r="D1111" s="84">
        <f>D1113+D1115+D1117+D1119+D1121+D1123+D1125</f>
        <v>235.64</v>
      </c>
      <c r="E1111" s="84">
        <f t="shared" ref="E1111:I1112" si="266">E1113+E1115+E1117+E1119+E1121+E1123+E1125</f>
        <v>0</v>
      </c>
      <c r="F1111" s="84">
        <f t="shared" si="266"/>
        <v>0</v>
      </c>
      <c r="G1111" s="84">
        <f t="shared" si="266"/>
        <v>0</v>
      </c>
      <c r="H1111" s="84">
        <f t="shared" si="266"/>
        <v>0</v>
      </c>
      <c r="I1111" s="84">
        <f t="shared" si="266"/>
        <v>0</v>
      </c>
    </row>
    <row r="1112" spans="1:15" s="145" customFormat="1">
      <c r="A1112" s="21"/>
      <c r="B1112" s="86" t="s">
        <v>30</v>
      </c>
      <c r="C1112" s="84">
        <f t="shared" si="263"/>
        <v>235.64</v>
      </c>
      <c r="D1112" s="84">
        <f>D1114+D1116+D1118+D1120+D1122+D1124+D1126</f>
        <v>235.64</v>
      </c>
      <c r="E1112" s="84">
        <f t="shared" si="266"/>
        <v>0</v>
      </c>
      <c r="F1112" s="84">
        <f t="shared" si="266"/>
        <v>0</v>
      </c>
      <c r="G1112" s="84">
        <f t="shared" si="266"/>
        <v>0</v>
      </c>
      <c r="H1112" s="84">
        <f t="shared" si="266"/>
        <v>0</v>
      </c>
      <c r="I1112" s="84">
        <f t="shared" si="266"/>
        <v>0</v>
      </c>
    </row>
    <row r="1113" spans="1:15" s="213" customFormat="1" ht="14.1">
      <c r="A1113" s="442" t="s">
        <v>450</v>
      </c>
      <c r="B1113" s="237" t="s">
        <v>29</v>
      </c>
      <c r="C1113" s="240">
        <f t="shared" si="263"/>
        <v>64.13</v>
      </c>
      <c r="D1113" s="240">
        <v>64.13</v>
      </c>
      <c r="E1113" s="240">
        <v>0</v>
      </c>
      <c r="F1113" s="240">
        <v>0</v>
      </c>
      <c r="G1113" s="240">
        <v>0</v>
      </c>
      <c r="H1113" s="240">
        <v>0</v>
      </c>
      <c r="I1113" s="240">
        <v>0</v>
      </c>
      <c r="J1113" s="675"/>
      <c r="K1113" s="676"/>
      <c r="L1113" s="676"/>
      <c r="M1113" s="676"/>
      <c r="N1113" s="676"/>
      <c r="O1113" s="676"/>
    </row>
    <row r="1114" spans="1:15" s="102" customFormat="1">
      <c r="A1114" s="215"/>
      <c r="B1114" s="226" t="s">
        <v>30</v>
      </c>
      <c r="C1114" s="78">
        <f t="shared" si="263"/>
        <v>64.13</v>
      </c>
      <c r="D1114" s="78">
        <v>64.13</v>
      </c>
      <c r="E1114" s="64">
        <v>0</v>
      </c>
      <c r="F1114" s="78">
        <v>0</v>
      </c>
      <c r="G1114" s="78">
        <v>0</v>
      </c>
      <c r="H1114" s="78">
        <v>0</v>
      </c>
      <c r="I1114" s="78">
        <v>0</v>
      </c>
      <c r="J1114" s="675"/>
      <c r="K1114" s="676"/>
      <c r="L1114" s="676"/>
      <c r="M1114" s="676"/>
      <c r="N1114" s="676"/>
      <c r="O1114" s="676"/>
    </row>
    <row r="1115" spans="1:15" s="213" customFormat="1" ht="14.1">
      <c r="A1115" s="460" t="s">
        <v>451</v>
      </c>
      <c r="B1115" s="237" t="s">
        <v>29</v>
      </c>
      <c r="C1115" s="240">
        <f t="shared" si="263"/>
        <v>16.940000000000001</v>
      </c>
      <c r="D1115" s="240">
        <v>16.940000000000001</v>
      </c>
      <c r="E1115" s="240">
        <v>0</v>
      </c>
      <c r="F1115" s="240">
        <v>0</v>
      </c>
      <c r="G1115" s="240">
        <v>0</v>
      </c>
      <c r="H1115" s="240">
        <v>0</v>
      </c>
      <c r="I1115" s="240">
        <v>0</v>
      </c>
      <c r="J1115" s="675"/>
      <c r="K1115" s="676"/>
      <c r="L1115" s="676"/>
      <c r="M1115" s="676"/>
      <c r="N1115" s="676"/>
      <c r="O1115" s="676"/>
    </row>
    <row r="1116" spans="1:15" s="102" customFormat="1">
      <c r="A1116" s="215"/>
      <c r="B1116" s="226" t="s">
        <v>30</v>
      </c>
      <c r="C1116" s="78">
        <f t="shared" si="263"/>
        <v>16.940000000000001</v>
      </c>
      <c r="D1116" s="78">
        <v>16.940000000000001</v>
      </c>
      <c r="E1116" s="64">
        <v>0</v>
      </c>
      <c r="F1116" s="78">
        <v>0</v>
      </c>
      <c r="G1116" s="78">
        <v>0</v>
      </c>
      <c r="H1116" s="78">
        <v>0</v>
      </c>
      <c r="I1116" s="78">
        <v>0</v>
      </c>
      <c r="J1116" s="675"/>
      <c r="K1116" s="676"/>
      <c r="L1116" s="676"/>
      <c r="M1116" s="676"/>
      <c r="N1116" s="676"/>
      <c r="O1116" s="676"/>
    </row>
    <row r="1117" spans="1:15" s="213" customFormat="1" ht="14.1">
      <c r="A1117" s="460" t="s">
        <v>452</v>
      </c>
      <c r="B1117" s="237" t="s">
        <v>29</v>
      </c>
      <c r="C1117" s="240">
        <f t="shared" si="263"/>
        <v>12.99</v>
      </c>
      <c r="D1117" s="240">
        <v>12.99</v>
      </c>
      <c r="E1117" s="240">
        <v>0</v>
      </c>
      <c r="F1117" s="240">
        <v>0</v>
      </c>
      <c r="G1117" s="240">
        <v>0</v>
      </c>
      <c r="H1117" s="240">
        <v>0</v>
      </c>
      <c r="I1117" s="240">
        <v>0</v>
      </c>
      <c r="J1117" s="675"/>
      <c r="K1117" s="676"/>
      <c r="L1117" s="676"/>
      <c r="M1117" s="676"/>
      <c r="N1117" s="676"/>
      <c r="O1117" s="676"/>
    </row>
    <row r="1118" spans="1:15" s="102" customFormat="1">
      <c r="A1118" s="215"/>
      <c r="B1118" s="226" t="s">
        <v>30</v>
      </c>
      <c r="C1118" s="78">
        <f t="shared" si="263"/>
        <v>12.99</v>
      </c>
      <c r="D1118" s="78">
        <v>12.99</v>
      </c>
      <c r="E1118" s="64">
        <v>0</v>
      </c>
      <c r="F1118" s="78">
        <v>0</v>
      </c>
      <c r="G1118" s="78">
        <v>0</v>
      </c>
      <c r="H1118" s="78">
        <v>0</v>
      </c>
      <c r="I1118" s="78">
        <v>0</v>
      </c>
      <c r="J1118" s="675"/>
      <c r="K1118" s="676"/>
      <c r="L1118" s="676"/>
      <c r="M1118" s="676"/>
      <c r="N1118" s="676"/>
      <c r="O1118" s="676"/>
    </row>
    <row r="1119" spans="1:15" s="213" customFormat="1">
      <c r="A1119" s="461" t="s">
        <v>453</v>
      </c>
      <c r="B1119" s="237" t="s">
        <v>29</v>
      </c>
      <c r="C1119" s="240">
        <f t="shared" si="263"/>
        <v>62.92</v>
      </c>
      <c r="D1119" s="240">
        <v>62.92</v>
      </c>
      <c r="E1119" s="240">
        <v>0</v>
      </c>
      <c r="F1119" s="240">
        <v>0</v>
      </c>
      <c r="G1119" s="240">
        <v>0</v>
      </c>
      <c r="H1119" s="240">
        <v>0</v>
      </c>
      <c r="I1119" s="240">
        <v>0</v>
      </c>
      <c r="J1119" s="677"/>
      <c r="K1119" s="678"/>
      <c r="L1119" s="678"/>
      <c r="M1119" s="678"/>
      <c r="N1119" s="678"/>
      <c r="O1119" s="678"/>
    </row>
    <row r="1120" spans="1:15" s="207" customFormat="1">
      <c r="A1120" s="202"/>
      <c r="B1120" s="217" t="s">
        <v>30</v>
      </c>
      <c r="C1120" s="84">
        <f t="shared" si="263"/>
        <v>62.92</v>
      </c>
      <c r="D1120" s="84">
        <v>62.92</v>
      </c>
      <c r="E1120" s="72">
        <v>0</v>
      </c>
      <c r="F1120" s="84">
        <v>0</v>
      </c>
      <c r="G1120" s="84">
        <v>0</v>
      </c>
      <c r="H1120" s="84">
        <v>0</v>
      </c>
      <c r="I1120" s="84">
        <v>0</v>
      </c>
      <c r="J1120" s="677"/>
      <c r="K1120" s="678"/>
      <c r="L1120" s="678"/>
      <c r="M1120" s="678"/>
      <c r="N1120" s="678"/>
      <c r="O1120" s="678"/>
    </row>
    <row r="1121" spans="1:15" s="213" customFormat="1" ht="14.1">
      <c r="A1121" s="362" t="s">
        <v>454</v>
      </c>
      <c r="B1121" s="237" t="s">
        <v>29</v>
      </c>
      <c r="C1121" s="240">
        <f t="shared" si="263"/>
        <v>31.34</v>
      </c>
      <c r="D1121" s="240">
        <v>31.34</v>
      </c>
      <c r="E1121" s="240">
        <v>0</v>
      </c>
      <c r="F1121" s="240">
        <v>0</v>
      </c>
      <c r="G1121" s="240">
        <v>0</v>
      </c>
      <c r="H1121" s="240">
        <v>0</v>
      </c>
      <c r="I1121" s="240">
        <v>0</v>
      </c>
      <c r="J1121" s="675"/>
      <c r="K1121" s="676"/>
      <c r="L1121" s="676"/>
      <c r="M1121" s="676"/>
      <c r="N1121" s="676"/>
      <c r="O1121" s="676"/>
    </row>
    <row r="1122" spans="1:15" s="102" customFormat="1">
      <c r="A1122" s="215"/>
      <c r="B1122" s="226" t="s">
        <v>30</v>
      </c>
      <c r="C1122" s="78">
        <f t="shared" si="263"/>
        <v>31.34</v>
      </c>
      <c r="D1122" s="78">
        <v>31.34</v>
      </c>
      <c r="E1122" s="64">
        <v>0</v>
      </c>
      <c r="F1122" s="78">
        <v>0</v>
      </c>
      <c r="G1122" s="78">
        <v>0</v>
      </c>
      <c r="H1122" s="78">
        <v>0</v>
      </c>
      <c r="I1122" s="78">
        <v>0</v>
      </c>
      <c r="J1122" s="675"/>
      <c r="K1122" s="676"/>
      <c r="L1122" s="676"/>
      <c r="M1122" s="676"/>
      <c r="N1122" s="676"/>
      <c r="O1122" s="676"/>
    </row>
    <row r="1123" spans="1:15" s="213" customFormat="1" ht="14.1">
      <c r="A1123" s="363" t="s">
        <v>442</v>
      </c>
      <c r="B1123" s="237" t="s">
        <v>29</v>
      </c>
      <c r="C1123" s="240">
        <f t="shared" si="263"/>
        <v>7.99</v>
      </c>
      <c r="D1123" s="240">
        <v>7.99</v>
      </c>
      <c r="E1123" s="240">
        <v>0</v>
      </c>
      <c r="F1123" s="240">
        <v>0</v>
      </c>
      <c r="G1123" s="240">
        <v>0</v>
      </c>
      <c r="H1123" s="240">
        <v>0</v>
      </c>
      <c r="I1123" s="240">
        <v>0</v>
      </c>
      <c r="J1123" s="675"/>
      <c r="K1123" s="676"/>
      <c r="L1123" s="676"/>
      <c r="M1123" s="676"/>
      <c r="N1123" s="676"/>
      <c r="O1123" s="676"/>
    </row>
    <row r="1124" spans="1:15" s="102" customFormat="1">
      <c r="A1124" s="215"/>
      <c r="B1124" s="226" t="s">
        <v>30</v>
      </c>
      <c r="C1124" s="78">
        <f t="shared" si="263"/>
        <v>7.99</v>
      </c>
      <c r="D1124" s="78">
        <v>7.99</v>
      </c>
      <c r="E1124" s="64">
        <v>0</v>
      </c>
      <c r="F1124" s="78">
        <v>0</v>
      </c>
      <c r="G1124" s="78">
        <v>0</v>
      </c>
      <c r="H1124" s="78">
        <v>0</v>
      </c>
      <c r="I1124" s="78">
        <v>0</v>
      </c>
      <c r="J1124" s="675"/>
      <c r="K1124" s="676"/>
      <c r="L1124" s="676"/>
      <c r="M1124" s="676"/>
      <c r="N1124" s="676"/>
      <c r="O1124" s="676"/>
    </row>
    <row r="1125" spans="1:15" s="213" customFormat="1" ht="14.1">
      <c r="A1125" s="362" t="s">
        <v>409</v>
      </c>
      <c r="B1125" s="237" t="s">
        <v>29</v>
      </c>
      <c r="C1125" s="240">
        <f t="shared" si="263"/>
        <v>39.33</v>
      </c>
      <c r="D1125" s="240">
        <v>39.33</v>
      </c>
      <c r="E1125" s="240">
        <v>0</v>
      </c>
      <c r="F1125" s="240">
        <v>0</v>
      </c>
      <c r="G1125" s="240">
        <v>0</v>
      </c>
      <c r="H1125" s="240">
        <v>0</v>
      </c>
      <c r="I1125" s="240">
        <v>0</v>
      </c>
      <c r="J1125" s="677"/>
      <c r="K1125" s="678"/>
      <c r="L1125" s="678"/>
      <c r="M1125" s="678"/>
      <c r="N1125" s="678"/>
      <c r="O1125" s="678"/>
    </row>
    <row r="1126" spans="1:15" s="207" customFormat="1">
      <c r="A1126" s="202"/>
      <c r="B1126" s="217" t="s">
        <v>30</v>
      </c>
      <c r="C1126" s="84">
        <f t="shared" si="263"/>
        <v>39.33</v>
      </c>
      <c r="D1126" s="84">
        <v>39.33</v>
      </c>
      <c r="E1126" s="72">
        <v>0</v>
      </c>
      <c r="F1126" s="84">
        <v>0</v>
      </c>
      <c r="G1126" s="84">
        <v>0</v>
      </c>
      <c r="H1126" s="84">
        <v>0</v>
      </c>
      <c r="I1126" s="84">
        <v>0</v>
      </c>
      <c r="J1126" s="677"/>
      <c r="K1126" s="678"/>
      <c r="L1126" s="678"/>
      <c r="M1126" s="678"/>
      <c r="N1126" s="678"/>
      <c r="O1126" s="678"/>
    </row>
    <row r="1127" spans="1:15" s="126" customFormat="1">
      <c r="A1127" s="11" t="s">
        <v>41</v>
      </c>
      <c r="B1127" s="124" t="s">
        <v>29</v>
      </c>
      <c r="C1127" s="125">
        <f t="shared" ref="C1127:C1136" si="267">D1127+E1127+F1127+G1127+H1127+I1127</f>
        <v>15</v>
      </c>
      <c r="D1127" s="125">
        <f>D1129</f>
        <v>0</v>
      </c>
      <c r="E1127" s="125">
        <f t="shared" ref="E1127:I1127" si="268">E1129</f>
        <v>15</v>
      </c>
      <c r="F1127" s="125">
        <f t="shared" si="268"/>
        <v>0</v>
      </c>
      <c r="G1127" s="125">
        <f t="shared" si="268"/>
        <v>0</v>
      </c>
      <c r="H1127" s="125">
        <f t="shared" si="268"/>
        <v>0</v>
      </c>
      <c r="I1127" s="125">
        <f t="shared" si="268"/>
        <v>0</v>
      </c>
    </row>
    <row r="1128" spans="1:15" s="126" customFormat="1">
      <c r="A1128" s="134"/>
      <c r="B1128" s="127" t="s">
        <v>30</v>
      </c>
      <c r="C1128" s="125">
        <f t="shared" si="267"/>
        <v>15</v>
      </c>
      <c r="D1128" s="125">
        <f>D1130</f>
        <v>0</v>
      </c>
      <c r="E1128" s="125">
        <f t="shared" ref="E1128:I1128" si="269">E1130</f>
        <v>15</v>
      </c>
      <c r="F1128" s="125">
        <f t="shared" si="269"/>
        <v>0</v>
      </c>
      <c r="G1128" s="125">
        <f t="shared" si="269"/>
        <v>0</v>
      </c>
      <c r="H1128" s="125">
        <f t="shared" si="269"/>
        <v>0</v>
      </c>
      <c r="I1128" s="125">
        <f t="shared" si="269"/>
        <v>0</v>
      </c>
    </row>
    <row r="1129" spans="1:15" s="247" customFormat="1">
      <c r="A1129" s="227" t="s">
        <v>304</v>
      </c>
      <c r="B1129" s="365" t="s">
        <v>29</v>
      </c>
      <c r="C1129" s="291">
        <f t="shared" si="267"/>
        <v>15</v>
      </c>
      <c r="D1129" s="291">
        <f>D1131+D1133+D1135</f>
        <v>0</v>
      </c>
      <c r="E1129" s="291">
        <f t="shared" ref="E1129:I1129" si="270">E1131+E1133+E1135</f>
        <v>15</v>
      </c>
      <c r="F1129" s="291">
        <f t="shared" si="270"/>
        <v>0</v>
      </c>
      <c r="G1129" s="291">
        <f t="shared" si="270"/>
        <v>0</v>
      </c>
      <c r="H1129" s="291">
        <f t="shared" si="270"/>
        <v>0</v>
      </c>
      <c r="I1129" s="291">
        <f t="shared" si="270"/>
        <v>0</v>
      </c>
    </row>
    <row r="1130" spans="1:15" s="247" customFormat="1">
      <c r="A1130" s="313"/>
      <c r="B1130" s="289" t="s">
        <v>30</v>
      </c>
      <c r="C1130" s="291">
        <f t="shared" si="267"/>
        <v>15</v>
      </c>
      <c r="D1130" s="291">
        <f>D1132+D1134+D1136</f>
        <v>0</v>
      </c>
      <c r="E1130" s="291">
        <f t="shared" ref="E1130:I1130" si="271">E1132+E1134+E1136</f>
        <v>15</v>
      </c>
      <c r="F1130" s="291">
        <f t="shared" si="271"/>
        <v>0</v>
      </c>
      <c r="G1130" s="291">
        <f t="shared" si="271"/>
        <v>0</v>
      </c>
      <c r="H1130" s="291">
        <f t="shared" si="271"/>
        <v>0</v>
      </c>
      <c r="I1130" s="291">
        <f t="shared" si="271"/>
        <v>0</v>
      </c>
    </row>
    <row r="1131" spans="1:15" s="213" customFormat="1" ht="14.25" customHeight="1">
      <c r="A1131" s="451" t="s">
        <v>455</v>
      </c>
      <c r="B1131" s="237" t="s">
        <v>29</v>
      </c>
      <c r="C1131" s="240">
        <f t="shared" si="267"/>
        <v>5</v>
      </c>
      <c r="D1131" s="240">
        <v>0</v>
      </c>
      <c r="E1131" s="240">
        <v>5</v>
      </c>
      <c r="F1131" s="240">
        <v>0</v>
      </c>
      <c r="G1131" s="240">
        <v>0</v>
      </c>
      <c r="H1131" s="240">
        <v>0</v>
      </c>
      <c r="I1131" s="240">
        <v>0</v>
      </c>
    </row>
    <row r="1132" spans="1:15" s="27" customFormat="1" ht="14.1">
      <c r="A1132" s="283"/>
      <c r="B1132" s="26" t="s">
        <v>30</v>
      </c>
      <c r="C1132" s="72">
        <f t="shared" si="267"/>
        <v>5</v>
      </c>
      <c r="D1132" s="72">
        <v>0</v>
      </c>
      <c r="E1132" s="72">
        <v>5</v>
      </c>
      <c r="F1132" s="72">
        <v>0</v>
      </c>
      <c r="G1132" s="72">
        <v>0</v>
      </c>
      <c r="H1132" s="72">
        <v>0</v>
      </c>
      <c r="I1132" s="72">
        <v>0</v>
      </c>
    </row>
    <row r="1133" spans="1:15" s="213" customFormat="1" ht="14.25" customHeight="1">
      <c r="A1133" s="451" t="s">
        <v>456</v>
      </c>
      <c r="B1133" s="237" t="s">
        <v>29</v>
      </c>
      <c r="C1133" s="240">
        <f t="shared" si="267"/>
        <v>5</v>
      </c>
      <c r="D1133" s="240">
        <v>0</v>
      </c>
      <c r="E1133" s="240">
        <v>5</v>
      </c>
      <c r="F1133" s="240">
        <v>0</v>
      </c>
      <c r="G1133" s="240">
        <v>0</v>
      </c>
      <c r="H1133" s="240">
        <v>0</v>
      </c>
      <c r="I1133" s="240">
        <v>0</v>
      </c>
    </row>
    <row r="1134" spans="1:15" s="27" customFormat="1" ht="14.1">
      <c r="A1134" s="283"/>
      <c r="B1134" s="26" t="s">
        <v>30</v>
      </c>
      <c r="C1134" s="72">
        <f t="shared" si="267"/>
        <v>5</v>
      </c>
      <c r="D1134" s="72">
        <v>0</v>
      </c>
      <c r="E1134" s="72">
        <v>5</v>
      </c>
      <c r="F1134" s="72">
        <v>0</v>
      </c>
      <c r="G1134" s="72">
        <v>0</v>
      </c>
      <c r="H1134" s="72">
        <v>0</v>
      </c>
      <c r="I1134" s="72">
        <v>0</v>
      </c>
    </row>
    <row r="1135" spans="1:15" s="213" customFormat="1" ht="14.25" customHeight="1">
      <c r="A1135" s="451" t="s">
        <v>457</v>
      </c>
      <c r="B1135" s="237" t="s">
        <v>29</v>
      </c>
      <c r="C1135" s="240">
        <f t="shared" si="267"/>
        <v>5</v>
      </c>
      <c r="D1135" s="240">
        <v>0</v>
      </c>
      <c r="E1135" s="240">
        <v>5</v>
      </c>
      <c r="F1135" s="240">
        <v>0</v>
      </c>
      <c r="G1135" s="240">
        <v>0</v>
      </c>
      <c r="H1135" s="240">
        <v>0</v>
      </c>
      <c r="I1135" s="240">
        <v>0</v>
      </c>
    </row>
    <row r="1136" spans="1:15" s="27" customFormat="1" ht="14.1">
      <c r="A1136" s="283"/>
      <c r="B1136" s="26" t="s">
        <v>30</v>
      </c>
      <c r="C1136" s="72">
        <f t="shared" si="267"/>
        <v>5</v>
      </c>
      <c r="D1136" s="72">
        <v>0</v>
      </c>
      <c r="E1136" s="72">
        <v>5</v>
      </c>
      <c r="F1136" s="72">
        <v>0</v>
      </c>
      <c r="G1136" s="72">
        <v>0</v>
      </c>
      <c r="H1136" s="72">
        <v>0</v>
      </c>
      <c r="I1136" s="72">
        <v>0</v>
      </c>
    </row>
    <row r="1137" spans="1:9" s="126" customFormat="1">
      <c r="A1137" s="133" t="s">
        <v>42</v>
      </c>
      <c r="B1137" s="124" t="s">
        <v>29</v>
      </c>
      <c r="C1137" s="125">
        <f t="shared" si="263"/>
        <v>73.16</v>
      </c>
      <c r="D1137" s="125">
        <f>D1139+D1149+D1157</f>
        <v>64.16</v>
      </c>
      <c r="E1137" s="125">
        <f t="shared" ref="E1137:I1138" si="272">E1139+E1149+E1157</f>
        <v>9</v>
      </c>
      <c r="F1137" s="125">
        <f t="shared" si="272"/>
        <v>0</v>
      </c>
      <c r="G1137" s="125">
        <f t="shared" si="272"/>
        <v>0</v>
      </c>
      <c r="H1137" s="125">
        <f t="shared" si="272"/>
        <v>0</v>
      </c>
      <c r="I1137" s="125">
        <f t="shared" si="272"/>
        <v>0</v>
      </c>
    </row>
    <row r="1138" spans="1:9" s="126" customFormat="1">
      <c r="A1138" s="134"/>
      <c r="B1138" s="127" t="s">
        <v>30</v>
      </c>
      <c r="C1138" s="125">
        <f t="shared" si="263"/>
        <v>73.16</v>
      </c>
      <c r="D1138" s="125">
        <f>D1140+D1150+D1158</f>
        <v>64.16</v>
      </c>
      <c r="E1138" s="125">
        <f t="shared" si="272"/>
        <v>9</v>
      </c>
      <c r="F1138" s="125">
        <f t="shared" si="272"/>
        <v>0</v>
      </c>
      <c r="G1138" s="125">
        <f t="shared" si="272"/>
        <v>0</v>
      </c>
      <c r="H1138" s="125">
        <f t="shared" si="272"/>
        <v>0</v>
      </c>
      <c r="I1138" s="125">
        <f t="shared" si="272"/>
        <v>0</v>
      </c>
    </row>
    <row r="1139" spans="1:9" s="95" customFormat="1" ht="24.95">
      <c r="A1139" s="147" t="s">
        <v>458</v>
      </c>
      <c r="B1139" s="129" t="s">
        <v>29</v>
      </c>
      <c r="C1139" s="130">
        <f t="shared" si="263"/>
        <v>9.3800000000000008</v>
      </c>
      <c r="D1139" s="130">
        <f>D1141+D1143+D1145+D1147</f>
        <v>0.38</v>
      </c>
      <c r="E1139" s="130">
        <f t="shared" ref="E1139:I1140" si="273">E1141+E1143+E1145+E1147</f>
        <v>9</v>
      </c>
      <c r="F1139" s="130">
        <f t="shared" si="273"/>
        <v>0</v>
      </c>
      <c r="G1139" s="130">
        <f t="shared" si="273"/>
        <v>0</v>
      </c>
      <c r="H1139" s="130">
        <f t="shared" si="273"/>
        <v>0</v>
      </c>
      <c r="I1139" s="130">
        <f t="shared" si="273"/>
        <v>0</v>
      </c>
    </row>
    <row r="1140" spans="1:9" s="95" customFormat="1">
      <c r="A1140" s="131"/>
      <c r="B1140" s="132" t="s">
        <v>30</v>
      </c>
      <c r="C1140" s="130">
        <f t="shared" si="263"/>
        <v>9.3800000000000008</v>
      </c>
      <c r="D1140" s="130">
        <f>D1142+D1144+D1146+D1148</f>
        <v>0.38</v>
      </c>
      <c r="E1140" s="130">
        <f t="shared" si="273"/>
        <v>9</v>
      </c>
      <c r="F1140" s="130">
        <f t="shared" si="273"/>
        <v>0</v>
      </c>
      <c r="G1140" s="130">
        <f t="shared" si="273"/>
        <v>0</v>
      </c>
      <c r="H1140" s="130">
        <f t="shared" si="273"/>
        <v>0</v>
      </c>
      <c r="I1140" s="130">
        <f t="shared" si="273"/>
        <v>0</v>
      </c>
    </row>
    <row r="1141" spans="1:9" s="213" customFormat="1" ht="24.95">
      <c r="A1141" s="507" t="s">
        <v>459</v>
      </c>
      <c r="B1141" s="237" t="s">
        <v>29</v>
      </c>
      <c r="C1141" s="240">
        <f t="shared" si="263"/>
        <v>0.28000000000000003</v>
      </c>
      <c r="D1141" s="240">
        <v>0.28000000000000003</v>
      </c>
      <c r="E1141" s="240">
        <v>0</v>
      </c>
      <c r="F1141" s="240">
        <v>0</v>
      </c>
      <c r="G1141" s="240">
        <v>0</v>
      </c>
      <c r="H1141" s="240">
        <v>0</v>
      </c>
      <c r="I1141" s="240">
        <v>0</v>
      </c>
    </row>
    <row r="1142" spans="1:9" s="213" customFormat="1">
      <c r="A1142" s="215"/>
      <c r="B1142" s="226" t="s">
        <v>30</v>
      </c>
      <c r="C1142" s="240">
        <f t="shared" si="263"/>
        <v>0.28000000000000003</v>
      </c>
      <c r="D1142" s="240">
        <v>0.28000000000000003</v>
      </c>
      <c r="E1142" s="240">
        <v>0</v>
      </c>
      <c r="F1142" s="240">
        <v>0</v>
      </c>
      <c r="G1142" s="240">
        <v>0</v>
      </c>
      <c r="H1142" s="240">
        <v>0</v>
      </c>
      <c r="I1142" s="240">
        <v>0</v>
      </c>
    </row>
    <row r="1143" spans="1:9" s="213" customFormat="1" ht="24.95">
      <c r="A1143" s="507" t="s">
        <v>460</v>
      </c>
      <c r="B1143" s="237" t="s">
        <v>29</v>
      </c>
      <c r="C1143" s="240">
        <f t="shared" si="263"/>
        <v>0.1</v>
      </c>
      <c r="D1143" s="240">
        <v>0.1</v>
      </c>
      <c r="E1143" s="240">
        <v>0</v>
      </c>
      <c r="F1143" s="240">
        <v>0</v>
      </c>
      <c r="G1143" s="240">
        <v>0</v>
      </c>
      <c r="H1143" s="240">
        <v>0</v>
      </c>
      <c r="I1143" s="240">
        <v>0</v>
      </c>
    </row>
    <row r="1144" spans="1:9" s="213" customFormat="1">
      <c r="A1144" s="215"/>
      <c r="B1144" s="226" t="s">
        <v>30</v>
      </c>
      <c r="C1144" s="240">
        <f t="shared" si="263"/>
        <v>0.1</v>
      </c>
      <c r="D1144" s="240">
        <v>0.1</v>
      </c>
      <c r="E1144" s="240">
        <v>0</v>
      </c>
      <c r="F1144" s="240">
        <v>0</v>
      </c>
      <c r="G1144" s="240">
        <v>0</v>
      </c>
      <c r="H1144" s="240">
        <v>0</v>
      </c>
      <c r="I1144" s="240">
        <v>0</v>
      </c>
    </row>
    <row r="1145" spans="1:9" s="213" customFormat="1" ht="24.95">
      <c r="A1145" s="332" t="s">
        <v>461</v>
      </c>
      <c r="B1145" s="237" t="s">
        <v>29</v>
      </c>
      <c r="C1145" s="240">
        <f t="shared" si="263"/>
        <v>4</v>
      </c>
      <c r="D1145" s="240">
        <v>0</v>
      </c>
      <c r="E1145" s="240">
        <v>4</v>
      </c>
      <c r="F1145" s="240">
        <v>0</v>
      </c>
      <c r="G1145" s="240">
        <v>0</v>
      </c>
      <c r="H1145" s="240">
        <v>0</v>
      </c>
      <c r="I1145" s="240">
        <v>0</v>
      </c>
    </row>
    <row r="1146" spans="1:9" s="213" customFormat="1">
      <c r="A1146" s="215"/>
      <c r="B1146" s="226" t="s">
        <v>30</v>
      </c>
      <c r="C1146" s="240">
        <f t="shared" si="263"/>
        <v>4</v>
      </c>
      <c r="D1146" s="240">
        <v>0</v>
      </c>
      <c r="E1146" s="240">
        <v>4</v>
      </c>
      <c r="F1146" s="240">
        <v>0</v>
      </c>
      <c r="G1146" s="240">
        <v>0</v>
      </c>
      <c r="H1146" s="240">
        <v>0</v>
      </c>
      <c r="I1146" s="240">
        <v>0</v>
      </c>
    </row>
    <row r="1147" spans="1:9" s="213" customFormat="1" ht="27.75" customHeight="1">
      <c r="A1147" s="332" t="s">
        <v>462</v>
      </c>
      <c r="B1147" s="237" t="s">
        <v>29</v>
      </c>
      <c r="C1147" s="240">
        <f t="shared" si="263"/>
        <v>5</v>
      </c>
      <c r="D1147" s="240">
        <v>0</v>
      </c>
      <c r="E1147" s="240">
        <v>5</v>
      </c>
      <c r="F1147" s="240">
        <v>0</v>
      </c>
      <c r="G1147" s="240">
        <v>0</v>
      </c>
      <c r="H1147" s="240">
        <v>0</v>
      </c>
      <c r="I1147" s="240">
        <v>0</v>
      </c>
    </row>
    <row r="1148" spans="1:9" s="213" customFormat="1">
      <c r="A1148" s="508"/>
      <c r="B1148" s="226" t="s">
        <v>30</v>
      </c>
      <c r="C1148" s="240">
        <f t="shared" si="263"/>
        <v>5</v>
      </c>
      <c r="D1148" s="240">
        <v>0</v>
      </c>
      <c r="E1148" s="240">
        <v>5</v>
      </c>
      <c r="F1148" s="240">
        <v>0</v>
      </c>
      <c r="G1148" s="240">
        <v>0</v>
      </c>
      <c r="H1148" s="240">
        <v>0</v>
      </c>
      <c r="I1148" s="240">
        <v>0</v>
      </c>
    </row>
    <row r="1149" spans="1:9" s="247" customFormat="1">
      <c r="A1149" s="227" t="s">
        <v>463</v>
      </c>
      <c r="B1149" s="365" t="s">
        <v>29</v>
      </c>
      <c r="C1149" s="291">
        <f t="shared" si="263"/>
        <v>46.6</v>
      </c>
      <c r="D1149" s="291">
        <f>D1151+D1153+D1155</f>
        <v>46.6</v>
      </c>
      <c r="E1149" s="291">
        <f t="shared" ref="E1149:I1150" si="274">E1151+E1153+E1155</f>
        <v>0</v>
      </c>
      <c r="F1149" s="291">
        <f t="shared" si="274"/>
        <v>0</v>
      </c>
      <c r="G1149" s="291">
        <f t="shared" si="274"/>
        <v>0</v>
      </c>
      <c r="H1149" s="291">
        <f t="shared" si="274"/>
        <v>0</v>
      </c>
      <c r="I1149" s="291">
        <f t="shared" si="274"/>
        <v>0</v>
      </c>
    </row>
    <row r="1150" spans="1:9" s="247" customFormat="1">
      <c r="A1150" s="313"/>
      <c r="B1150" s="289" t="s">
        <v>30</v>
      </c>
      <c r="C1150" s="291">
        <f t="shared" si="263"/>
        <v>46.6</v>
      </c>
      <c r="D1150" s="291">
        <f>D1152+D1154+D1156</f>
        <v>46.6</v>
      </c>
      <c r="E1150" s="291">
        <f t="shared" si="274"/>
        <v>0</v>
      </c>
      <c r="F1150" s="291">
        <f t="shared" si="274"/>
        <v>0</v>
      </c>
      <c r="G1150" s="291">
        <f t="shared" si="274"/>
        <v>0</v>
      </c>
      <c r="H1150" s="291">
        <f t="shared" si="274"/>
        <v>0</v>
      </c>
      <c r="I1150" s="291">
        <f t="shared" si="274"/>
        <v>0</v>
      </c>
    </row>
    <row r="1151" spans="1:9" s="213" customFormat="1">
      <c r="A1151" s="325" t="s">
        <v>464</v>
      </c>
      <c r="B1151" s="237" t="s">
        <v>29</v>
      </c>
      <c r="C1151" s="240">
        <f t="shared" si="263"/>
        <v>20.6</v>
      </c>
      <c r="D1151" s="240">
        <f>10+10.6</f>
        <v>20.6</v>
      </c>
      <c r="E1151" s="240">
        <v>0</v>
      </c>
      <c r="F1151" s="240">
        <v>0</v>
      </c>
      <c r="G1151" s="240">
        <v>0</v>
      </c>
      <c r="H1151" s="240">
        <v>0</v>
      </c>
      <c r="I1151" s="240">
        <v>0</v>
      </c>
    </row>
    <row r="1152" spans="1:9" s="213" customFormat="1">
      <c r="A1152" s="215"/>
      <c r="B1152" s="226" t="s">
        <v>30</v>
      </c>
      <c r="C1152" s="240">
        <f t="shared" si="263"/>
        <v>20.6</v>
      </c>
      <c r="D1152" s="240">
        <f>10+10.6</f>
        <v>20.6</v>
      </c>
      <c r="E1152" s="240">
        <v>0</v>
      </c>
      <c r="F1152" s="240">
        <v>0</v>
      </c>
      <c r="G1152" s="240">
        <v>0</v>
      </c>
      <c r="H1152" s="240">
        <v>0</v>
      </c>
      <c r="I1152" s="240">
        <v>0</v>
      </c>
    </row>
    <row r="1153" spans="1:9" s="213" customFormat="1" ht="14.1">
      <c r="A1153" s="362" t="s">
        <v>465</v>
      </c>
      <c r="B1153" s="237" t="s">
        <v>29</v>
      </c>
      <c r="C1153" s="240">
        <f t="shared" si="263"/>
        <v>20</v>
      </c>
      <c r="D1153" s="240">
        <v>20</v>
      </c>
      <c r="E1153" s="240">
        <v>0</v>
      </c>
      <c r="F1153" s="240">
        <v>0</v>
      </c>
      <c r="G1153" s="240">
        <v>0</v>
      </c>
      <c r="H1153" s="240">
        <v>0</v>
      </c>
      <c r="I1153" s="240">
        <v>0</v>
      </c>
    </row>
    <row r="1154" spans="1:9" s="213" customFormat="1">
      <c r="A1154" s="215"/>
      <c r="B1154" s="226" t="s">
        <v>30</v>
      </c>
      <c r="C1154" s="240">
        <f t="shared" si="263"/>
        <v>20</v>
      </c>
      <c r="D1154" s="240">
        <v>20</v>
      </c>
      <c r="E1154" s="240">
        <v>0</v>
      </c>
      <c r="F1154" s="240">
        <v>0</v>
      </c>
      <c r="G1154" s="240">
        <v>0</v>
      </c>
      <c r="H1154" s="240">
        <v>0</v>
      </c>
      <c r="I1154" s="240">
        <v>0</v>
      </c>
    </row>
    <row r="1155" spans="1:9" s="213" customFormat="1" ht="14.1">
      <c r="A1155" s="362" t="s">
        <v>466</v>
      </c>
      <c r="B1155" s="237" t="s">
        <v>29</v>
      </c>
      <c r="C1155" s="240">
        <f t="shared" si="263"/>
        <v>6</v>
      </c>
      <c r="D1155" s="240">
        <v>6</v>
      </c>
      <c r="E1155" s="240">
        <v>0</v>
      </c>
      <c r="F1155" s="240">
        <v>0</v>
      </c>
      <c r="G1155" s="240">
        <v>0</v>
      </c>
      <c r="H1155" s="240">
        <v>0</v>
      </c>
      <c r="I1155" s="240">
        <v>0</v>
      </c>
    </row>
    <row r="1156" spans="1:9" s="20" customFormat="1">
      <c r="A1156" s="12"/>
      <c r="B1156" s="62" t="s">
        <v>30</v>
      </c>
      <c r="C1156" s="64">
        <f t="shared" si="263"/>
        <v>6</v>
      </c>
      <c r="D1156" s="64">
        <v>6</v>
      </c>
      <c r="E1156" s="64">
        <v>0</v>
      </c>
      <c r="F1156" s="64">
        <v>0</v>
      </c>
      <c r="G1156" s="64">
        <v>0</v>
      </c>
      <c r="H1156" s="64">
        <v>0</v>
      </c>
      <c r="I1156" s="64">
        <v>0</v>
      </c>
    </row>
    <row r="1157" spans="1:9" s="247" customFormat="1">
      <c r="A1157" s="227" t="s">
        <v>467</v>
      </c>
      <c r="B1157" s="365" t="s">
        <v>29</v>
      </c>
      <c r="C1157" s="291">
        <f t="shared" si="263"/>
        <v>17.18</v>
      </c>
      <c r="D1157" s="291">
        <f>D1159+D1161+D1163</f>
        <v>17.18</v>
      </c>
      <c r="E1157" s="291">
        <f t="shared" ref="E1157:I1158" si="275">E1159+E1161+E1163</f>
        <v>0</v>
      </c>
      <c r="F1157" s="291">
        <f t="shared" si="275"/>
        <v>0</v>
      </c>
      <c r="G1157" s="291">
        <f t="shared" si="275"/>
        <v>0</v>
      </c>
      <c r="H1157" s="291">
        <f t="shared" si="275"/>
        <v>0</v>
      </c>
      <c r="I1157" s="291">
        <f t="shared" si="275"/>
        <v>0</v>
      </c>
    </row>
    <row r="1158" spans="1:9" s="247" customFormat="1">
      <c r="A1158" s="313"/>
      <c r="B1158" s="289" t="s">
        <v>30</v>
      </c>
      <c r="C1158" s="291">
        <f t="shared" si="263"/>
        <v>17.18</v>
      </c>
      <c r="D1158" s="291">
        <f>D1160+D1162+D1164</f>
        <v>17.18</v>
      </c>
      <c r="E1158" s="291">
        <f t="shared" si="275"/>
        <v>0</v>
      </c>
      <c r="F1158" s="291">
        <f t="shared" si="275"/>
        <v>0</v>
      </c>
      <c r="G1158" s="291">
        <f t="shared" si="275"/>
        <v>0</v>
      </c>
      <c r="H1158" s="291">
        <f t="shared" si="275"/>
        <v>0</v>
      </c>
      <c r="I1158" s="291">
        <f t="shared" si="275"/>
        <v>0</v>
      </c>
    </row>
    <row r="1159" spans="1:9" s="213" customFormat="1">
      <c r="A1159" s="325" t="s">
        <v>468</v>
      </c>
      <c r="B1159" s="237" t="s">
        <v>29</v>
      </c>
      <c r="C1159" s="240">
        <f t="shared" ref="C1159:C1164" si="276">D1159+E1159+F1159+G1159+H1159+I1159</f>
        <v>11.4</v>
      </c>
      <c r="D1159" s="240">
        <v>11.4</v>
      </c>
      <c r="E1159" s="240">
        <v>0</v>
      </c>
      <c r="F1159" s="240">
        <v>0</v>
      </c>
      <c r="G1159" s="240">
        <v>0</v>
      </c>
      <c r="H1159" s="240">
        <v>0</v>
      </c>
      <c r="I1159" s="240">
        <v>0</v>
      </c>
    </row>
    <row r="1160" spans="1:9" s="20" customFormat="1">
      <c r="A1160" s="12"/>
      <c r="B1160" s="62" t="s">
        <v>30</v>
      </c>
      <c r="C1160" s="64">
        <f t="shared" si="276"/>
        <v>11.4</v>
      </c>
      <c r="D1160" s="64">
        <v>11.4</v>
      </c>
      <c r="E1160" s="64">
        <v>0</v>
      </c>
      <c r="F1160" s="64">
        <v>0</v>
      </c>
      <c r="G1160" s="64">
        <v>0</v>
      </c>
      <c r="H1160" s="64">
        <v>0</v>
      </c>
      <c r="I1160" s="64">
        <v>0</v>
      </c>
    </row>
    <row r="1161" spans="1:9" s="213" customFormat="1">
      <c r="A1161" s="325" t="s">
        <v>469</v>
      </c>
      <c r="B1161" s="237" t="s">
        <v>29</v>
      </c>
      <c r="C1161" s="240">
        <f t="shared" si="276"/>
        <v>4.88</v>
      </c>
      <c r="D1161" s="240">
        <v>4.88</v>
      </c>
      <c r="E1161" s="240">
        <v>0</v>
      </c>
      <c r="F1161" s="240">
        <v>0</v>
      </c>
      <c r="G1161" s="240">
        <v>0</v>
      </c>
      <c r="H1161" s="240">
        <v>0</v>
      </c>
      <c r="I1161" s="240">
        <v>0</v>
      </c>
    </row>
    <row r="1162" spans="1:9" s="20" customFormat="1">
      <c r="A1162" s="12"/>
      <c r="B1162" s="62" t="s">
        <v>30</v>
      </c>
      <c r="C1162" s="64">
        <f t="shared" si="276"/>
        <v>4.88</v>
      </c>
      <c r="D1162" s="64">
        <v>4.88</v>
      </c>
      <c r="E1162" s="64">
        <v>0</v>
      </c>
      <c r="F1162" s="64">
        <v>0</v>
      </c>
      <c r="G1162" s="64">
        <v>0</v>
      </c>
      <c r="H1162" s="64">
        <v>0</v>
      </c>
      <c r="I1162" s="64">
        <v>0</v>
      </c>
    </row>
    <row r="1163" spans="1:9" s="213" customFormat="1">
      <c r="A1163" s="325" t="s">
        <v>470</v>
      </c>
      <c r="B1163" s="237" t="s">
        <v>29</v>
      </c>
      <c r="C1163" s="240">
        <f t="shared" si="276"/>
        <v>0.9</v>
      </c>
      <c r="D1163" s="240">
        <v>0.9</v>
      </c>
      <c r="E1163" s="240">
        <v>0</v>
      </c>
      <c r="F1163" s="240">
        <v>0</v>
      </c>
      <c r="G1163" s="240">
        <v>0</v>
      </c>
      <c r="H1163" s="240">
        <v>0</v>
      </c>
      <c r="I1163" s="240">
        <v>0</v>
      </c>
    </row>
    <row r="1164" spans="1:9" s="20" customFormat="1">
      <c r="A1164" s="12"/>
      <c r="B1164" s="62" t="s">
        <v>30</v>
      </c>
      <c r="C1164" s="64">
        <f t="shared" si="276"/>
        <v>0.9</v>
      </c>
      <c r="D1164" s="64">
        <v>0.9</v>
      </c>
      <c r="E1164" s="64">
        <v>0</v>
      </c>
      <c r="F1164" s="64">
        <v>0</v>
      </c>
      <c r="G1164" s="64">
        <v>0</v>
      </c>
      <c r="H1164" s="64">
        <v>0</v>
      </c>
      <c r="I1164" s="64">
        <v>0</v>
      </c>
    </row>
    <row r="1165" spans="1:9">
      <c r="A1165" s="662" t="s">
        <v>471</v>
      </c>
      <c r="B1165" s="645"/>
      <c r="C1165" s="645"/>
      <c r="D1165" s="645"/>
      <c r="E1165" s="645"/>
      <c r="F1165" s="645"/>
      <c r="G1165" s="645"/>
      <c r="H1165" s="645"/>
      <c r="I1165" s="646"/>
    </row>
    <row r="1166" spans="1:9">
      <c r="A1166" s="79" t="s">
        <v>54</v>
      </c>
      <c r="B1166" s="160" t="s">
        <v>29</v>
      </c>
      <c r="C1166" s="52">
        <f t="shared" ref="C1166:C1325" si="277">D1166+E1166+F1166+G1166+H1166+I1166</f>
        <v>10526.73</v>
      </c>
      <c r="D1166" s="52">
        <f t="shared" ref="D1166:I1167" si="278">D1168+D1188</f>
        <v>8820.73</v>
      </c>
      <c r="E1166" s="52">
        <f t="shared" si="278"/>
        <v>1706</v>
      </c>
      <c r="F1166" s="52">
        <f t="shared" si="278"/>
        <v>0</v>
      </c>
      <c r="G1166" s="52">
        <f t="shared" si="278"/>
        <v>0</v>
      </c>
      <c r="H1166" s="52">
        <f t="shared" si="278"/>
        <v>0</v>
      </c>
      <c r="I1166" s="52">
        <f t="shared" si="278"/>
        <v>0</v>
      </c>
    </row>
    <row r="1167" spans="1:9">
      <c r="A1167" s="21" t="s">
        <v>87</v>
      </c>
      <c r="B1167" s="4" t="s">
        <v>30</v>
      </c>
      <c r="C1167" s="52">
        <f t="shared" si="277"/>
        <v>10526.73</v>
      </c>
      <c r="D1167" s="52">
        <f t="shared" si="278"/>
        <v>8820.73</v>
      </c>
      <c r="E1167" s="52">
        <f t="shared" si="278"/>
        <v>1706</v>
      </c>
      <c r="F1167" s="52">
        <f t="shared" si="278"/>
        <v>0</v>
      </c>
      <c r="G1167" s="52">
        <f t="shared" si="278"/>
        <v>0</v>
      </c>
      <c r="H1167" s="52">
        <f t="shared" si="278"/>
        <v>0</v>
      </c>
      <c r="I1167" s="52">
        <f t="shared" si="278"/>
        <v>0</v>
      </c>
    </row>
    <row r="1168" spans="1:9">
      <c r="A1168" s="23" t="s">
        <v>60</v>
      </c>
      <c r="B1168" s="160" t="s">
        <v>29</v>
      </c>
      <c r="C1168" s="52">
        <f t="shared" si="277"/>
        <v>157.64000000000001</v>
      </c>
      <c r="D1168" s="52">
        <f>D1170+D1176</f>
        <v>157.64000000000001</v>
      </c>
      <c r="E1168" s="52">
        <f t="shared" ref="E1168:I1169" si="279">E1170+E1176</f>
        <v>0</v>
      </c>
      <c r="F1168" s="52">
        <f t="shared" si="279"/>
        <v>0</v>
      </c>
      <c r="G1168" s="52">
        <f t="shared" si="279"/>
        <v>0</v>
      </c>
      <c r="H1168" s="52">
        <f t="shared" si="279"/>
        <v>0</v>
      </c>
      <c r="I1168" s="52">
        <f t="shared" si="279"/>
        <v>0</v>
      </c>
    </row>
    <row r="1169" spans="1:9">
      <c r="A1169" s="21" t="s">
        <v>89</v>
      </c>
      <c r="B1169" s="4" t="s">
        <v>30</v>
      </c>
      <c r="C1169" s="52">
        <f t="shared" si="277"/>
        <v>157.64000000000001</v>
      </c>
      <c r="D1169" s="52">
        <f>D1171+D1177</f>
        <v>157.64000000000001</v>
      </c>
      <c r="E1169" s="52">
        <f t="shared" si="279"/>
        <v>0</v>
      </c>
      <c r="F1169" s="52">
        <f t="shared" si="279"/>
        <v>0</v>
      </c>
      <c r="G1169" s="52">
        <f t="shared" si="279"/>
        <v>0</v>
      </c>
      <c r="H1169" s="52">
        <f t="shared" si="279"/>
        <v>0</v>
      </c>
      <c r="I1169" s="52">
        <f t="shared" si="279"/>
        <v>0</v>
      </c>
    </row>
    <row r="1170" spans="1:9" s="20" customFormat="1" ht="12.95">
      <c r="A1170" s="529" t="s">
        <v>34</v>
      </c>
      <c r="B1170" s="63" t="s">
        <v>29</v>
      </c>
      <c r="C1170" s="64">
        <f t="shared" si="277"/>
        <v>31.12</v>
      </c>
      <c r="D1170" s="64">
        <f>D1172</f>
        <v>31.12</v>
      </c>
      <c r="E1170" s="64">
        <f t="shared" ref="E1170:I1173" si="280">E1172</f>
        <v>0</v>
      </c>
      <c r="F1170" s="64">
        <f t="shared" si="280"/>
        <v>0</v>
      </c>
      <c r="G1170" s="64">
        <f t="shared" si="280"/>
        <v>0</v>
      </c>
      <c r="H1170" s="64">
        <f t="shared" si="280"/>
        <v>0</v>
      </c>
      <c r="I1170" s="64">
        <f t="shared" si="280"/>
        <v>0</v>
      </c>
    </row>
    <row r="1171" spans="1:9" s="20" customFormat="1" ht="12.95">
      <c r="A1171" s="16" t="s">
        <v>35</v>
      </c>
      <c r="B1171" s="62" t="s">
        <v>30</v>
      </c>
      <c r="C1171" s="64">
        <f t="shared" si="277"/>
        <v>31.12</v>
      </c>
      <c r="D1171" s="64">
        <f>D1173</f>
        <v>31.12</v>
      </c>
      <c r="E1171" s="64">
        <f t="shared" si="280"/>
        <v>0</v>
      </c>
      <c r="F1171" s="64">
        <f t="shared" si="280"/>
        <v>0</v>
      </c>
      <c r="G1171" s="64">
        <f t="shared" si="280"/>
        <v>0</v>
      </c>
      <c r="H1171" s="64">
        <f t="shared" si="280"/>
        <v>0</v>
      </c>
      <c r="I1171" s="64">
        <f t="shared" si="280"/>
        <v>0</v>
      </c>
    </row>
    <row r="1172" spans="1:9" s="206" customFormat="1">
      <c r="A1172" s="96" t="s">
        <v>472</v>
      </c>
      <c r="B1172" s="63" t="s">
        <v>29</v>
      </c>
      <c r="C1172" s="64">
        <f t="shared" si="277"/>
        <v>31.12</v>
      </c>
      <c r="D1172" s="64">
        <f>D1174</f>
        <v>31.12</v>
      </c>
      <c r="E1172" s="64">
        <f t="shared" si="280"/>
        <v>0</v>
      </c>
      <c r="F1172" s="64">
        <f t="shared" si="280"/>
        <v>0</v>
      </c>
      <c r="G1172" s="64">
        <f t="shared" si="280"/>
        <v>0</v>
      </c>
      <c r="H1172" s="64">
        <f t="shared" si="280"/>
        <v>0</v>
      </c>
      <c r="I1172" s="64">
        <f t="shared" si="280"/>
        <v>0</v>
      </c>
    </row>
    <row r="1173" spans="1:9" s="206" customFormat="1">
      <c r="A1173" s="12"/>
      <c r="B1173" s="62" t="s">
        <v>30</v>
      </c>
      <c r="C1173" s="64">
        <f t="shared" si="277"/>
        <v>31.12</v>
      </c>
      <c r="D1173" s="64">
        <f>D1175</f>
        <v>31.12</v>
      </c>
      <c r="E1173" s="64">
        <f t="shared" si="280"/>
        <v>0</v>
      </c>
      <c r="F1173" s="64">
        <f t="shared" si="280"/>
        <v>0</v>
      </c>
      <c r="G1173" s="64">
        <f t="shared" si="280"/>
        <v>0</v>
      </c>
      <c r="H1173" s="64">
        <f t="shared" si="280"/>
        <v>0</v>
      </c>
      <c r="I1173" s="64">
        <f t="shared" si="280"/>
        <v>0</v>
      </c>
    </row>
    <row r="1174" spans="1:9" s="213" customFormat="1" ht="14.1">
      <c r="A1174" s="367" t="s">
        <v>473</v>
      </c>
      <c r="B1174" s="281" t="s">
        <v>29</v>
      </c>
      <c r="C1174" s="240">
        <f t="shared" si="277"/>
        <v>31.12</v>
      </c>
      <c r="D1174" s="64">
        <f>10.95+13.51+6.66</f>
        <v>31.12</v>
      </c>
      <c r="E1174" s="240">
        <v>0</v>
      </c>
      <c r="F1174" s="240">
        <v>0</v>
      </c>
      <c r="G1174" s="240">
        <v>0</v>
      </c>
      <c r="H1174" s="240">
        <v>0</v>
      </c>
      <c r="I1174" s="240">
        <v>0</v>
      </c>
    </row>
    <row r="1175" spans="1:9" s="206" customFormat="1">
      <c r="A1175" s="12" t="s">
        <v>474</v>
      </c>
      <c r="B1175" s="59" t="s">
        <v>30</v>
      </c>
      <c r="C1175" s="64">
        <f t="shared" si="277"/>
        <v>31.12</v>
      </c>
      <c r="D1175" s="64">
        <f>10.95+13.51+6.66</f>
        <v>31.12</v>
      </c>
      <c r="E1175" s="64">
        <v>0</v>
      </c>
      <c r="F1175" s="64">
        <v>0</v>
      </c>
      <c r="G1175" s="64">
        <v>0</v>
      </c>
      <c r="H1175" s="64">
        <v>0</v>
      </c>
      <c r="I1175" s="64">
        <v>0</v>
      </c>
    </row>
    <row r="1176" spans="1:9" ht="12.95">
      <c r="A1176" s="19" t="s">
        <v>37</v>
      </c>
      <c r="B1176" s="3" t="s">
        <v>29</v>
      </c>
      <c r="C1176" s="52">
        <f t="shared" si="277"/>
        <v>126.52000000000001</v>
      </c>
      <c r="D1176" s="52">
        <f t="shared" ref="D1176:I1177" si="281">D1178</f>
        <v>126.52000000000001</v>
      </c>
      <c r="E1176" s="52">
        <f t="shared" si="281"/>
        <v>0</v>
      </c>
      <c r="F1176" s="52">
        <f t="shared" si="281"/>
        <v>0</v>
      </c>
      <c r="G1176" s="52">
        <f t="shared" si="281"/>
        <v>0</v>
      </c>
      <c r="H1176" s="52">
        <f t="shared" si="281"/>
        <v>0</v>
      </c>
      <c r="I1176" s="52">
        <f t="shared" si="281"/>
        <v>0</v>
      </c>
    </row>
    <row r="1177" spans="1:9" ht="12.95">
      <c r="A1177" s="16"/>
      <c r="B1177" s="4" t="s">
        <v>30</v>
      </c>
      <c r="C1177" s="52">
        <f t="shared" si="277"/>
        <v>126.52000000000001</v>
      </c>
      <c r="D1177" s="52">
        <f t="shared" si="281"/>
        <v>126.52000000000001</v>
      </c>
      <c r="E1177" s="52">
        <f>E1179</f>
        <v>0</v>
      </c>
      <c r="F1177" s="52">
        <f t="shared" si="281"/>
        <v>0</v>
      </c>
      <c r="G1177" s="52">
        <f t="shared" si="281"/>
        <v>0</v>
      </c>
      <c r="H1177" s="52">
        <f t="shared" si="281"/>
        <v>0</v>
      </c>
      <c r="I1177" s="52">
        <f t="shared" si="281"/>
        <v>0</v>
      </c>
    </row>
    <row r="1178" spans="1:9">
      <c r="A1178" s="31" t="s">
        <v>50</v>
      </c>
      <c r="B1178" s="160" t="s">
        <v>29</v>
      </c>
      <c r="C1178" s="52">
        <f t="shared" si="277"/>
        <v>126.52000000000001</v>
      </c>
      <c r="D1178" s="52">
        <f>D1180</f>
        <v>126.52000000000001</v>
      </c>
      <c r="E1178" s="52">
        <f t="shared" ref="E1178:I1181" si="282">E1180</f>
        <v>0</v>
      </c>
      <c r="F1178" s="52">
        <f t="shared" si="282"/>
        <v>0</v>
      </c>
      <c r="G1178" s="52">
        <f t="shared" si="282"/>
        <v>0</v>
      </c>
      <c r="H1178" s="52">
        <f t="shared" si="282"/>
        <v>0</v>
      </c>
      <c r="I1178" s="52">
        <f t="shared" si="282"/>
        <v>0</v>
      </c>
    </row>
    <row r="1179" spans="1:9">
      <c r="A1179" s="12"/>
      <c r="B1179" s="4" t="s">
        <v>30</v>
      </c>
      <c r="C1179" s="52">
        <f t="shared" si="277"/>
        <v>126.52000000000001</v>
      </c>
      <c r="D1179" s="52">
        <f>D1181</f>
        <v>126.52000000000001</v>
      </c>
      <c r="E1179" s="52">
        <f t="shared" si="282"/>
        <v>0</v>
      </c>
      <c r="F1179" s="52">
        <f t="shared" si="282"/>
        <v>0</v>
      </c>
      <c r="G1179" s="52">
        <f t="shared" si="282"/>
        <v>0</v>
      </c>
      <c r="H1179" s="52">
        <f t="shared" si="282"/>
        <v>0</v>
      </c>
      <c r="I1179" s="52">
        <f t="shared" si="282"/>
        <v>0</v>
      </c>
    </row>
    <row r="1180" spans="1:9" s="95" customFormat="1">
      <c r="A1180" s="58" t="s">
        <v>40</v>
      </c>
      <c r="B1180" s="129" t="s">
        <v>29</v>
      </c>
      <c r="C1180" s="130">
        <f t="shared" si="277"/>
        <v>126.52000000000001</v>
      </c>
      <c r="D1180" s="130">
        <f>D1182</f>
        <v>126.52000000000001</v>
      </c>
      <c r="E1180" s="130">
        <f t="shared" si="282"/>
        <v>0</v>
      </c>
      <c r="F1180" s="130">
        <f t="shared" si="282"/>
        <v>0</v>
      </c>
      <c r="G1180" s="130">
        <f t="shared" si="282"/>
        <v>0</v>
      </c>
      <c r="H1180" s="130">
        <f t="shared" si="282"/>
        <v>0</v>
      </c>
      <c r="I1180" s="130">
        <f t="shared" si="282"/>
        <v>0</v>
      </c>
    </row>
    <row r="1181" spans="1:9" s="95" customFormat="1">
      <c r="A1181" s="131"/>
      <c r="B1181" s="132" t="s">
        <v>30</v>
      </c>
      <c r="C1181" s="130">
        <f t="shared" si="277"/>
        <v>126.52000000000001</v>
      </c>
      <c r="D1181" s="130">
        <f>D1183</f>
        <v>126.52000000000001</v>
      </c>
      <c r="E1181" s="130">
        <f t="shared" si="282"/>
        <v>0</v>
      </c>
      <c r="F1181" s="130">
        <f t="shared" si="282"/>
        <v>0</v>
      </c>
      <c r="G1181" s="130">
        <f t="shared" si="282"/>
        <v>0</v>
      </c>
      <c r="H1181" s="130">
        <f t="shared" si="282"/>
        <v>0</v>
      </c>
      <c r="I1181" s="130">
        <f t="shared" si="282"/>
        <v>0</v>
      </c>
    </row>
    <row r="1182" spans="1:9" s="126" customFormat="1">
      <c r="A1182" s="96" t="s">
        <v>475</v>
      </c>
      <c r="B1182" s="124" t="s">
        <v>29</v>
      </c>
      <c r="C1182" s="125">
        <f t="shared" si="277"/>
        <v>126.52000000000001</v>
      </c>
      <c r="D1182" s="125">
        <f>D1184+D1186</f>
        <v>126.52000000000001</v>
      </c>
      <c r="E1182" s="125">
        <f t="shared" ref="E1182:I1183" si="283">E1184+E1186</f>
        <v>0</v>
      </c>
      <c r="F1182" s="125">
        <f t="shared" si="283"/>
        <v>0</v>
      </c>
      <c r="G1182" s="125">
        <f t="shared" si="283"/>
        <v>0</v>
      </c>
      <c r="H1182" s="125">
        <f t="shared" si="283"/>
        <v>0</v>
      </c>
      <c r="I1182" s="125">
        <f t="shared" si="283"/>
        <v>0</v>
      </c>
    </row>
    <row r="1183" spans="1:9" s="126" customFormat="1">
      <c r="A1183" s="134"/>
      <c r="B1183" s="127" t="s">
        <v>30</v>
      </c>
      <c r="C1183" s="125">
        <f t="shared" si="277"/>
        <v>126.52000000000001</v>
      </c>
      <c r="D1183" s="125">
        <f>D1185+D1187</f>
        <v>126.52000000000001</v>
      </c>
      <c r="E1183" s="125">
        <f t="shared" si="283"/>
        <v>0</v>
      </c>
      <c r="F1183" s="125">
        <f t="shared" si="283"/>
        <v>0</v>
      </c>
      <c r="G1183" s="125">
        <f t="shared" si="283"/>
        <v>0</v>
      </c>
      <c r="H1183" s="125">
        <f t="shared" si="283"/>
        <v>0</v>
      </c>
      <c r="I1183" s="125">
        <f t="shared" si="283"/>
        <v>0</v>
      </c>
    </row>
    <row r="1184" spans="1:9" s="213" customFormat="1" ht="14.1">
      <c r="A1184" s="462" t="s">
        <v>476</v>
      </c>
      <c r="B1184" s="237" t="s">
        <v>29</v>
      </c>
      <c r="C1184" s="240">
        <f t="shared" si="277"/>
        <v>29.87</v>
      </c>
      <c r="D1184" s="240">
        <v>29.87</v>
      </c>
      <c r="E1184" s="240">
        <v>0</v>
      </c>
      <c r="F1184" s="240">
        <v>0</v>
      </c>
      <c r="G1184" s="240">
        <v>0</v>
      </c>
      <c r="H1184" s="240">
        <v>0</v>
      </c>
      <c r="I1184" s="240">
        <v>0</v>
      </c>
    </row>
    <row r="1185" spans="1:9" s="213" customFormat="1">
      <c r="A1185" s="215"/>
      <c r="B1185" s="226" t="s">
        <v>30</v>
      </c>
      <c r="C1185" s="240">
        <f t="shared" si="277"/>
        <v>29.87</v>
      </c>
      <c r="D1185" s="240">
        <v>29.87</v>
      </c>
      <c r="E1185" s="240">
        <v>0</v>
      </c>
      <c r="F1185" s="240">
        <v>0</v>
      </c>
      <c r="G1185" s="240">
        <v>0</v>
      </c>
      <c r="H1185" s="240">
        <v>0</v>
      </c>
      <c r="I1185" s="240">
        <v>0</v>
      </c>
    </row>
    <row r="1186" spans="1:9" s="213" customFormat="1" ht="14.1">
      <c r="A1186" s="462" t="s">
        <v>477</v>
      </c>
      <c r="B1186" s="237" t="s">
        <v>29</v>
      </c>
      <c r="C1186" s="240">
        <f t="shared" si="277"/>
        <v>96.65</v>
      </c>
      <c r="D1186" s="240">
        <v>96.65</v>
      </c>
      <c r="E1186" s="240">
        <v>0</v>
      </c>
      <c r="F1186" s="240">
        <v>0</v>
      </c>
      <c r="G1186" s="240">
        <v>0</v>
      </c>
      <c r="H1186" s="240">
        <v>0</v>
      </c>
      <c r="I1186" s="240">
        <v>0</v>
      </c>
    </row>
    <row r="1187" spans="1:9" s="207" customFormat="1">
      <c r="A1187" s="21"/>
      <c r="B1187" s="26" t="s">
        <v>30</v>
      </c>
      <c r="C1187" s="72">
        <f t="shared" si="277"/>
        <v>96.65</v>
      </c>
      <c r="D1187" s="72">
        <v>96.65</v>
      </c>
      <c r="E1187" s="72">
        <v>0</v>
      </c>
      <c r="F1187" s="72">
        <v>0</v>
      </c>
      <c r="G1187" s="72">
        <v>0</v>
      </c>
      <c r="H1187" s="72">
        <v>0</v>
      </c>
      <c r="I1187" s="72">
        <v>0</v>
      </c>
    </row>
    <row r="1188" spans="1:9">
      <c r="A1188" s="58" t="s">
        <v>478</v>
      </c>
      <c r="B1188" s="160" t="s">
        <v>29</v>
      </c>
      <c r="C1188" s="52">
        <f t="shared" si="277"/>
        <v>10369.09</v>
      </c>
      <c r="D1188" s="52">
        <f>D1190</f>
        <v>8663.09</v>
      </c>
      <c r="E1188" s="52">
        <f t="shared" ref="E1188:I1189" si="284">E1190</f>
        <v>1706</v>
      </c>
      <c r="F1188" s="52">
        <f t="shared" si="284"/>
        <v>0</v>
      </c>
      <c r="G1188" s="52">
        <f t="shared" si="284"/>
        <v>0</v>
      </c>
      <c r="H1188" s="52">
        <f t="shared" si="284"/>
        <v>0</v>
      </c>
      <c r="I1188" s="52">
        <f t="shared" si="284"/>
        <v>0</v>
      </c>
    </row>
    <row r="1189" spans="1:9">
      <c r="A1189" s="21" t="s">
        <v>89</v>
      </c>
      <c r="B1189" s="4" t="s">
        <v>30</v>
      </c>
      <c r="C1189" s="52">
        <f t="shared" si="277"/>
        <v>10369.09</v>
      </c>
      <c r="D1189" s="52">
        <f>D1191</f>
        <v>8663.09</v>
      </c>
      <c r="E1189" s="52">
        <f t="shared" si="284"/>
        <v>1706</v>
      </c>
      <c r="F1189" s="52">
        <f t="shared" si="284"/>
        <v>0</v>
      </c>
      <c r="G1189" s="52">
        <f t="shared" si="284"/>
        <v>0</v>
      </c>
      <c r="H1189" s="52">
        <f t="shared" si="284"/>
        <v>0</v>
      </c>
      <c r="I1189" s="52">
        <f t="shared" si="284"/>
        <v>0</v>
      </c>
    </row>
    <row r="1190" spans="1:9" ht="12.95">
      <c r="A1190" s="19" t="s">
        <v>37</v>
      </c>
      <c r="B1190" s="3" t="s">
        <v>29</v>
      </c>
      <c r="C1190" s="52">
        <f t="shared" si="277"/>
        <v>10369.09</v>
      </c>
      <c r="D1190" s="52">
        <f t="shared" ref="D1190:I1191" si="285">D1192</f>
        <v>8663.09</v>
      </c>
      <c r="E1190" s="52">
        <f t="shared" si="285"/>
        <v>1706</v>
      </c>
      <c r="F1190" s="52">
        <f t="shared" si="285"/>
        <v>0</v>
      </c>
      <c r="G1190" s="52">
        <f t="shared" si="285"/>
        <v>0</v>
      </c>
      <c r="H1190" s="52">
        <f t="shared" si="285"/>
        <v>0</v>
      </c>
      <c r="I1190" s="52">
        <f t="shared" si="285"/>
        <v>0</v>
      </c>
    </row>
    <row r="1191" spans="1:9" ht="12.95">
      <c r="A1191" s="16"/>
      <c r="B1191" s="4" t="s">
        <v>30</v>
      </c>
      <c r="C1191" s="52">
        <f t="shared" si="277"/>
        <v>10369.09</v>
      </c>
      <c r="D1191" s="52">
        <f t="shared" si="285"/>
        <v>8663.09</v>
      </c>
      <c r="E1191" s="52">
        <f>E1193</f>
        <v>1706</v>
      </c>
      <c r="F1191" s="52">
        <f t="shared" si="285"/>
        <v>0</v>
      </c>
      <c r="G1191" s="52">
        <f t="shared" si="285"/>
        <v>0</v>
      </c>
      <c r="H1191" s="52">
        <f t="shared" si="285"/>
        <v>0</v>
      </c>
      <c r="I1191" s="52">
        <f t="shared" si="285"/>
        <v>0</v>
      </c>
    </row>
    <row r="1192" spans="1:9">
      <c r="A1192" s="31" t="s">
        <v>50</v>
      </c>
      <c r="B1192" s="160" t="s">
        <v>29</v>
      </c>
      <c r="C1192" s="52">
        <f t="shared" si="277"/>
        <v>10369.09</v>
      </c>
      <c r="D1192" s="52">
        <f t="shared" ref="D1192:I1193" si="286">D1194+D1316+D1322</f>
        <v>8663.09</v>
      </c>
      <c r="E1192" s="52">
        <f t="shared" si="286"/>
        <v>1706</v>
      </c>
      <c r="F1192" s="52">
        <f t="shared" si="286"/>
        <v>0</v>
      </c>
      <c r="G1192" s="52">
        <f t="shared" si="286"/>
        <v>0</v>
      </c>
      <c r="H1192" s="52">
        <f t="shared" si="286"/>
        <v>0</v>
      </c>
      <c r="I1192" s="52">
        <f t="shared" si="286"/>
        <v>0</v>
      </c>
    </row>
    <row r="1193" spans="1:9">
      <c r="A1193" s="12"/>
      <c r="B1193" s="4" t="s">
        <v>30</v>
      </c>
      <c r="C1193" s="52">
        <f t="shared" si="277"/>
        <v>10369.09</v>
      </c>
      <c r="D1193" s="52">
        <f t="shared" si="286"/>
        <v>8663.09</v>
      </c>
      <c r="E1193" s="52">
        <f t="shared" si="286"/>
        <v>1706</v>
      </c>
      <c r="F1193" s="52">
        <f t="shared" si="286"/>
        <v>0</v>
      </c>
      <c r="G1193" s="52">
        <f t="shared" si="286"/>
        <v>0</v>
      </c>
      <c r="H1193" s="52">
        <f t="shared" si="286"/>
        <v>0</v>
      </c>
      <c r="I1193" s="52">
        <f t="shared" si="286"/>
        <v>0</v>
      </c>
    </row>
    <row r="1194" spans="1:9" s="95" customFormat="1">
      <c r="A1194" s="58" t="s">
        <v>40</v>
      </c>
      <c r="B1194" s="129" t="s">
        <v>29</v>
      </c>
      <c r="C1194" s="130">
        <f t="shared" si="277"/>
        <v>10152.1</v>
      </c>
      <c r="D1194" s="130">
        <f t="shared" ref="D1194:I1195" si="287">D1196+D1242+D1290+D1300</f>
        <v>8468.1</v>
      </c>
      <c r="E1194" s="130">
        <f t="shared" si="287"/>
        <v>1684</v>
      </c>
      <c r="F1194" s="130">
        <f t="shared" si="287"/>
        <v>0</v>
      </c>
      <c r="G1194" s="130">
        <f t="shared" si="287"/>
        <v>0</v>
      </c>
      <c r="H1194" s="130">
        <f t="shared" si="287"/>
        <v>0</v>
      </c>
      <c r="I1194" s="130">
        <f t="shared" si="287"/>
        <v>0</v>
      </c>
    </row>
    <row r="1195" spans="1:9" s="95" customFormat="1">
      <c r="A1195" s="131"/>
      <c r="B1195" s="132" t="s">
        <v>30</v>
      </c>
      <c r="C1195" s="130">
        <f t="shared" si="277"/>
        <v>10152.1</v>
      </c>
      <c r="D1195" s="130">
        <f t="shared" si="287"/>
        <v>8468.1</v>
      </c>
      <c r="E1195" s="130">
        <f t="shared" si="287"/>
        <v>1684</v>
      </c>
      <c r="F1195" s="130">
        <f t="shared" si="287"/>
        <v>0</v>
      </c>
      <c r="G1195" s="130">
        <f t="shared" si="287"/>
        <v>0</v>
      </c>
      <c r="H1195" s="130">
        <f t="shared" si="287"/>
        <v>0</v>
      </c>
      <c r="I1195" s="130">
        <f t="shared" si="287"/>
        <v>0</v>
      </c>
    </row>
    <row r="1196" spans="1:9" s="126" customFormat="1">
      <c r="A1196" s="133" t="s">
        <v>479</v>
      </c>
      <c r="B1196" s="124" t="s">
        <v>29</v>
      </c>
      <c r="C1196" s="125">
        <f t="shared" si="277"/>
        <v>543.6</v>
      </c>
      <c r="D1196" s="125">
        <f>D1198+D1200+D1202+D1204+D1206+D1208+D1210+D1212+D1214+D1216+D1218+D1220+D1222+D1224+D1226+D1228+D1230+D1232+D1234+D1236+D1238+D1240</f>
        <v>203.60000000000002</v>
      </c>
      <c r="E1196" s="125">
        <f t="shared" ref="E1196:I1197" si="288">E1198+E1200+E1202+E1204+E1206+E1208+E1210+E1212+E1214+E1216+E1218+E1220+E1222+E1224+E1226+E1228+E1230+E1232+E1234+E1236+E1238+E1240</f>
        <v>340</v>
      </c>
      <c r="F1196" s="125">
        <f t="shared" si="288"/>
        <v>0</v>
      </c>
      <c r="G1196" s="125">
        <f t="shared" si="288"/>
        <v>0</v>
      </c>
      <c r="H1196" s="125">
        <f t="shared" si="288"/>
        <v>0</v>
      </c>
      <c r="I1196" s="125">
        <f t="shared" si="288"/>
        <v>0</v>
      </c>
    </row>
    <row r="1197" spans="1:9" s="126" customFormat="1">
      <c r="A1197" s="134"/>
      <c r="B1197" s="127" t="s">
        <v>30</v>
      </c>
      <c r="C1197" s="125">
        <f t="shared" si="277"/>
        <v>543.6</v>
      </c>
      <c r="D1197" s="125">
        <f>D1199+D1201+D1203+D1205+D1207+D1209+D1211+D1213+D1215+D1217+D1219+D1221+D1223+D1225+D1227+D1229+D1231+D1233+D1235+D1237+D1239+D1241</f>
        <v>203.60000000000002</v>
      </c>
      <c r="E1197" s="125">
        <f t="shared" si="288"/>
        <v>340</v>
      </c>
      <c r="F1197" s="125">
        <f t="shared" si="288"/>
        <v>0</v>
      </c>
      <c r="G1197" s="125">
        <f t="shared" si="288"/>
        <v>0</v>
      </c>
      <c r="H1197" s="125">
        <f t="shared" si="288"/>
        <v>0</v>
      </c>
      <c r="I1197" s="125">
        <f t="shared" si="288"/>
        <v>0</v>
      </c>
    </row>
    <row r="1198" spans="1:9" s="213" customFormat="1" ht="13.5" customHeight="1">
      <c r="A1198" s="509" t="s">
        <v>480</v>
      </c>
      <c r="B1198" s="237" t="s">
        <v>29</v>
      </c>
      <c r="C1198" s="240">
        <f t="shared" si="277"/>
        <v>17.48</v>
      </c>
      <c r="D1198" s="240">
        <v>17.48</v>
      </c>
      <c r="E1198" s="240">
        <v>0</v>
      </c>
      <c r="F1198" s="240">
        <f t="shared" ref="F1198:I1199" si="289">F1200</f>
        <v>0</v>
      </c>
      <c r="G1198" s="240">
        <f t="shared" si="289"/>
        <v>0</v>
      </c>
      <c r="H1198" s="240">
        <f t="shared" si="289"/>
        <v>0</v>
      </c>
      <c r="I1198" s="240">
        <f t="shared" si="289"/>
        <v>0</v>
      </c>
    </row>
    <row r="1199" spans="1:9" s="213" customFormat="1" ht="13.5" customHeight="1">
      <c r="A1199" s="215"/>
      <c r="B1199" s="226" t="s">
        <v>30</v>
      </c>
      <c r="C1199" s="240">
        <f t="shared" si="277"/>
        <v>17.48</v>
      </c>
      <c r="D1199" s="240">
        <v>17.48</v>
      </c>
      <c r="E1199" s="240">
        <v>0</v>
      </c>
      <c r="F1199" s="240">
        <f t="shared" si="289"/>
        <v>0</v>
      </c>
      <c r="G1199" s="240">
        <f t="shared" si="289"/>
        <v>0</v>
      </c>
      <c r="H1199" s="240">
        <f t="shared" si="289"/>
        <v>0</v>
      </c>
      <c r="I1199" s="240">
        <f t="shared" si="289"/>
        <v>0</v>
      </c>
    </row>
    <row r="1200" spans="1:9" s="213" customFormat="1">
      <c r="A1200" s="408" t="s">
        <v>481</v>
      </c>
      <c r="B1200" s="281" t="s">
        <v>29</v>
      </c>
      <c r="C1200" s="240">
        <f t="shared" si="277"/>
        <v>9.6</v>
      </c>
      <c r="D1200" s="240">
        <v>9.6</v>
      </c>
      <c r="E1200" s="240">
        <v>0</v>
      </c>
      <c r="F1200" s="240">
        <v>0</v>
      </c>
      <c r="G1200" s="240">
        <v>0</v>
      </c>
      <c r="H1200" s="240">
        <v>0</v>
      </c>
      <c r="I1200" s="240">
        <v>0</v>
      </c>
    </row>
    <row r="1201" spans="1:9" s="102" customFormat="1" ht="12" customHeight="1">
      <c r="A1201" s="12"/>
      <c r="B1201" s="59" t="s">
        <v>30</v>
      </c>
      <c r="C1201" s="64">
        <f t="shared" si="277"/>
        <v>9.6</v>
      </c>
      <c r="D1201" s="64">
        <v>9.6</v>
      </c>
      <c r="E1201" s="64">
        <v>0</v>
      </c>
      <c r="F1201" s="64">
        <v>0</v>
      </c>
      <c r="G1201" s="64">
        <v>0</v>
      </c>
      <c r="H1201" s="64">
        <v>0</v>
      </c>
      <c r="I1201" s="64">
        <v>0</v>
      </c>
    </row>
    <row r="1202" spans="1:9" s="213" customFormat="1">
      <c r="A1202" s="332" t="s">
        <v>482</v>
      </c>
      <c r="B1202" s="237" t="s">
        <v>29</v>
      </c>
      <c r="C1202" s="240">
        <f t="shared" si="277"/>
        <v>19.68</v>
      </c>
      <c r="D1202" s="240">
        <v>19.68</v>
      </c>
      <c r="E1202" s="240">
        <v>0</v>
      </c>
      <c r="F1202" s="240">
        <f t="shared" ref="F1202:I1203" si="290">F1204</f>
        <v>0</v>
      </c>
      <c r="G1202" s="240">
        <f t="shared" si="290"/>
        <v>0</v>
      </c>
      <c r="H1202" s="240">
        <f t="shared" si="290"/>
        <v>0</v>
      </c>
      <c r="I1202" s="240">
        <f t="shared" si="290"/>
        <v>0</v>
      </c>
    </row>
    <row r="1203" spans="1:9" s="213" customFormat="1">
      <c r="A1203" s="215"/>
      <c r="B1203" s="226" t="s">
        <v>30</v>
      </c>
      <c r="C1203" s="240">
        <f t="shared" si="277"/>
        <v>19.68</v>
      </c>
      <c r="D1203" s="240">
        <v>19.68</v>
      </c>
      <c r="E1203" s="240">
        <v>0</v>
      </c>
      <c r="F1203" s="240">
        <f t="shared" si="290"/>
        <v>0</v>
      </c>
      <c r="G1203" s="240">
        <f t="shared" si="290"/>
        <v>0</v>
      </c>
      <c r="H1203" s="240">
        <f t="shared" si="290"/>
        <v>0</v>
      </c>
      <c r="I1203" s="240">
        <f t="shared" si="290"/>
        <v>0</v>
      </c>
    </row>
    <row r="1204" spans="1:9" s="213" customFormat="1">
      <c r="A1204" s="478" t="s">
        <v>483</v>
      </c>
      <c r="B1204" s="281" t="s">
        <v>29</v>
      </c>
      <c r="C1204" s="240">
        <f t="shared" si="277"/>
        <v>4.29</v>
      </c>
      <c r="D1204" s="240">
        <v>4.29</v>
      </c>
      <c r="E1204" s="240">
        <v>0</v>
      </c>
      <c r="F1204" s="240">
        <v>0</v>
      </c>
      <c r="G1204" s="240">
        <v>0</v>
      </c>
      <c r="H1204" s="240">
        <v>0</v>
      </c>
      <c r="I1204" s="240">
        <v>0</v>
      </c>
    </row>
    <row r="1205" spans="1:9" s="213" customFormat="1">
      <c r="A1205" s="215"/>
      <c r="B1205" s="281" t="s">
        <v>30</v>
      </c>
      <c r="C1205" s="240">
        <f t="shared" si="277"/>
        <v>4.29</v>
      </c>
      <c r="D1205" s="240">
        <v>4.29</v>
      </c>
      <c r="E1205" s="240">
        <v>0</v>
      </c>
      <c r="F1205" s="240">
        <v>0</v>
      </c>
      <c r="G1205" s="240">
        <v>0</v>
      </c>
      <c r="H1205" s="240">
        <v>0</v>
      </c>
      <c r="I1205" s="240">
        <v>0</v>
      </c>
    </row>
    <row r="1206" spans="1:9" s="213" customFormat="1" ht="15.75" customHeight="1">
      <c r="A1206" s="321" t="s">
        <v>484</v>
      </c>
      <c r="B1206" s="237" t="s">
        <v>29</v>
      </c>
      <c r="C1206" s="240">
        <f t="shared" si="277"/>
        <v>2.84</v>
      </c>
      <c r="D1206" s="240">
        <v>2.84</v>
      </c>
      <c r="E1206" s="240">
        <v>0</v>
      </c>
      <c r="F1206" s="240">
        <f t="shared" ref="F1206:I1207" si="291">F1208</f>
        <v>0</v>
      </c>
      <c r="G1206" s="240">
        <f t="shared" si="291"/>
        <v>0</v>
      </c>
      <c r="H1206" s="240">
        <f t="shared" si="291"/>
        <v>0</v>
      </c>
      <c r="I1206" s="240">
        <f t="shared" si="291"/>
        <v>0</v>
      </c>
    </row>
    <row r="1207" spans="1:9" s="213" customFormat="1" ht="15" customHeight="1">
      <c r="A1207" s="215"/>
      <c r="B1207" s="226" t="s">
        <v>30</v>
      </c>
      <c r="C1207" s="240">
        <f t="shared" si="277"/>
        <v>2.84</v>
      </c>
      <c r="D1207" s="240">
        <v>2.84</v>
      </c>
      <c r="E1207" s="240">
        <v>0</v>
      </c>
      <c r="F1207" s="240">
        <f t="shared" si="291"/>
        <v>0</v>
      </c>
      <c r="G1207" s="240">
        <f t="shared" si="291"/>
        <v>0</v>
      </c>
      <c r="H1207" s="240">
        <f t="shared" si="291"/>
        <v>0</v>
      </c>
      <c r="I1207" s="240">
        <f t="shared" si="291"/>
        <v>0</v>
      </c>
    </row>
    <row r="1208" spans="1:9" s="213" customFormat="1">
      <c r="A1208" s="478" t="s">
        <v>485</v>
      </c>
      <c r="B1208" s="281" t="s">
        <v>29</v>
      </c>
      <c r="C1208" s="240">
        <f t="shared" si="277"/>
        <v>7.85</v>
      </c>
      <c r="D1208" s="240">
        <v>7.85</v>
      </c>
      <c r="E1208" s="240">
        <v>0</v>
      </c>
      <c r="F1208" s="240">
        <v>0</v>
      </c>
      <c r="G1208" s="240">
        <v>0</v>
      </c>
      <c r="H1208" s="240">
        <v>0</v>
      </c>
      <c r="I1208" s="240">
        <v>0</v>
      </c>
    </row>
    <row r="1209" spans="1:9" s="102" customFormat="1">
      <c r="A1209" s="12"/>
      <c r="B1209" s="59" t="s">
        <v>30</v>
      </c>
      <c r="C1209" s="64">
        <f t="shared" si="277"/>
        <v>7.85</v>
      </c>
      <c r="D1209" s="64">
        <v>7.85</v>
      </c>
      <c r="E1209" s="64">
        <v>0</v>
      </c>
      <c r="F1209" s="64">
        <v>0</v>
      </c>
      <c r="G1209" s="64">
        <v>0</v>
      </c>
      <c r="H1209" s="64">
        <v>0</v>
      </c>
      <c r="I1209" s="64">
        <v>0</v>
      </c>
    </row>
    <row r="1210" spans="1:9" s="213" customFormat="1">
      <c r="A1210" s="478" t="s">
        <v>486</v>
      </c>
      <c r="B1210" s="281" t="s">
        <v>29</v>
      </c>
      <c r="C1210" s="240">
        <f t="shared" si="277"/>
        <v>2.91</v>
      </c>
      <c r="D1210" s="240">
        <v>2.91</v>
      </c>
      <c r="E1210" s="240">
        <v>0</v>
      </c>
      <c r="F1210" s="240">
        <v>0</v>
      </c>
      <c r="G1210" s="240">
        <v>0</v>
      </c>
      <c r="H1210" s="240">
        <v>0</v>
      </c>
      <c r="I1210" s="240">
        <v>0</v>
      </c>
    </row>
    <row r="1211" spans="1:9" s="213" customFormat="1">
      <c r="A1211" s="215"/>
      <c r="B1211" s="281" t="s">
        <v>30</v>
      </c>
      <c r="C1211" s="240">
        <f t="shared" si="277"/>
        <v>2.91</v>
      </c>
      <c r="D1211" s="240">
        <v>2.91</v>
      </c>
      <c r="E1211" s="240">
        <v>0</v>
      </c>
      <c r="F1211" s="240">
        <v>0</v>
      </c>
      <c r="G1211" s="240">
        <v>0</v>
      </c>
      <c r="H1211" s="240">
        <v>0</v>
      </c>
      <c r="I1211" s="240">
        <v>0</v>
      </c>
    </row>
    <row r="1212" spans="1:9" s="213" customFormat="1" ht="15.75" customHeight="1">
      <c r="A1212" s="332" t="s">
        <v>487</v>
      </c>
      <c r="B1212" s="237" t="s">
        <v>29</v>
      </c>
      <c r="C1212" s="240">
        <f t="shared" si="277"/>
        <v>6.4</v>
      </c>
      <c r="D1212" s="240">
        <v>6.4</v>
      </c>
      <c r="E1212" s="240">
        <v>0</v>
      </c>
      <c r="F1212" s="240">
        <v>0</v>
      </c>
      <c r="G1212" s="240">
        <v>0</v>
      </c>
      <c r="H1212" s="240">
        <v>0</v>
      </c>
      <c r="I1212" s="240">
        <v>0</v>
      </c>
    </row>
    <row r="1213" spans="1:9" s="213" customFormat="1" ht="15" customHeight="1">
      <c r="A1213" s="215"/>
      <c r="B1213" s="226" t="s">
        <v>30</v>
      </c>
      <c r="C1213" s="240">
        <f t="shared" si="277"/>
        <v>6.4</v>
      </c>
      <c r="D1213" s="240">
        <v>6.4</v>
      </c>
      <c r="E1213" s="240">
        <v>0</v>
      </c>
      <c r="F1213" s="240">
        <v>0</v>
      </c>
      <c r="G1213" s="240">
        <v>0</v>
      </c>
      <c r="H1213" s="240">
        <v>0</v>
      </c>
      <c r="I1213" s="240">
        <v>0</v>
      </c>
    </row>
    <row r="1214" spans="1:9" s="213" customFormat="1" ht="13.5" customHeight="1">
      <c r="A1214" s="463" t="s">
        <v>488</v>
      </c>
      <c r="B1214" s="237" t="s">
        <v>29</v>
      </c>
      <c r="C1214" s="240">
        <f t="shared" si="277"/>
        <v>67.45</v>
      </c>
      <c r="D1214" s="240">
        <v>67.45</v>
      </c>
      <c r="E1214" s="240">
        <v>0</v>
      </c>
      <c r="F1214" s="240">
        <v>0</v>
      </c>
      <c r="G1214" s="240">
        <v>0</v>
      </c>
      <c r="H1214" s="240">
        <v>0</v>
      </c>
      <c r="I1214" s="240">
        <v>0</v>
      </c>
    </row>
    <row r="1215" spans="1:9" s="213" customFormat="1" ht="15" customHeight="1">
      <c r="A1215" s="215"/>
      <c r="B1215" s="226" t="s">
        <v>30</v>
      </c>
      <c r="C1215" s="240">
        <f t="shared" si="277"/>
        <v>67.45</v>
      </c>
      <c r="D1215" s="240">
        <v>67.45</v>
      </c>
      <c r="E1215" s="240">
        <v>0</v>
      </c>
      <c r="F1215" s="240">
        <v>0</v>
      </c>
      <c r="G1215" s="240">
        <v>0</v>
      </c>
      <c r="H1215" s="240">
        <v>0</v>
      </c>
      <c r="I1215" s="240">
        <v>0</v>
      </c>
    </row>
    <row r="1216" spans="1:9" s="213" customFormat="1" ht="13.5" customHeight="1">
      <c r="A1216" s="463" t="s">
        <v>489</v>
      </c>
      <c r="B1216" s="237" t="s">
        <v>29</v>
      </c>
      <c r="C1216" s="240">
        <f t="shared" si="277"/>
        <v>3.62</v>
      </c>
      <c r="D1216" s="240">
        <v>3.62</v>
      </c>
      <c r="E1216" s="240">
        <v>0</v>
      </c>
      <c r="F1216" s="240">
        <v>0</v>
      </c>
      <c r="G1216" s="240">
        <v>0</v>
      </c>
      <c r="H1216" s="240">
        <v>0</v>
      </c>
      <c r="I1216" s="240">
        <v>0</v>
      </c>
    </row>
    <row r="1217" spans="1:9" s="213" customFormat="1" ht="15" customHeight="1">
      <c r="A1217" s="215"/>
      <c r="B1217" s="226" t="s">
        <v>30</v>
      </c>
      <c r="C1217" s="240">
        <f t="shared" si="277"/>
        <v>3.62</v>
      </c>
      <c r="D1217" s="240">
        <v>3.62</v>
      </c>
      <c r="E1217" s="240">
        <v>0</v>
      </c>
      <c r="F1217" s="240">
        <v>0</v>
      </c>
      <c r="G1217" s="240">
        <v>0</v>
      </c>
      <c r="H1217" s="240">
        <v>0</v>
      </c>
      <c r="I1217" s="240">
        <v>0</v>
      </c>
    </row>
    <row r="1218" spans="1:9" s="213" customFormat="1" ht="13.5" customHeight="1">
      <c r="A1218" s="463" t="s">
        <v>263</v>
      </c>
      <c r="B1218" s="237" t="s">
        <v>29</v>
      </c>
      <c r="C1218" s="240">
        <f t="shared" si="277"/>
        <v>72.760000000000005</v>
      </c>
      <c r="D1218" s="240">
        <v>31.76</v>
      </c>
      <c r="E1218" s="240">
        <v>41</v>
      </c>
      <c r="F1218" s="240">
        <v>0</v>
      </c>
      <c r="G1218" s="240">
        <v>0</v>
      </c>
      <c r="H1218" s="240">
        <v>0</v>
      </c>
      <c r="I1218" s="240">
        <v>0</v>
      </c>
    </row>
    <row r="1219" spans="1:9" s="213" customFormat="1" ht="15" customHeight="1">
      <c r="A1219" s="215"/>
      <c r="B1219" s="226" t="s">
        <v>30</v>
      </c>
      <c r="C1219" s="240">
        <f t="shared" si="277"/>
        <v>72.760000000000005</v>
      </c>
      <c r="D1219" s="240">
        <v>31.76</v>
      </c>
      <c r="E1219" s="240">
        <v>41</v>
      </c>
      <c r="F1219" s="240">
        <v>0</v>
      </c>
      <c r="G1219" s="240">
        <v>0</v>
      </c>
      <c r="H1219" s="240">
        <v>0</v>
      </c>
      <c r="I1219" s="240">
        <v>0</v>
      </c>
    </row>
    <row r="1220" spans="1:9" s="213" customFormat="1" ht="13.5" customHeight="1">
      <c r="A1220" s="463" t="s">
        <v>490</v>
      </c>
      <c r="B1220" s="237" t="s">
        <v>29</v>
      </c>
      <c r="C1220" s="240">
        <f t="shared" si="277"/>
        <v>19.37</v>
      </c>
      <c r="D1220" s="240">
        <v>19.37</v>
      </c>
      <c r="E1220" s="240">
        <v>0</v>
      </c>
      <c r="F1220" s="240">
        <v>0</v>
      </c>
      <c r="G1220" s="240">
        <v>0</v>
      </c>
      <c r="H1220" s="240">
        <v>0</v>
      </c>
      <c r="I1220" s="240">
        <v>0</v>
      </c>
    </row>
    <row r="1221" spans="1:9" s="213" customFormat="1" ht="15" customHeight="1">
      <c r="A1221" s="215"/>
      <c r="B1221" s="226" t="s">
        <v>30</v>
      </c>
      <c r="C1221" s="240">
        <f t="shared" si="277"/>
        <v>19.37</v>
      </c>
      <c r="D1221" s="240">
        <v>19.37</v>
      </c>
      <c r="E1221" s="240">
        <v>0</v>
      </c>
      <c r="F1221" s="240">
        <v>0</v>
      </c>
      <c r="G1221" s="240">
        <v>0</v>
      </c>
      <c r="H1221" s="240">
        <v>0</v>
      </c>
      <c r="I1221" s="240">
        <v>0</v>
      </c>
    </row>
    <row r="1222" spans="1:9" s="213" customFormat="1" ht="13.5" customHeight="1">
      <c r="A1222" s="463" t="s">
        <v>491</v>
      </c>
      <c r="B1222" s="237" t="s">
        <v>29</v>
      </c>
      <c r="C1222" s="240">
        <f t="shared" si="277"/>
        <v>3.86</v>
      </c>
      <c r="D1222" s="240">
        <v>3.86</v>
      </c>
      <c r="E1222" s="240">
        <v>0</v>
      </c>
      <c r="F1222" s="240">
        <v>0</v>
      </c>
      <c r="G1222" s="240">
        <v>0</v>
      </c>
      <c r="H1222" s="240">
        <v>0</v>
      </c>
      <c r="I1222" s="240">
        <v>0</v>
      </c>
    </row>
    <row r="1223" spans="1:9" s="213" customFormat="1" ht="15" customHeight="1">
      <c r="A1223" s="215"/>
      <c r="B1223" s="226" t="s">
        <v>30</v>
      </c>
      <c r="C1223" s="240">
        <f t="shared" si="277"/>
        <v>3.86</v>
      </c>
      <c r="D1223" s="240">
        <v>3.86</v>
      </c>
      <c r="E1223" s="240">
        <v>0</v>
      </c>
      <c r="F1223" s="240">
        <v>0</v>
      </c>
      <c r="G1223" s="240">
        <v>0</v>
      </c>
      <c r="H1223" s="240">
        <v>0</v>
      </c>
      <c r="I1223" s="240">
        <v>0</v>
      </c>
    </row>
    <row r="1224" spans="1:9" s="213" customFormat="1" ht="13.5" customHeight="1">
      <c r="A1224" s="411" t="s">
        <v>492</v>
      </c>
      <c r="B1224" s="237" t="s">
        <v>29</v>
      </c>
      <c r="C1224" s="240">
        <f t="shared" si="277"/>
        <v>6.49</v>
      </c>
      <c r="D1224" s="240">
        <v>6.49</v>
      </c>
      <c r="E1224" s="240">
        <v>0</v>
      </c>
      <c r="F1224" s="240">
        <v>0</v>
      </c>
      <c r="G1224" s="240">
        <v>0</v>
      </c>
      <c r="H1224" s="240">
        <v>0</v>
      </c>
      <c r="I1224" s="240">
        <v>0</v>
      </c>
    </row>
    <row r="1225" spans="1:9" s="213" customFormat="1" ht="15" customHeight="1">
      <c r="A1225" s="215"/>
      <c r="B1225" s="226" t="s">
        <v>30</v>
      </c>
      <c r="C1225" s="240">
        <f t="shared" si="277"/>
        <v>6.49</v>
      </c>
      <c r="D1225" s="240">
        <v>6.49</v>
      </c>
      <c r="E1225" s="240">
        <v>0</v>
      </c>
      <c r="F1225" s="240">
        <v>0</v>
      </c>
      <c r="G1225" s="240">
        <v>0</v>
      </c>
      <c r="H1225" s="240">
        <v>0</v>
      </c>
      <c r="I1225" s="240">
        <v>0</v>
      </c>
    </row>
    <row r="1226" spans="1:9" s="213" customFormat="1" ht="13.5" customHeight="1">
      <c r="A1226" s="464" t="s">
        <v>493</v>
      </c>
      <c r="B1226" s="237" t="s">
        <v>29</v>
      </c>
      <c r="C1226" s="240">
        <f t="shared" si="277"/>
        <v>5</v>
      </c>
      <c r="D1226" s="240">
        <v>0</v>
      </c>
      <c r="E1226" s="240">
        <v>5</v>
      </c>
      <c r="F1226" s="240">
        <v>0</v>
      </c>
      <c r="G1226" s="240">
        <v>0</v>
      </c>
      <c r="H1226" s="240">
        <v>0</v>
      </c>
      <c r="I1226" s="240">
        <v>0</v>
      </c>
    </row>
    <row r="1227" spans="1:9" s="213" customFormat="1" ht="15" customHeight="1">
      <c r="A1227" s="215"/>
      <c r="B1227" s="226" t="s">
        <v>30</v>
      </c>
      <c r="C1227" s="240">
        <f t="shared" si="277"/>
        <v>5</v>
      </c>
      <c r="D1227" s="240">
        <v>0</v>
      </c>
      <c r="E1227" s="240">
        <v>5</v>
      </c>
      <c r="F1227" s="240">
        <v>0</v>
      </c>
      <c r="G1227" s="240">
        <v>0</v>
      </c>
      <c r="H1227" s="240">
        <v>0</v>
      </c>
      <c r="I1227" s="240">
        <v>0</v>
      </c>
    </row>
    <row r="1228" spans="1:9" s="213" customFormat="1" ht="13.5" customHeight="1">
      <c r="A1228" s="418" t="s">
        <v>494</v>
      </c>
      <c r="B1228" s="237" t="s">
        <v>29</v>
      </c>
      <c r="C1228" s="240">
        <f t="shared" si="277"/>
        <v>22</v>
      </c>
      <c r="D1228" s="240">
        <v>0</v>
      </c>
      <c r="E1228" s="240">
        <v>22</v>
      </c>
      <c r="F1228" s="240">
        <v>0</v>
      </c>
      <c r="G1228" s="240">
        <v>0</v>
      </c>
      <c r="H1228" s="240">
        <v>0</v>
      </c>
      <c r="I1228" s="240">
        <v>0</v>
      </c>
    </row>
    <row r="1229" spans="1:9" s="213" customFormat="1" ht="15" customHeight="1">
      <c r="A1229" s="215"/>
      <c r="B1229" s="226" t="s">
        <v>30</v>
      </c>
      <c r="C1229" s="240">
        <f t="shared" si="277"/>
        <v>22</v>
      </c>
      <c r="D1229" s="240">
        <v>0</v>
      </c>
      <c r="E1229" s="240">
        <v>22</v>
      </c>
      <c r="F1229" s="240">
        <v>0</v>
      </c>
      <c r="G1229" s="240">
        <v>0</v>
      </c>
      <c r="H1229" s="240">
        <v>0</v>
      </c>
      <c r="I1229" s="240">
        <v>0</v>
      </c>
    </row>
    <row r="1230" spans="1:9" s="213" customFormat="1" ht="13.5" customHeight="1">
      <c r="A1230" s="465" t="s">
        <v>482</v>
      </c>
      <c r="B1230" s="237" t="s">
        <v>29</v>
      </c>
      <c r="C1230" s="240">
        <f t="shared" si="277"/>
        <v>5</v>
      </c>
      <c r="D1230" s="240">
        <v>0</v>
      </c>
      <c r="E1230" s="240">
        <v>5</v>
      </c>
      <c r="F1230" s="240">
        <v>0</v>
      </c>
      <c r="G1230" s="240">
        <v>0</v>
      </c>
      <c r="H1230" s="240">
        <v>0</v>
      </c>
      <c r="I1230" s="240">
        <v>0</v>
      </c>
    </row>
    <row r="1231" spans="1:9" s="213" customFormat="1" ht="15" customHeight="1">
      <c r="A1231" s="215"/>
      <c r="B1231" s="226" t="s">
        <v>30</v>
      </c>
      <c r="C1231" s="240">
        <f t="shared" si="277"/>
        <v>5</v>
      </c>
      <c r="D1231" s="240">
        <v>0</v>
      </c>
      <c r="E1231" s="240">
        <v>5</v>
      </c>
      <c r="F1231" s="240">
        <v>0</v>
      </c>
      <c r="G1231" s="240">
        <v>0</v>
      </c>
      <c r="H1231" s="240">
        <v>0</v>
      </c>
      <c r="I1231" s="240">
        <v>0</v>
      </c>
    </row>
    <row r="1232" spans="1:9" s="213" customFormat="1" ht="13.5" customHeight="1">
      <c r="A1232" s="418" t="s">
        <v>495</v>
      </c>
      <c r="B1232" s="237" t="s">
        <v>29</v>
      </c>
      <c r="C1232" s="240">
        <f t="shared" si="277"/>
        <v>50</v>
      </c>
      <c r="D1232" s="240">
        <v>0</v>
      </c>
      <c r="E1232" s="240">
        <v>50</v>
      </c>
      <c r="F1232" s="240">
        <v>0</v>
      </c>
      <c r="G1232" s="240">
        <v>0</v>
      </c>
      <c r="H1232" s="240">
        <v>0</v>
      </c>
      <c r="I1232" s="240">
        <v>0</v>
      </c>
    </row>
    <row r="1233" spans="1:9" s="213" customFormat="1" ht="15" customHeight="1">
      <c r="A1233" s="215"/>
      <c r="B1233" s="226" t="s">
        <v>30</v>
      </c>
      <c r="C1233" s="240">
        <f t="shared" si="277"/>
        <v>50</v>
      </c>
      <c r="D1233" s="240">
        <v>0</v>
      </c>
      <c r="E1233" s="240">
        <v>50</v>
      </c>
      <c r="F1233" s="240">
        <v>0</v>
      </c>
      <c r="G1233" s="240">
        <v>0</v>
      </c>
      <c r="H1233" s="240">
        <v>0</v>
      </c>
      <c r="I1233" s="240">
        <v>0</v>
      </c>
    </row>
    <row r="1234" spans="1:9" s="213" customFormat="1" ht="13.5" customHeight="1">
      <c r="A1234" s="418" t="s">
        <v>496</v>
      </c>
      <c r="B1234" s="237" t="s">
        <v>29</v>
      </c>
      <c r="C1234" s="240">
        <f t="shared" si="277"/>
        <v>7</v>
      </c>
      <c r="D1234" s="240">
        <v>0</v>
      </c>
      <c r="E1234" s="240">
        <v>7</v>
      </c>
      <c r="F1234" s="240">
        <v>0</v>
      </c>
      <c r="G1234" s="240">
        <v>0</v>
      </c>
      <c r="H1234" s="240">
        <v>0</v>
      </c>
      <c r="I1234" s="240">
        <v>0</v>
      </c>
    </row>
    <row r="1235" spans="1:9" s="213" customFormat="1" ht="15" customHeight="1">
      <c r="A1235" s="215"/>
      <c r="B1235" s="226" t="s">
        <v>30</v>
      </c>
      <c r="C1235" s="240">
        <f t="shared" si="277"/>
        <v>7</v>
      </c>
      <c r="D1235" s="240">
        <v>0</v>
      </c>
      <c r="E1235" s="240">
        <v>7</v>
      </c>
      <c r="F1235" s="240">
        <v>0</v>
      </c>
      <c r="G1235" s="240">
        <v>0</v>
      </c>
      <c r="H1235" s="240">
        <v>0</v>
      </c>
      <c r="I1235" s="240">
        <v>0</v>
      </c>
    </row>
    <row r="1236" spans="1:9" s="213" customFormat="1" ht="13.5" customHeight="1">
      <c r="A1236" s="418" t="s">
        <v>497</v>
      </c>
      <c r="B1236" s="237" t="s">
        <v>29</v>
      </c>
      <c r="C1236" s="240">
        <f t="shared" si="277"/>
        <v>200</v>
      </c>
      <c r="D1236" s="240">
        <v>0</v>
      </c>
      <c r="E1236" s="240">
        <v>200</v>
      </c>
      <c r="F1236" s="240">
        <v>0</v>
      </c>
      <c r="G1236" s="240">
        <v>0</v>
      </c>
      <c r="H1236" s="240">
        <v>0</v>
      </c>
      <c r="I1236" s="240">
        <v>0</v>
      </c>
    </row>
    <row r="1237" spans="1:9" s="213" customFormat="1" ht="15" customHeight="1">
      <c r="A1237" s="215"/>
      <c r="B1237" s="226" t="s">
        <v>30</v>
      </c>
      <c r="C1237" s="240">
        <f t="shared" si="277"/>
        <v>200</v>
      </c>
      <c r="D1237" s="240">
        <v>0</v>
      </c>
      <c r="E1237" s="240">
        <v>200</v>
      </c>
      <c r="F1237" s="240">
        <v>0</v>
      </c>
      <c r="G1237" s="240">
        <v>0</v>
      </c>
      <c r="H1237" s="240">
        <v>0</v>
      </c>
      <c r="I1237" s="240">
        <v>0</v>
      </c>
    </row>
    <row r="1238" spans="1:9" s="213" customFormat="1" ht="13.5" customHeight="1">
      <c r="A1238" s="418" t="s">
        <v>498</v>
      </c>
      <c r="B1238" s="237" t="s">
        <v>29</v>
      </c>
      <c r="C1238" s="240">
        <f t="shared" si="277"/>
        <v>5</v>
      </c>
      <c r="D1238" s="240">
        <v>0</v>
      </c>
      <c r="E1238" s="240">
        <v>5</v>
      </c>
      <c r="F1238" s="240">
        <v>0</v>
      </c>
      <c r="G1238" s="240">
        <v>0</v>
      </c>
      <c r="H1238" s="240">
        <v>0</v>
      </c>
      <c r="I1238" s="240">
        <v>0</v>
      </c>
    </row>
    <row r="1239" spans="1:9" s="213" customFormat="1" ht="15" customHeight="1">
      <c r="A1239" s="215"/>
      <c r="B1239" s="226" t="s">
        <v>30</v>
      </c>
      <c r="C1239" s="240">
        <f t="shared" si="277"/>
        <v>5</v>
      </c>
      <c r="D1239" s="240">
        <v>0</v>
      </c>
      <c r="E1239" s="240">
        <v>5</v>
      </c>
      <c r="F1239" s="240">
        <v>0</v>
      </c>
      <c r="G1239" s="240">
        <v>0</v>
      </c>
      <c r="H1239" s="240">
        <v>0</v>
      </c>
      <c r="I1239" s="240">
        <v>0</v>
      </c>
    </row>
    <row r="1240" spans="1:9" s="213" customFormat="1" ht="13.5" customHeight="1">
      <c r="A1240" s="418" t="s">
        <v>499</v>
      </c>
      <c r="B1240" s="237" t="s">
        <v>29</v>
      </c>
      <c r="C1240" s="240">
        <f t="shared" si="277"/>
        <v>5</v>
      </c>
      <c r="D1240" s="240">
        <v>0</v>
      </c>
      <c r="E1240" s="240">
        <v>5</v>
      </c>
      <c r="F1240" s="240">
        <v>0</v>
      </c>
      <c r="G1240" s="240">
        <v>0</v>
      </c>
      <c r="H1240" s="240">
        <v>0</v>
      </c>
      <c r="I1240" s="240">
        <v>0</v>
      </c>
    </row>
    <row r="1241" spans="1:9" s="213" customFormat="1" ht="15" customHeight="1">
      <c r="A1241" s="215"/>
      <c r="B1241" s="226" t="s">
        <v>30</v>
      </c>
      <c r="C1241" s="240">
        <f t="shared" si="277"/>
        <v>5</v>
      </c>
      <c r="D1241" s="240">
        <v>0</v>
      </c>
      <c r="E1241" s="240">
        <v>5</v>
      </c>
      <c r="F1241" s="240">
        <v>0</v>
      </c>
      <c r="G1241" s="240">
        <v>0</v>
      </c>
      <c r="H1241" s="240">
        <v>0</v>
      </c>
      <c r="I1241" s="240">
        <v>0</v>
      </c>
    </row>
    <row r="1242" spans="1:9" s="249" customFormat="1">
      <c r="A1242" s="220" t="s">
        <v>500</v>
      </c>
      <c r="B1242" s="365" t="s">
        <v>29</v>
      </c>
      <c r="C1242" s="291">
        <f t="shared" si="277"/>
        <v>9012.25</v>
      </c>
      <c r="D1242" s="291">
        <f>D1244+D1246+D1248+D1250+D1252+D1254+D1256+D1258+D1260+D1262+D1264+D1266+D1268+D1270+D1272+D1274+D1276+D1278+D1280+D1282+D1284+D1286+D1288</f>
        <v>7741.25</v>
      </c>
      <c r="E1242" s="291">
        <f t="shared" ref="E1242:I1243" si="292">E1244+E1246+E1248+E1250+E1252+E1254+E1256+E1258+E1260+E1262+E1264+E1266+E1268+E1270+E1272+E1274+E1276+E1278+E1280+E1282+E1284+E1286+E1288</f>
        <v>1271</v>
      </c>
      <c r="F1242" s="291">
        <f t="shared" si="292"/>
        <v>0</v>
      </c>
      <c r="G1242" s="291">
        <f t="shared" si="292"/>
        <v>0</v>
      </c>
      <c r="H1242" s="291">
        <f t="shared" si="292"/>
        <v>0</v>
      </c>
      <c r="I1242" s="291">
        <f t="shared" si="292"/>
        <v>0</v>
      </c>
    </row>
    <row r="1243" spans="1:9" s="249" customFormat="1">
      <c r="A1243" s="368"/>
      <c r="B1243" s="289" t="s">
        <v>30</v>
      </c>
      <c r="C1243" s="291">
        <f t="shared" si="277"/>
        <v>9012.25</v>
      </c>
      <c r="D1243" s="291">
        <f>D1245+D1247+D1249+D1251+D1253+D1255+D1257+D1259+D1261+D1263+D1265+D1267+D1269+D1271+D1273+D1275+D1277+D1279+D1281+D1283+D1285+D1287+D1289</f>
        <v>7741.25</v>
      </c>
      <c r="E1243" s="291">
        <f t="shared" si="292"/>
        <v>1271</v>
      </c>
      <c r="F1243" s="291">
        <f t="shared" si="292"/>
        <v>0</v>
      </c>
      <c r="G1243" s="291">
        <f t="shared" si="292"/>
        <v>0</v>
      </c>
      <c r="H1243" s="291">
        <f t="shared" si="292"/>
        <v>0</v>
      </c>
      <c r="I1243" s="291">
        <f t="shared" si="292"/>
        <v>0</v>
      </c>
    </row>
    <row r="1244" spans="1:9" s="213" customFormat="1" ht="14.1">
      <c r="A1244" s="466" t="s">
        <v>501</v>
      </c>
      <c r="B1244" s="237" t="s">
        <v>29</v>
      </c>
      <c r="C1244" s="240">
        <f t="shared" si="277"/>
        <v>1343.65</v>
      </c>
      <c r="D1244" s="240">
        <v>1239.6500000000001</v>
      </c>
      <c r="E1244" s="240">
        <v>104</v>
      </c>
      <c r="F1244" s="240">
        <v>0</v>
      </c>
      <c r="G1244" s="240">
        <v>0</v>
      </c>
      <c r="H1244" s="240">
        <v>0</v>
      </c>
      <c r="I1244" s="240">
        <v>0</v>
      </c>
    </row>
    <row r="1245" spans="1:9" s="213" customFormat="1">
      <c r="A1245" s="215"/>
      <c r="B1245" s="226" t="s">
        <v>30</v>
      </c>
      <c r="C1245" s="240">
        <f t="shared" si="277"/>
        <v>1343.65</v>
      </c>
      <c r="D1245" s="240">
        <v>1239.6500000000001</v>
      </c>
      <c r="E1245" s="240">
        <v>104</v>
      </c>
      <c r="F1245" s="240">
        <v>0</v>
      </c>
      <c r="G1245" s="240">
        <v>0</v>
      </c>
      <c r="H1245" s="240">
        <v>0</v>
      </c>
      <c r="I1245" s="240">
        <v>0</v>
      </c>
    </row>
    <row r="1246" spans="1:9" s="213" customFormat="1" ht="14.1">
      <c r="A1246" s="466" t="s">
        <v>502</v>
      </c>
      <c r="B1246" s="237" t="s">
        <v>29</v>
      </c>
      <c r="C1246" s="240">
        <f t="shared" si="277"/>
        <v>1091</v>
      </c>
      <c r="D1246" s="240">
        <v>989</v>
      </c>
      <c r="E1246" s="240">
        <v>102</v>
      </c>
      <c r="F1246" s="240">
        <v>0</v>
      </c>
      <c r="G1246" s="240">
        <v>0</v>
      </c>
      <c r="H1246" s="240">
        <v>0</v>
      </c>
      <c r="I1246" s="240">
        <v>0</v>
      </c>
    </row>
    <row r="1247" spans="1:9" s="213" customFormat="1">
      <c r="A1247" s="215"/>
      <c r="B1247" s="226" t="s">
        <v>30</v>
      </c>
      <c r="C1247" s="240">
        <f t="shared" si="277"/>
        <v>1091</v>
      </c>
      <c r="D1247" s="240">
        <v>989</v>
      </c>
      <c r="E1247" s="240">
        <v>102</v>
      </c>
      <c r="F1247" s="240">
        <v>0</v>
      </c>
      <c r="G1247" s="240">
        <v>0</v>
      </c>
      <c r="H1247" s="240">
        <v>0</v>
      </c>
      <c r="I1247" s="240">
        <v>0</v>
      </c>
    </row>
    <row r="1248" spans="1:9" s="213" customFormat="1" ht="14.1">
      <c r="A1248" s="466" t="s">
        <v>503</v>
      </c>
      <c r="B1248" s="237" t="s">
        <v>29</v>
      </c>
      <c r="C1248" s="240">
        <f t="shared" si="277"/>
        <v>1456.09</v>
      </c>
      <c r="D1248" s="240">
        <v>1233.0899999999999</v>
      </c>
      <c r="E1248" s="240">
        <v>223</v>
      </c>
      <c r="F1248" s="240">
        <v>0</v>
      </c>
      <c r="G1248" s="240">
        <v>0</v>
      </c>
      <c r="H1248" s="240">
        <v>0</v>
      </c>
      <c r="I1248" s="240">
        <v>0</v>
      </c>
    </row>
    <row r="1249" spans="1:9" s="213" customFormat="1">
      <c r="A1249" s="215"/>
      <c r="B1249" s="226" t="s">
        <v>30</v>
      </c>
      <c r="C1249" s="240">
        <f t="shared" si="277"/>
        <v>1456.09</v>
      </c>
      <c r="D1249" s="240">
        <v>1233.0899999999999</v>
      </c>
      <c r="E1249" s="240">
        <v>223</v>
      </c>
      <c r="F1249" s="240">
        <v>0</v>
      </c>
      <c r="G1249" s="240">
        <v>0</v>
      </c>
      <c r="H1249" s="240">
        <v>0</v>
      </c>
      <c r="I1249" s="240">
        <v>0</v>
      </c>
    </row>
    <row r="1250" spans="1:9" s="213" customFormat="1" ht="14.1">
      <c r="A1250" s="466" t="s">
        <v>504</v>
      </c>
      <c r="B1250" s="237" t="s">
        <v>29</v>
      </c>
      <c r="C1250" s="240">
        <f t="shared" si="277"/>
        <v>91.07</v>
      </c>
      <c r="D1250" s="240">
        <v>71.069999999999993</v>
      </c>
      <c r="E1250" s="240">
        <v>20</v>
      </c>
      <c r="F1250" s="240">
        <v>0</v>
      </c>
      <c r="G1250" s="240">
        <v>0</v>
      </c>
      <c r="H1250" s="240">
        <v>0</v>
      </c>
      <c r="I1250" s="240">
        <v>0</v>
      </c>
    </row>
    <row r="1251" spans="1:9" s="102" customFormat="1">
      <c r="A1251" s="12"/>
      <c r="B1251" s="62" t="s">
        <v>30</v>
      </c>
      <c r="C1251" s="64">
        <f t="shared" si="277"/>
        <v>91.07</v>
      </c>
      <c r="D1251" s="64">
        <v>71.069999999999993</v>
      </c>
      <c r="E1251" s="64">
        <v>20</v>
      </c>
      <c r="F1251" s="64">
        <v>0</v>
      </c>
      <c r="G1251" s="64">
        <v>0</v>
      </c>
      <c r="H1251" s="64">
        <v>0</v>
      </c>
      <c r="I1251" s="64">
        <v>0</v>
      </c>
    </row>
    <row r="1252" spans="1:9" s="213" customFormat="1" ht="14.1">
      <c r="A1252" s="466" t="s">
        <v>505</v>
      </c>
      <c r="B1252" s="237" t="s">
        <v>29</v>
      </c>
      <c r="C1252" s="240">
        <f t="shared" si="277"/>
        <v>1787.12</v>
      </c>
      <c r="D1252" s="240">
        <v>1787.12</v>
      </c>
      <c r="E1252" s="240">
        <v>0</v>
      </c>
      <c r="F1252" s="240">
        <v>0</v>
      </c>
      <c r="G1252" s="240">
        <v>0</v>
      </c>
      <c r="H1252" s="240">
        <v>0</v>
      </c>
      <c r="I1252" s="240">
        <v>0</v>
      </c>
    </row>
    <row r="1253" spans="1:9" s="213" customFormat="1">
      <c r="A1253" s="215"/>
      <c r="B1253" s="226" t="s">
        <v>30</v>
      </c>
      <c r="C1253" s="240">
        <f t="shared" si="277"/>
        <v>1787.12</v>
      </c>
      <c r="D1253" s="240">
        <v>1787.12</v>
      </c>
      <c r="E1253" s="240">
        <v>0</v>
      </c>
      <c r="F1253" s="240">
        <v>0</v>
      </c>
      <c r="G1253" s="240">
        <v>0</v>
      </c>
      <c r="H1253" s="240">
        <v>0</v>
      </c>
      <c r="I1253" s="240">
        <v>0</v>
      </c>
    </row>
    <row r="1254" spans="1:9" s="213" customFormat="1" ht="14.1">
      <c r="A1254" s="466" t="s">
        <v>506</v>
      </c>
      <c r="B1254" s="237" t="s">
        <v>29</v>
      </c>
      <c r="C1254" s="240">
        <f t="shared" si="277"/>
        <v>1522.3</v>
      </c>
      <c r="D1254" s="240">
        <v>1522.3</v>
      </c>
      <c r="E1254" s="240">
        <v>0</v>
      </c>
      <c r="F1254" s="240">
        <v>0</v>
      </c>
      <c r="G1254" s="240">
        <v>0</v>
      </c>
      <c r="H1254" s="240">
        <v>0</v>
      </c>
      <c r="I1254" s="240">
        <v>0</v>
      </c>
    </row>
    <row r="1255" spans="1:9" s="213" customFormat="1">
      <c r="A1255" s="215"/>
      <c r="B1255" s="226" t="s">
        <v>30</v>
      </c>
      <c r="C1255" s="240">
        <f t="shared" si="277"/>
        <v>1522.3</v>
      </c>
      <c r="D1255" s="240">
        <v>1522.3</v>
      </c>
      <c r="E1255" s="240">
        <v>0</v>
      </c>
      <c r="F1255" s="240">
        <v>0</v>
      </c>
      <c r="G1255" s="240">
        <v>0</v>
      </c>
      <c r="H1255" s="240">
        <v>0</v>
      </c>
      <c r="I1255" s="240">
        <v>0</v>
      </c>
    </row>
    <row r="1256" spans="1:9" s="213" customFormat="1" ht="14.1">
      <c r="A1256" s="466" t="s">
        <v>507</v>
      </c>
      <c r="B1256" s="237" t="s">
        <v>29</v>
      </c>
      <c r="C1256" s="240">
        <f t="shared" si="277"/>
        <v>380</v>
      </c>
      <c r="D1256" s="240">
        <v>380</v>
      </c>
      <c r="E1256" s="240">
        <v>0</v>
      </c>
      <c r="F1256" s="240">
        <v>0</v>
      </c>
      <c r="G1256" s="240">
        <v>0</v>
      </c>
      <c r="H1256" s="240">
        <v>0</v>
      </c>
      <c r="I1256" s="240">
        <v>0</v>
      </c>
    </row>
    <row r="1257" spans="1:9" s="213" customFormat="1">
      <c r="A1257" s="215"/>
      <c r="B1257" s="226" t="s">
        <v>30</v>
      </c>
      <c r="C1257" s="240">
        <f t="shared" si="277"/>
        <v>380</v>
      </c>
      <c r="D1257" s="240">
        <v>380</v>
      </c>
      <c r="E1257" s="240">
        <v>0</v>
      </c>
      <c r="F1257" s="240">
        <v>0</v>
      </c>
      <c r="G1257" s="240">
        <v>0</v>
      </c>
      <c r="H1257" s="240">
        <v>0</v>
      </c>
      <c r="I1257" s="240">
        <v>0</v>
      </c>
    </row>
    <row r="1258" spans="1:9" s="249" customFormat="1">
      <c r="A1258" s="353" t="s">
        <v>508</v>
      </c>
      <c r="B1258" s="216" t="s">
        <v>29</v>
      </c>
      <c r="C1258" s="203">
        <f t="shared" si="277"/>
        <v>16</v>
      </c>
      <c r="D1258" s="203">
        <v>16</v>
      </c>
      <c r="E1258" s="203">
        <v>0</v>
      </c>
      <c r="F1258" s="203">
        <v>0</v>
      </c>
      <c r="G1258" s="203">
        <v>0</v>
      </c>
      <c r="H1258" s="203">
        <v>0</v>
      </c>
      <c r="I1258" s="203">
        <v>0</v>
      </c>
    </row>
    <row r="1259" spans="1:9" s="249" customFormat="1">
      <c r="A1259" s="202"/>
      <c r="B1259" s="217" t="s">
        <v>30</v>
      </c>
      <c r="C1259" s="203">
        <f t="shared" si="277"/>
        <v>16</v>
      </c>
      <c r="D1259" s="203">
        <v>16</v>
      </c>
      <c r="E1259" s="203">
        <v>0</v>
      </c>
      <c r="F1259" s="203">
        <v>0</v>
      </c>
      <c r="G1259" s="203">
        <v>0</v>
      </c>
      <c r="H1259" s="203">
        <v>0</v>
      </c>
      <c r="I1259" s="203">
        <v>0</v>
      </c>
    </row>
    <row r="1260" spans="1:9" s="249" customFormat="1">
      <c r="A1260" s="353" t="s">
        <v>509</v>
      </c>
      <c r="B1260" s="216" t="s">
        <v>29</v>
      </c>
      <c r="C1260" s="203">
        <f t="shared" si="277"/>
        <v>11.25</v>
      </c>
      <c r="D1260" s="203">
        <v>11.25</v>
      </c>
      <c r="E1260" s="203">
        <v>0</v>
      </c>
      <c r="F1260" s="203">
        <v>0</v>
      </c>
      <c r="G1260" s="203">
        <v>0</v>
      </c>
      <c r="H1260" s="203">
        <v>0</v>
      </c>
      <c r="I1260" s="203">
        <v>0</v>
      </c>
    </row>
    <row r="1261" spans="1:9" s="145" customFormat="1">
      <c r="A1261" s="21"/>
      <c r="B1261" s="26" t="s">
        <v>30</v>
      </c>
      <c r="C1261" s="72">
        <f t="shared" si="277"/>
        <v>11.25</v>
      </c>
      <c r="D1261" s="72">
        <v>11.25</v>
      </c>
      <c r="E1261" s="72">
        <v>0</v>
      </c>
      <c r="F1261" s="72">
        <v>0</v>
      </c>
      <c r="G1261" s="72">
        <v>0</v>
      </c>
      <c r="H1261" s="72">
        <v>0</v>
      </c>
      <c r="I1261" s="72">
        <v>0</v>
      </c>
    </row>
    <row r="1262" spans="1:9" s="249" customFormat="1">
      <c r="A1262" s="353" t="s">
        <v>510</v>
      </c>
      <c r="B1262" s="216" t="s">
        <v>29</v>
      </c>
      <c r="C1262" s="203">
        <f t="shared" si="277"/>
        <v>13</v>
      </c>
      <c r="D1262" s="203">
        <v>13</v>
      </c>
      <c r="E1262" s="203">
        <v>0</v>
      </c>
      <c r="F1262" s="203">
        <v>0</v>
      </c>
      <c r="G1262" s="203">
        <v>0</v>
      </c>
      <c r="H1262" s="203">
        <v>0</v>
      </c>
      <c r="I1262" s="203">
        <v>0</v>
      </c>
    </row>
    <row r="1263" spans="1:9" s="213" customFormat="1">
      <c r="A1263" s="215"/>
      <c r="B1263" s="226" t="s">
        <v>30</v>
      </c>
      <c r="C1263" s="240">
        <f t="shared" si="277"/>
        <v>13</v>
      </c>
      <c r="D1263" s="240">
        <v>13</v>
      </c>
      <c r="E1263" s="240">
        <v>0</v>
      </c>
      <c r="F1263" s="240">
        <v>0</v>
      </c>
      <c r="G1263" s="240">
        <v>0</v>
      </c>
      <c r="H1263" s="240">
        <v>0</v>
      </c>
      <c r="I1263" s="240">
        <v>0</v>
      </c>
    </row>
    <row r="1264" spans="1:9" s="213" customFormat="1">
      <c r="A1264" s="332" t="s">
        <v>511</v>
      </c>
      <c r="B1264" s="237" t="s">
        <v>29</v>
      </c>
      <c r="C1264" s="240">
        <f t="shared" si="277"/>
        <v>8.6300000000000008</v>
      </c>
      <c r="D1264" s="240">
        <v>8.6300000000000008</v>
      </c>
      <c r="E1264" s="240">
        <v>0</v>
      </c>
      <c r="F1264" s="240">
        <v>0</v>
      </c>
      <c r="G1264" s="240">
        <v>0</v>
      </c>
      <c r="H1264" s="240">
        <v>0</v>
      </c>
      <c r="I1264" s="240">
        <v>0</v>
      </c>
    </row>
    <row r="1265" spans="1:9" s="213" customFormat="1">
      <c r="A1265" s="215"/>
      <c r="B1265" s="226" t="s">
        <v>30</v>
      </c>
      <c r="C1265" s="240">
        <f t="shared" si="277"/>
        <v>8.6300000000000008</v>
      </c>
      <c r="D1265" s="240">
        <v>8.6300000000000008</v>
      </c>
      <c r="E1265" s="240">
        <v>0</v>
      </c>
      <c r="F1265" s="240">
        <v>0</v>
      </c>
      <c r="G1265" s="240">
        <v>0</v>
      </c>
      <c r="H1265" s="240">
        <v>0</v>
      </c>
      <c r="I1265" s="240">
        <v>0</v>
      </c>
    </row>
    <row r="1266" spans="1:9" s="213" customFormat="1" ht="14.1">
      <c r="A1266" s="418" t="s">
        <v>512</v>
      </c>
      <c r="B1266" s="237" t="s">
        <v>29</v>
      </c>
      <c r="C1266" s="240">
        <f t="shared" si="277"/>
        <v>83.59</v>
      </c>
      <c r="D1266" s="240">
        <v>83.59</v>
      </c>
      <c r="E1266" s="240">
        <v>0</v>
      </c>
      <c r="F1266" s="240">
        <v>0</v>
      </c>
      <c r="G1266" s="240">
        <v>0</v>
      </c>
      <c r="H1266" s="240">
        <v>0</v>
      </c>
      <c r="I1266" s="240">
        <v>0</v>
      </c>
    </row>
    <row r="1267" spans="1:9" s="213" customFormat="1">
      <c r="A1267" s="215"/>
      <c r="B1267" s="226" t="s">
        <v>30</v>
      </c>
      <c r="C1267" s="240">
        <f t="shared" si="277"/>
        <v>83.59</v>
      </c>
      <c r="D1267" s="240">
        <v>83.59</v>
      </c>
      <c r="E1267" s="240">
        <v>0</v>
      </c>
      <c r="F1267" s="240">
        <v>0</v>
      </c>
      <c r="G1267" s="240">
        <v>0</v>
      </c>
      <c r="H1267" s="240">
        <v>0</v>
      </c>
      <c r="I1267" s="240">
        <v>0</v>
      </c>
    </row>
    <row r="1268" spans="1:9" s="213" customFormat="1">
      <c r="A1268" s="332" t="s">
        <v>513</v>
      </c>
      <c r="B1268" s="237" t="s">
        <v>29</v>
      </c>
      <c r="C1268" s="240">
        <f t="shared" si="277"/>
        <v>14.89</v>
      </c>
      <c r="D1268" s="240">
        <v>14.89</v>
      </c>
      <c r="E1268" s="240">
        <v>0</v>
      </c>
      <c r="F1268" s="240">
        <v>0</v>
      </c>
      <c r="G1268" s="240">
        <v>0</v>
      </c>
      <c r="H1268" s="240">
        <v>0</v>
      </c>
      <c r="I1268" s="240">
        <v>0</v>
      </c>
    </row>
    <row r="1269" spans="1:9" s="102" customFormat="1">
      <c r="A1269" s="12"/>
      <c r="B1269" s="62" t="s">
        <v>30</v>
      </c>
      <c r="C1269" s="64">
        <f t="shared" si="277"/>
        <v>14.89</v>
      </c>
      <c r="D1269" s="64">
        <v>14.89</v>
      </c>
      <c r="E1269" s="64">
        <v>0</v>
      </c>
      <c r="F1269" s="64">
        <v>0</v>
      </c>
      <c r="G1269" s="64">
        <v>0</v>
      </c>
      <c r="H1269" s="64">
        <v>0</v>
      </c>
      <c r="I1269" s="64">
        <v>0</v>
      </c>
    </row>
    <row r="1270" spans="1:9" s="213" customFormat="1">
      <c r="A1270" s="332" t="s">
        <v>514</v>
      </c>
      <c r="B1270" s="237" t="s">
        <v>29</v>
      </c>
      <c r="C1270" s="240">
        <f t="shared" si="277"/>
        <v>5.28</v>
      </c>
      <c r="D1270" s="240">
        <v>5.28</v>
      </c>
      <c r="E1270" s="240">
        <v>0</v>
      </c>
      <c r="F1270" s="240">
        <v>0</v>
      </c>
      <c r="G1270" s="240">
        <v>0</v>
      </c>
      <c r="H1270" s="240">
        <v>0</v>
      </c>
      <c r="I1270" s="240">
        <v>0</v>
      </c>
    </row>
    <row r="1271" spans="1:9" s="213" customFormat="1">
      <c r="A1271" s="215"/>
      <c r="B1271" s="226" t="s">
        <v>30</v>
      </c>
      <c r="C1271" s="240">
        <f t="shared" si="277"/>
        <v>5.28</v>
      </c>
      <c r="D1271" s="240">
        <v>5.28</v>
      </c>
      <c r="E1271" s="240">
        <v>0</v>
      </c>
      <c r="F1271" s="240">
        <v>0</v>
      </c>
      <c r="G1271" s="240">
        <v>0</v>
      </c>
      <c r="H1271" s="240">
        <v>0</v>
      </c>
      <c r="I1271" s="240">
        <v>0</v>
      </c>
    </row>
    <row r="1272" spans="1:9" s="213" customFormat="1">
      <c r="A1272" s="332" t="s">
        <v>515</v>
      </c>
      <c r="B1272" s="237" t="s">
        <v>29</v>
      </c>
      <c r="C1272" s="240">
        <f t="shared" si="277"/>
        <v>4.6399999999999997</v>
      </c>
      <c r="D1272" s="240">
        <v>4.6399999999999997</v>
      </c>
      <c r="E1272" s="240">
        <v>0</v>
      </c>
      <c r="F1272" s="240">
        <v>0</v>
      </c>
      <c r="G1272" s="240">
        <v>0</v>
      </c>
      <c r="H1272" s="240">
        <v>0</v>
      </c>
      <c r="I1272" s="240">
        <v>0</v>
      </c>
    </row>
    <row r="1273" spans="1:9" s="213" customFormat="1">
      <c r="A1273" s="215"/>
      <c r="B1273" s="226" t="s">
        <v>30</v>
      </c>
      <c r="C1273" s="240">
        <f t="shared" si="277"/>
        <v>4.6399999999999997</v>
      </c>
      <c r="D1273" s="240">
        <v>4.6399999999999997</v>
      </c>
      <c r="E1273" s="240">
        <v>0</v>
      </c>
      <c r="F1273" s="240">
        <v>0</v>
      </c>
      <c r="G1273" s="240">
        <v>0</v>
      </c>
      <c r="H1273" s="240">
        <v>0</v>
      </c>
      <c r="I1273" s="240">
        <v>0</v>
      </c>
    </row>
    <row r="1274" spans="1:9" s="213" customFormat="1">
      <c r="A1274" s="332" t="s">
        <v>516</v>
      </c>
      <c r="B1274" s="237" t="s">
        <v>29</v>
      </c>
      <c r="C1274" s="240">
        <f t="shared" si="277"/>
        <v>18.79</v>
      </c>
      <c r="D1274" s="240">
        <v>18.79</v>
      </c>
      <c r="E1274" s="240">
        <v>0</v>
      </c>
      <c r="F1274" s="240">
        <v>0</v>
      </c>
      <c r="G1274" s="240">
        <v>0</v>
      </c>
      <c r="H1274" s="240">
        <v>0</v>
      </c>
      <c r="I1274" s="240">
        <v>0</v>
      </c>
    </row>
    <row r="1275" spans="1:9" s="213" customFormat="1">
      <c r="A1275" s="215"/>
      <c r="B1275" s="226" t="s">
        <v>30</v>
      </c>
      <c r="C1275" s="240">
        <f t="shared" si="277"/>
        <v>18.79</v>
      </c>
      <c r="D1275" s="240">
        <v>18.79</v>
      </c>
      <c r="E1275" s="240">
        <v>0</v>
      </c>
      <c r="F1275" s="240">
        <v>0</v>
      </c>
      <c r="G1275" s="240">
        <v>0</v>
      </c>
      <c r="H1275" s="240">
        <v>0</v>
      </c>
      <c r="I1275" s="240">
        <v>0</v>
      </c>
    </row>
    <row r="1276" spans="1:9" s="213" customFormat="1">
      <c r="A1276" s="332" t="s">
        <v>517</v>
      </c>
      <c r="B1276" s="237" t="s">
        <v>29</v>
      </c>
      <c r="C1276" s="240">
        <f t="shared" si="277"/>
        <v>33.200000000000003</v>
      </c>
      <c r="D1276" s="240">
        <v>33.200000000000003</v>
      </c>
      <c r="E1276" s="240">
        <v>0</v>
      </c>
      <c r="F1276" s="240">
        <v>0</v>
      </c>
      <c r="G1276" s="240">
        <v>0</v>
      </c>
      <c r="H1276" s="240">
        <v>0</v>
      </c>
      <c r="I1276" s="240">
        <v>0</v>
      </c>
    </row>
    <row r="1277" spans="1:9" s="213" customFormat="1">
      <c r="A1277" s="215"/>
      <c r="B1277" s="226" t="s">
        <v>30</v>
      </c>
      <c r="C1277" s="240">
        <f t="shared" si="277"/>
        <v>33.200000000000003</v>
      </c>
      <c r="D1277" s="240">
        <v>33.200000000000003</v>
      </c>
      <c r="E1277" s="240">
        <v>0</v>
      </c>
      <c r="F1277" s="240">
        <v>0</v>
      </c>
      <c r="G1277" s="240">
        <v>0</v>
      </c>
      <c r="H1277" s="240">
        <v>0</v>
      </c>
      <c r="I1277" s="240">
        <v>0</v>
      </c>
    </row>
    <row r="1278" spans="1:9" s="213" customFormat="1" ht="17.25" customHeight="1">
      <c r="A1278" s="332" t="s">
        <v>518</v>
      </c>
      <c r="B1278" s="237" t="s">
        <v>29</v>
      </c>
      <c r="C1278" s="240">
        <f t="shared" si="277"/>
        <v>60.9</v>
      </c>
      <c r="D1278" s="240">
        <v>60.9</v>
      </c>
      <c r="E1278" s="240">
        <v>0</v>
      </c>
      <c r="F1278" s="240">
        <v>0</v>
      </c>
      <c r="G1278" s="240">
        <v>0</v>
      </c>
      <c r="H1278" s="240">
        <v>0</v>
      </c>
      <c r="I1278" s="240">
        <v>0</v>
      </c>
    </row>
    <row r="1279" spans="1:9" s="213" customFormat="1">
      <c r="A1279" s="215"/>
      <c r="B1279" s="226" t="s">
        <v>30</v>
      </c>
      <c r="C1279" s="240">
        <f t="shared" si="277"/>
        <v>60.9</v>
      </c>
      <c r="D1279" s="240">
        <v>60.9</v>
      </c>
      <c r="E1279" s="240">
        <v>0</v>
      </c>
      <c r="F1279" s="240">
        <v>0</v>
      </c>
      <c r="G1279" s="240">
        <v>0</v>
      </c>
      <c r="H1279" s="240">
        <v>0</v>
      </c>
      <c r="I1279" s="240">
        <v>0</v>
      </c>
    </row>
    <row r="1280" spans="1:9" s="213" customFormat="1" ht="14.25" customHeight="1">
      <c r="A1280" s="332" t="s">
        <v>519</v>
      </c>
      <c r="B1280" s="237" t="s">
        <v>29</v>
      </c>
      <c r="C1280" s="240">
        <f t="shared" si="277"/>
        <v>60.9</v>
      </c>
      <c r="D1280" s="240">
        <v>60.9</v>
      </c>
      <c r="E1280" s="240">
        <v>0</v>
      </c>
      <c r="F1280" s="240">
        <v>0</v>
      </c>
      <c r="G1280" s="240">
        <v>0</v>
      </c>
      <c r="H1280" s="240">
        <v>0</v>
      </c>
      <c r="I1280" s="240">
        <v>0</v>
      </c>
    </row>
    <row r="1281" spans="1:9" s="213" customFormat="1">
      <c r="A1281" s="215"/>
      <c r="B1281" s="226" t="s">
        <v>30</v>
      </c>
      <c r="C1281" s="240">
        <f t="shared" si="277"/>
        <v>60.9</v>
      </c>
      <c r="D1281" s="240">
        <v>60.9</v>
      </c>
      <c r="E1281" s="240">
        <v>0</v>
      </c>
      <c r="F1281" s="240">
        <v>0</v>
      </c>
      <c r="G1281" s="240">
        <v>0</v>
      </c>
      <c r="H1281" s="240">
        <v>0</v>
      </c>
      <c r="I1281" s="240">
        <v>0</v>
      </c>
    </row>
    <row r="1282" spans="1:9" s="213" customFormat="1" ht="14.25" customHeight="1">
      <c r="A1282" s="418" t="s">
        <v>520</v>
      </c>
      <c r="B1282" s="237" t="s">
        <v>29</v>
      </c>
      <c r="C1282" s="240">
        <f t="shared" si="277"/>
        <v>3.95</v>
      </c>
      <c r="D1282" s="240">
        <v>3.95</v>
      </c>
      <c r="E1282" s="240">
        <v>0</v>
      </c>
      <c r="F1282" s="240">
        <v>0</v>
      </c>
      <c r="G1282" s="240">
        <v>0</v>
      </c>
      <c r="H1282" s="240">
        <v>0</v>
      </c>
      <c r="I1282" s="240">
        <v>0</v>
      </c>
    </row>
    <row r="1283" spans="1:9" s="102" customFormat="1">
      <c r="A1283" s="12"/>
      <c r="B1283" s="62" t="s">
        <v>30</v>
      </c>
      <c r="C1283" s="64">
        <f t="shared" si="277"/>
        <v>3.95</v>
      </c>
      <c r="D1283" s="64">
        <v>3.95</v>
      </c>
      <c r="E1283" s="64">
        <v>0</v>
      </c>
      <c r="F1283" s="64">
        <v>0</v>
      </c>
      <c r="G1283" s="64">
        <v>0</v>
      </c>
      <c r="H1283" s="64">
        <v>0</v>
      </c>
      <c r="I1283" s="64">
        <v>0</v>
      </c>
    </row>
    <row r="1284" spans="1:9" s="213" customFormat="1" ht="15.75" customHeight="1">
      <c r="A1284" s="418" t="s">
        <v>521</v>
      </c>
      <c r="B1284" s="237" t="s">
        <v>29</v>
      </c>
      <c r="C1284" s="240">
        <f t="shared" si="277"/>
        <v>184</v>
      </c>
      <c r="D1284" s="240">
        <v>184</v>
      </c>
      <c r="E1284" s="64">
        <v>0</v>
      </c>
      <c r="F1284" s="240">
        <v>0</v>
      </c>
      <c r="G1284" s="240">
        <v>0</v>
      </c>
      <c r="H1284" s="240">
        <v>0</v>
      </c>
      <c r="I1284" s="240">
        <v>0</v>
      </c>
    </row>
    <row r="1285" spans="1:9" s="206" customFormat="1" ht="15" customHeight="1">
      <c r="A1285" s="12"/>
      <c r="B1285" s="62" t="s">
        <v>30</v>
      </c>
      <c r="C1285" s="64">
        <f t="shared" si="277"/>
        <v>184</v>
      </c>
      <c r="D1285" s="64">
        <v>184</v>
      </c>
      <c r="E1285" s="64">
        <v>0</v>
      </c>
      <c r="F1285" s="64">
        <v>0</v>
      </c>
      <c r="G1285" s="64">
        <v>0</v>
      </c>
      <c r="H1285" s="64">
        <v>0</v>
      </c>
      <c r="I1285" s="64">
        <v>0</v>
      </c>
    </row>
    <row r="1286" spans="1:9" s="213" customFormat="1" ht="15.75" customHeight="1">
      <c r="A1286" s="418" t="s">
        <v>522</v>
      </c>
      <c r="B1286" s="237" t="s">
        <v>29</v>
      </c>
      <c r="C1286" s="240">
        <f t="shared" si="277"/>
        <v>818</v>
      </c>
      <c r="D1286" s="240">
        <v>0</v>
      </c>
      <c r="E1286" s="240">
        <v>818</v>
      </c>
      <c r="F1286" s="240">
        <v>0</v>
      </c>
      <c r="G1286" s="240">
        <v>0</v>
      </c>
      <c r="H1286" s="240">
        <v>0</v>
      </c>
      <c r="I1286" s="240">
        <v>0</v>
      </c>
    </row>
    <row r="1287" spans="1:9" s="213" customFormat="1" ht="15" customHeight="1">
      <c r="A1287" s="215"/>
      <c r="B1287" s="226" t="s">
        <v>30</v>
      </c>
      <c r="C1287" s="240">
        <f t="shared" si="277"/>
        <v>818</v>
      </c>
      <c r="D1287" s="240">
        <v>0</v>
      </c>
      <c r="E1287" s="240">
        <v>818</v>
      </c>
      <c r="F1287" s="240">
        <v>0</v>
      </c>
      <c r="G1287" s="240">
        <v>0</v>
      </c>
      <c r="H1287" s="240">
        <v>0</v>
      </c>
      <c r="I1287" s="240">
        <v>0</v>
      </c>
    </row>
    <row r="1288" spans="1:9" s="213" customFormat="1" ht="15.75" customHeight="1">
      <c r="A1288" s="463" t="s">
        <v>523</v>
      </c>
      <c r="B1288" s="237" t="s">
        <v>29</v>
      </c>
      <c r="C1288" s="240">
        <f t="shared" si="277"/>
        <v>4</v>
      </c>
      <c r="D1288" s="240">
        <v>0</v>
      </c>
      <c r="E1288" s="240">
        <v>4</v>
      </c>
      <c r="F1288" s="240">
        <v>0</v>
      </c>
      <c r="G1288" s="240">
        <v>0</v>
      </c>
      <c r="H1288" s="240">
        <v>0</v>
      </c>
      <c r="I1288" s="240">
        <v>0</v>
      </c>
    </row>
    <row r="1289" spans="1:9" s="206" customFormat="1" ht="15" customHeight="1">
      <c r="A1289" s="12"/>
      <c r="B1289" s="62" t="s">
        <v>30</v>
      </c>
      <c r="C1289" s="64">
        <f t="shared" si="277"/>
        <v>4</v>
      </c>
      <c r="D1289" s="64">
        <v>0</v>
      </c>
      <c r="E1289" s="64">
        <v>4</v>
      </c>
      <c r="F1289" s="64">
        <v>0</v>
      </c>
      <c r="G1289" s="64">
        <v>0</v>
      </c>
      <c r="H1289" s="64">
        <v>0</v>
      </c>
      <c r="I1289" s="64">
        <v>0</v>
      </c>
    </row>
    <row r="1290" spans="1:9" s="145" customFormat="1" ht="14.1">
      <c r="A1290" s="295" t="s">
        <v>524</v>
      </c>
      <c r="B1290" s="129" t="s">
        <v>29</v>
      </c>
      <c r="C1290" s="130">
        <f>D1290+E1290+F1290+G1290+H1290+I1290</f>
        <v>28.25</v>
      </c>
      <c r="D1290" s="130">
        <f>D1292+D1294+D1296+D1298</f>
        <v>22.25</v>
      </c>
      <c r="E1290" s="130">
        <f t="shared" ref="E1290:I1291" si="293">E1292+E1294+E1296+E1298</f>
        <v>6</v>
      </c>
      <c r="F1290" s="130">
        <f t="shared" si="293"/>
        <v>0</v>
      </c>
      <c r="G1290" s="130">
        <f t="shared" si="293"/>
        <v>0</v>
      </c>
      <c r="H1290" s="130">
        <f t="shared" si="293"/>
        <v>0</v>
      </c>
      <c r="I1290" s="130">
        <f t="shared" si="293"/>
        <v>0</v>
      </c>
    </row>
    <row r="1291" spans="1:9" s="145" customFormat="1">
      <c r="A1291" s="44"/>
      <c r="B1291" s="132" t="s">
        <v>30</v>
      </c>
      <c r="C1291" s="130">
        <f>D1291+E1291+F1291+G1291+H1291+I1291</f>
        <v>28.25</v>
      </c>
      <c r="D1291" s="130">
        <f>D1293+D1295+D1297+D1299</f>
        <v>22.25</v>
      </c>
      <c r="E1291" s="130">
        <f t="shared" si="293"/>
        <v>6</v>
      </c>
      <c r="F1291" s="130">
        <f t="shared" si="293"/>
        <v>0</v>
      </c>
      <c r="G1291" s="130">
        <f t="shared" si="293"/>
        <v>0</v>
      </c>
      <c r="H1291" s="130">
        <f t="shared" si="293"/>
        <v>0</v>
      </c>
      <c r="I1291" s="130">
        <f t="shared" si="293"/>
        <v>0</v>
      </c>
    </row>
    <row r="1292" spans="1:9" s="213" customFormat="1" ht="14.1">
      <c r="A1292" s="381" t="s">
        <v>525</v>
      </c>
      <c r="B1292" s="237" t="s">
        <v>29</v>
      </c>
      <c r="C1292" s="240">
        <f t="shared" ref="C1292:C1299" si="294">D1292+E1292+F1292+G1292+H1292+I1292</f>
        <v>8.6999999999999993</v>
      </c>
      <c r="D1292" s="240">
        <v>8.6999999999999993</v>
      </c>
      <c r="E1292" s="240">
        <v>0</v>
      </c>
      <c r="F1292" s="240">
        <v>0</v>
      </c>
      <c r="G1292" s="240">
        <v>0</v>
      </c>
      <c r="H1292" s="240">
        <v>0</v>
      </c>
      <c r="I1292" s="240">
        <v>0</v>
      </c>
    </row>
    <row r="1293" spans="1:9" s="213" customFormat="1">
      <c r="A1293" s="215"/>
      <c r="B1293" s="226" t="s">
        <v>30</v>
      </c>
      <c r="C1293" s="240">
        <f t="shared" si="294"/>
        <v>8.6999999999999993</v>
      </c>
      <c r="D1293" s="240">
        <v>8.6999999999999993</v>
      </c>
      <c r="E1293" s="240">
        <v>0</v>
      </c>
      <c r="F1293" s="240">
        <v>0</v>
      </c>
      <c r="G1293" s="240">
        <v>0</v>
      </c>
      <c r="H1293" s="240">
        <v>0</v>
      </c>
      <c r="I1293" s="240">
        <v>0</v>
      </c>
    </row>
    <row r="1294" spans="1:9" s="213" customFormat="1" ht="14.1">
      <c r="A1294" s="381" t="s">
        <v>526</v>
      </c>
      <c r="B1294" s="237" t="s">
        <v>29</v>
      </c>
      <c r="C1294" s="240">
        <f t="shared" si="294"/>
        <v>9.68</v>
      </c>
      <c r="D1294" s="240">
        <v>9.68</v>
      </c>
      <c r="E1294" s="240">
        <v>0</v>
      </c>
      <c r="F1294" s="240">
        <v>0</v>
      </c>
      <c r="G1294" s="240">
        <v>0</v>
      </c>
      <c r="H1294" s="240">
        <v>0</v>
      </c>
      <c r="I1294" s="240">
        <v>0</v>
      </c>
    </row>
    <row r="1295" spans="1:9" s="213" customFormat="1">
      <c r="A1295" s="215"/>
      <c r="B1295" s="226" t="s">
        <v>30</v>
      </c>
      <c r="C1295" s="240">
        <f t="shared" si="294"/>
        <v>9.68</v>
      </c>
      <c r="D1295" s="240">
        <v>9.68</v>
      </c>
      <c r="E1295" s="240">
        <v>0</v>
      </c>
      <c r="F1295" s="240">
        <v>0</v>
      </c>
      <c r="G1295" s="240">
        <v>0</v>
      </c>
      <c r="H1295" s="240">
        <v>0</v>
      </c>
      <c r="I1295" s="240">
        <v>0</v>
      </c>
    </row>
    <row r="1296" spans="1:9" s="213" customFormat="1" ht="14.1">
      <c r="A1296" s="381" t="s">
        <v>527</v>
      </c>
      <c r="B1296" s="237" t="s">
        <v>29</v>
      </c>
      <c r="C1296" s="240">
        <f t="shared" si="294"/>
        <v>3.87</v>
      </c>
      <c r="D1296" s="240">
        <v>3.87</v>
      </c>
      <c r="E1296" s="240">
        <v>0</v>
      </c>
      <c r="F1296" s="240">
        <v>0</v>
      </c>
      <c r="G1296" s="240">
        <v>0</v>
      </c>
      <c r="H1296" s="240">
        <v>0</v>
      </c>
      <c r="I1296" s="240">
        <v>0</v>
      </c>
    </row>
    <row r="1297" spans="1:9" s="207" customFormat="1">
      <c r="A1297" s="21"/>
      <c r="B1297" s="26" t="s">
        <v>30</v>
      </c>
      <c r="C1297" s="72">
        <f t="shared" si="294"/>
        <v>3.87</v>
      </c>
      <c r="D1297" s="72">
        <v>3.87</v>
      </c>
      <c r="E1297" s="72">
        <v>0</v>
      </c>
      <c r="F1297" s="72">
        <v>0</v>
      </c>
      <c r="G1297" s="72">
        <v>0</v>
      </c>
      <c r="H1297" s="72">
        <v>0</v>
      </c>
      <c r="I1297" s="72">
        <v>0</v>
      </c>
    </row>
    <row r="1298" spans="1:9" s="212" customFormat="1" ht="14.1">
      <c r="A1298" s="467" t="s">
        <v>528</v>
      </c>
      <c r="B1298" s="403" t="s">
        <v>29</v>
      </c>
      <c r="C1298" s="285">
        <f t="shared" si="294"/>
        <v>6</v>
      </c>
      <c r="D1298" s="285">
        <v>0</v>
      </c>
      <c r="E1298" s="285">
        <v>6</v>
      </c>
      <c r="F1298" s="285">
        <v>0</v>
      </c>
      <c r="G1298" s="285">
        <v>0</v>
      </c>
      <c r="H1298" s="285">
        <v>0</v>
      </c>
      <c r="I1298" s="285">
        <v>0</v>
      </c>
    </row>
    <row r="1299" spans="1:9" s="207" customFormat="1">
      <c r="A1299" s="21"/>
      <c r="B1299" s="26" t="s">
        <v>30</v>
      </c>
      <c r="C1299" s="72">
        <f t="shared" si="294"/>
        <v>6</v>
      </c>
      <c r="D1299" s="72">
        <v>0</v>
      </c>
      <c r="E1299" s="72">
        <v>6</v>
      </c>
      <c r="F1299" s="72">
        <v>0</v>
      </c>
      <c r="G1299" s="72">
        <v>0</v>
      </c>
      <c r="H1299" s="72">
        <v>0</v>
      </c>
      <c r="I1299" s="72">
        <v>0</v>
      </c>
    </row>
    <row r="1300" spans="1:9" s="145" customFormat="1" ht="14.25" customHeight="1">
      <c r="A1300" s="392" t="s">
        <v>529</v>
      </c>
      <c r="B1300" s="129" t="s">
        <v>29</v>
      </c>
      <c r="C1300" s="130">
        <f>D1300+E1300+F1300+G1300+H1300+I1300</f>
        <v>568</v>
      </c>
      <c r="D1300" s="130">
        <f>D1302+D1304+D1306+D1308+D1310+D1312+D1314</f>
        <v>501.00000000000006</v>
      </c>
      <c r="E1300" s="130">
        <f t="shared" ref="E1300:I1301" si="295">E1302+E1304+E1306+E1308+E1310+E1312+E1314</f>
        <v>67</v>
      </c>
      <c r="F1300" s="130">
        <f t="shared" si="295"/>
        <v>0</v>
      </c>
      <c r="G1300" s="130">
        <f t="shared" si="295"/>
        <v>0</v>
      </c>
      <c r="H1300" s="130">
        <f t="shared" si="295"/>
        <v>0</v>
      </c>
      <c r="I1300" s="130">
        <f t="shared" si="295"/>
        <v>0</v>
      </c>
    </row>
    <row r="1301" spans="1:9" s="145" customFormat="1">
      <c r="A1301" s="44"/>
      <c r="B1301" s="132" t="s">
        <v>30</v>
      </c>
      <c r="C1301" s="130">
        <f>D1301+E1301+F1301+G1301+H1301+I1301</f>
        <v>568</v>
      </c>
      <c r="D1301" s="130">
        <f>D1303+D1305+D1307+D1309+D1311+D1313+D1315</f>
        <v>501.00000000000006</v>
      </c>
      <c r="E1301" s="130">
        <f t="shared" si="295"/>
        <v>67</v>
      </c>
      <c r="F1301" s="130">
        <f t="shared" si="295"/>
        <v>0</v>
      </c>
      <c r="G1301" s="130">
        <f t="shared" si="295"/>
        <v>0</v>
      </c>
      <c r="H1301" s="130">
        <f t="shared" si="295"/>
        <v>0</v>
      </c>
      <c r="I1301" s="130">
        <f t="shared" si="295"/>
        <v>0</v>
      </c>
    </row>
    <row r="1302" spans="1:9" s="213" customFormat="1" ht="14.1">
      <c r="A1302" s="381" t="s">
        <v>530</v>
      </c>
      <c r="B1302" s="237" t="s">
        <v>29</v>
      </c>
      <c r="C1302" s="240">
        <f t="shared" ref="C1302:C1321" si="296">D1302+E1302+F1302+G1302+H1302+I1302</f>
        <v>214.78</v>
      </c>
      <c r="D1302" s="240">
        <v>214.78</v>
      </c>
      <c r="E1302" s="240">
        <v>0</v>
      </c>
      <c r="F1302" s="240">
        <v>0</v>
      </c>
      <c r="G1302" s="240">
        <v>0</v>
      </c>
      <c r="H1302" s="240">
        <v>0</v>
      </c>
      <c r="I1302" s="240">
        <v>0</v>
      </c>
    </row>
    <row r="1303" spans="1:9" s="213" customFormat="1">
      <c r="A1303" s="215"/>
      <c r="B1303" s="226" t="s">
        <v>30</v>
      </c>
      <c r="C1303" s="240">
        <f t="shared" si="296"/>
        <v>214.78</v>
      </c>
      <c r="D1303" s="240">
        <v>214.78</v>
      </c>
      <c r="E1303" s="240">
        <v>0</v>
      </c>
      <c r="F1303" s="240">
        <v>0</v>
      </c>
      <c r="G1303" s="240">
        <v>0</v>
      </c>
      <c r="H1303" s="240">
        <v>0</v>
      </c>
      <c r="I1303" s="240">
        <v>0</v>
      </c>
    </row>
    <row r="1304" spans="1:9" s="213" customFormat="1" ht="14.1">
      <c r="A1304" s="381" t="s">
        <v>531</v>
      </c>
      <c r="B1304" s="237" t="s">
        <v>29</v>
      </c>
      <c r="C1304" s="240">
        <f t="shared" si="296"/>
        <v>4.99</v>
      </c>
      <c r="D1304" s="240">
        <v>4.99</v>
      </c>
      <c r="E1304" s="240">
        <v>0</v>
      </c>
      <c r="F1304" s="240">
        <v>0</v>
      </c>
      <c r="G1304" s="240">
        <v>0</v>
      </c>
      <c r="H1304" s="240">
        <v>0</v>
      </c>
      <c r="I1304" s="240">
        <v>0</v>
      </c>
    </row>
    <row r="1305" spans="1:9" s="213" customFormat="1">
      <c r="A1305" s="215"/>
      <c r="B1305" s="226" t="s">
        <v>30</v>
      </c>
      <c r="C1305" s="240">
        <f t="shared" si="296"/>
        <v>4.99</v>
      </c>
      <c r="D1305" s="240">
        <v>4.99</v>
      </c>
      <c r="E1305" s="240">
        <v>0</v>
      </c>
      <c r="F1305" s="240">
        <v>0</v>
      </c>
      <c r="G1305" s="240">
        <v>0</v>
      </c>
      <c r="H1305" s="240">
        <v>0</v>
      </c>
      <c r="I1305" s="240">
        <v>0</v>
      </c>
    </row>
    <row r="1306" spans="1:9" s="213" customFormat="1" ht="14.1">
      <c r="A1306" s="381" t="s">
        <v>532</v>
      </c>
      <c r="B1306" s="237" t="s">
        <v>29</v>
      </c>
      <c r="C1306" s="240">
        <f t="shared" si="296"/>
        <v>63.56</v>
      </c>
      <c r="D1306" s="240">
        <v>63.56</v>
      </c>
      <c r="E1306" s="240">
        <v>0</v>
      </c>
      <c r="F1306" s="240">
        <v>0</v>
      </c>
      <c r="G1306" s="240">
        <v>0</v>
      </c>
      <c r="H1306" s="240">
        <v>0</v>
      </c>
      <c r="I1306" s="240">
        <v>0</v>
      </c>
    </row>
    <row r="1307" spans="1:9" s="213" customFormat="1">
      <c r="A1307" s="215"/>
      <c r="B1307" s="226" t="s">
        <v>30</v>
      </c>
      <c r="C1307" s="240">
        <f t="shared" si="296"/>
        <v>63.56</v>
      </c>
      <c r="D1307" s="240">
        <v>63.56</v>
      </c>
      <c r="E1307" s="240">
        <v>0</v>
      </c>
      <c r="F1307" s="240">
        <v>0</v>
      </c>
      <c r="G1307" s="240">
        <v>0</v>
      </c>
      <c r="H1307" s="240">
        <v>0</v>
      </c>
      <c r="I1307" s="240">
        <v>0</v>
      </c>
    </row>
    <row r="1308" spans="1:9" s="213" customFormat="1" ht="14.1">
      <c r="A1308" s="381" t="s">
        <v>533</v>
      </c>
      <c r="B1308" s="237" t="s">
        <v>29</v>
      </c>
      <c r="C1308" s="240">
        <f t="shared" si="296"/>
        <v>204.68</v>
      </c>
      <c r="D1308" s="240">
        <v>204.68</v>
      </c>
      <c r="E1308" s="240">
        <v>0</v>
      </c>
      <c r="F1308" s="240">
        <v>0</v>
      </c>
      <c r="G1308" s="240">
        <v>0</v>
      </c>
      <c r="H1308" s="240">
        <v>0</v>
      </c>
      <c r="I1308" s="240">
        <v>0</v>
      </c>
    </row>
    <row r="1309" spans="1:9" s="213" customFormat="1">
      <c r="A1309" s="215"/>
      <c r="B1309" s="226" t="s">
        <v>30</v>
      </c>
      <c r="C1309" s="240">
        <f t="shared" si="296"/>
        <v>204.68</v>
      </c>
      <c r="D1309" s="240">
        <v>204.68</v>
      </c>
      <c r="E1309" s="240">
        <v>0</v>
      </c>
      <c r="F1309" s="240">
        <v>0</v>
      </c>
      <c r="G1309" s="240">
        <v>0</v>
      </c>
      <c r="H1309" s="240">
        <v>0</v>
      </c>
      <c r="I1309" s="240">
        <v>0</v>
      </c>
    </row>
    <row r="1310" spans="1:9" s="213" customFormat="1" ht="14.1">
      <c r="A1310" s="381" t="s">
        <v>534</v>
      </c>
      <c r="B1310" s="237" t="s">
        <v>29</v>
      </c>
      <c r="C1310" s="240">
        <f t="shared" si="296"/>
        <v>12.99</v>
      </c>
      <c r="D1310" s="240">
        <v>12.99</v>
      </c>
      <c r="E1310" s="240">
        <v>0</v>
      </c>
      <c r="F1310" s="240">
        <v>0</v>
      </c>
      <c r="G1310" s="240">
        <v>0</v>
      </c>
      <c r="H1310" s="240">
        <v>0</v>
      </c>
      <c r="I1310" s="240">
        <v>0</v>
      </c>
    </row>
    <row r="1311" spans="1:9" s="207" customFormat="1">
      <c r="A1311" s="21"/>
      <c r="B1311" s="26" t="s">
        <v>30</v>
      </c>
      <c r="C1311" s="72">
        <f t="shared" si="296"/>
        <v>12.99</v>
      </c>
      <c r="D1311" s="72">
        <v>12.99</v>
      </c>
      <c r="E1311" s="72">
        <v>0</v>
      </c>
      <c r="F1311" s="72">
        <v>0</v>
      </c>
      <c r="G1311" s="72">
        <v>0</v>
      </c>
      <c r="H1311" s="72">
        <v>0</v>
      </c>
      <c r="I1311" s="72">
        <v>0</v>
      </c>
    </row>
    <row r="1312" spans="1:9" s="213" customFormat="1" ht="14.1">
      <c r="A1312" s="468" t="s">
        <v>535</v>
      </c>
      <c r="B1312" s="237" t="s">
        <v>29</v>
      </c>
      <c r="C1312" s="240">
        <f t="shared" si="296"/>
        <v>59</v>
      </c>
      <c r="D1312" s="240">
        <v>0</v>
      </c>
      <c r="E1312" s="240">
        <v>59</v>
      </c>
      <c r="F1312" s="240">
        <v>0</v>
      </c>
      <c r="G1312" s="240">
        <v>0</v>
      </c>
      <c r="H1312" s="240">
        <v>0</v>
      </c>
      <c r="I1312" s="240">
        <v>0</v>
      </c>
    </row>
    <row r="1313" spans="1:9" s="213" customFormat="1">
      <c r="A1313" s="215"/>
      <c r="B1313" s="226" t="s">
        <v>30</v>
      </c>
      <c r="C1313" s="240">
        <f t="shared" si="296"/>
        <v>59</v>
      </c>
      <c r="D1313" s="240">
        <v>0</v>
      </c>
      <c r="E1313" s="240">
        <v>59</v>
      </c>
      <c r="F1313" s="240">
        <v>0</v>
      </c>
      <c r="G1313" s="240">
        <v>0</v>
      </c>
      <c r="H1313" s="240">
        <v>0</v>
      </c>
      <c r="I1313" s="240">
        <v>0</v>
      </c>
    </row>
    <row r="1314" spans="1:9" s="213" customFormat="1" ht="14.1">
      <c r="A1314" s="468" t="s">
        <v>536</v>
      </c>
      <c r="B1314" s="237" t="s">
        <v>29</v>
      </c>
      <c r="C1314" s="240">
        <f t="shared" si="296"/>
        <v>8</v>
      </c>
      <c r="D1314" s="240">
        <v>0</v>
      </c>
      <c r="E1314" s="240">
        <v>8</v>
      </c>
      <c r="F1314" s="240">
        <v>0</v>
      </c>
      <c r="G1314" s="240">
        <v>0</v>
      </c>
      <c r="H1314" s="240">
        <v>0</v>
      </c>
      <c r="I1314" s="240">
        <v>0</v>
      </c>
    </row>
    <row r="1315" spans="1:9" s="207" customFormat="1">
      <c r="A1315" s="21"/>
      <c r="B1315" s="26" t="s">
        <v>30</v>
      </c>
      <c r="C1315" s="72">
        <f t="shared" si="296"/>
        <v>8</v>
      </c>
      <c r="D1315" s="72">
        <v>0</v>
      </c>
      <c r="E1315" s="72">
        <v>8</v>
      </c>
      <c r="F1315" s="72">
        <v>0</v>
      </c>
      <c r="G1315" s="72">
        <v>0</v>
      </c>
      <c r="H1315" s="72">
        <v>0</v>
      </c>
      <c r="I1315" s="72">
        <v>0</v>
      </c>
    </row>
    <row r="1316" spans="1:9" s="126" customFormat="1" ht="12.95">
      <c r="A1316" s="19" t="s">
        <v>41</v>
      </c>
      <c r="B1316" s="124" t="s">
        <v>29</v>
      </c>
      <c r="C1316" s="125">
        <f t="shared" si="296"/>
        <v>85.89</v>
      </c>
      <c r="D1316" s="125">
        <f>D1318</f>
        <v>85.89</v>
      </c>
      <c r="E1316" s="125">
        <f t="shared" ref="E1316:I1319" si="297">E1318</f>
        <v>0</v>
      </c>
      <c r="F1316" s="125">
        <f t="shared" si="297"/>
        <v>0</v>
      </c>
      <c r="G1316" s="125">
        <f t="shared" si="297"/>
        <v>0</v>
      </c>
      <c r="H1316" s="125">
        <f t="shared" si="297"/>
        <v>0</v>
      </c>
      <c r="I1316" s="125">
        <f t="shared" si="297"/>
        <v>0</v>
      </c>
    </row>
    <row r="1317" spans="1:9" s="126" customFormat="1">
      <c r="A1317" s="134"/>
      <c r="B1317" s="127" t="s">
        <v>30</v>
      </c>
      <c r="C1317" s="125">
        <f t="shared" si="296"/>
        <v>85.89</v>
      </c>
      <c r="D1317" s="125">
        <f>D1319</f>
        <v>85.89</v>
      </c>
      <c r="E1317" s="125">
        <f t="shared" si="297"/>
        <v>0</v>
      </c>
      <c r="F1317" s="125">
        <f t="shared" si="297"/>
        <v>0</v>
      </c>
      <c r="G1317" s="125">
        <f t="shared" si="297"/>
        <v>0</v>
      </c>
      <c r="H1317" s="125">
        <f t="shared" si="297"/>
        <v>0</v>
      </c>
      <c r="I1317" s="125">
        <f t="shared" si="297"/>
        <v>0</v>
      </c>
    </row>
    <row r="1318" spans="1:9" s="126" customFormat="1">
      <c r="A1318" s="177" t="s">
        <v>479</v>
      </c>
      <c r="B1318" s="124" t="s">
        <v>29</v>
      </c>
      <c r="C1318" s="125">
        <f t="shared" si="296"/>
        <v>85.89</v>
      </c>
      <c r="D1318" s="125">
        <f>D1320</f>
        <v>85.89</v>
      </c>
      <c r="E1318" s="125">
        <f t="shared" si="297"/>
        <v>0</v>
      </c>
      <c r="F1318" s="125">
        <f t="shared" si="297"/>
        <v>0</v>
      </c>
      <c r="G1318" s="125">
        <f t="shared" si="297"/>
        <v>0</v>
      </c>
      <c r="H1318" s="125">
        <f t="shared" si="297"/>
        <v>0</v>
      </c>
      <c r="I1318" s="125">
        <f t="shared" si="297"/>
        <v>0</v>
      </c>
    </row>
    <row r="1319" spans="1:9" s="126" customFormat="1">
      <c r="A1319" s="44"/>
      <c r="B1319" s="127" t="s">
        <v>30</v>
      </c>
      <c r="C1319" s="125">
        <f t="shared" si="296"/>
        <v>85.89</v>
      </c>
      <c r="D1319" s="125">
        <f>D1321</f>
        <v>85.89</v>
      </c>
      <c r="E1319" s="125">
        <f t="shared" si="297"/>
        <v>0</v>
      </c>
      <c r="F1319" s="125">
        <f t="shared" si="297"/>
        <v>0</v>
      </c>
      <c r="G1319" s="125">
        <f t="shared" si="297"/>
        <v>0</v>
      </c>
      <c r="H1319" s="125">
        <f t="shared" si="297"/>
        <v>0</v>
      </c>
      <c r="I1319" s="125">
        <f t="shared" si="297"/>
        <v>0</v>
      </c>
    </row>
    <row r="1320" spans="1:9" s="249" customFormat="1" ht="14.1">
      <c r="A1320" s="469" t="s">
        <v>537</v>
      </c>
      <c r="B1320" s="216" t="s">
        <v>29</v>
      </c>
      <c r="C1320" s="203">
        <f t="shared" si="296"/>
        <v>85.89</v>
      </c>
      <c r="D1320" s="203">
        <v>85.89</v>
      </c>
      <c r="E1320" s="72">
        <v>0</v>
      </c>
      <c r="F1320" s="203">
        <v>0</v>
      </c>
      <c r="G1320" s="203">
        <v>0</v>
      </c>
      <c r="H1320" s="203">
        <v>0</v>
      </c>
      <c r="I1320" s="203">
        <v>0</v>
      </c>
    </row>
    <row r="1321" spans="1:9" s="207" customFormat="1">
      <c r="A1321" s="12"/>
      <c r="B1321" s="26" t="s">
        <v>30</v>
      </c>
      <c r="C1321" s="72">
        <f t="shared" si="296"/>
        <v>85.89</v>
      </c>
      <c r="D1321" s="72">
        <v>85.89</v>
      </c>
      <c r="E1321" s="72">
        <v>0</v>
      </c>
      <c r="F1321" s="72">
        <v>0</v>
      </c>
      <c r="G1321" s="72">
        <v>0</v>
      </c>
      <c r="H1321" s="72">
        <v>0</v>
      </c>
      <c r="I1321" s="72">
        <v>0</v>
      </c>
    </row>
    <row r="1322" spans="1:9" s="126" customFormat="1">
      <c r="A1322" s="104" t="s">
        <v>51</v>
      </c>
      <c r="B1322" s="124" t="s">
        <v>29</v>
      </c>
      <c r="C1322" s="125">
        <f t="shared" si="277"/>
        <v>131.09999999999997</v>
      </c>
      <c r="D1322" s="125">
        <f t="shared" ref="D1322:I1323" si="298">D1324+D1344</f>
        <v>109.09999999999998</v>
      </c>
      <c r="E1322" s="125">
        <f t="shared" si="298"/>
        <v>22</v>
      </c>
      <c r="F1322" s="125">
        <f t="shared" si="298"/>
        <v>0</v>
      </c>
      <c r="G1322" s="125">
        <f t="shared" si="298"/>
        <v>0</v>
      </c>
      <c r="H1322" s="125">
        <f t="shared" si="298"/>
        <v>0</v>
      </c>
      <c r="I1322" s="125">
        <f t="shared" si="298"/>
        <v>0</v>
      </c>
    </row>
    <row r="1323" spans="1:9" s="126" customFormat="1">
      <c r="A1323" s="134"/>
      <c r="B1323" s="127" t="s">
        <v>30</v>
      </c>
      <c r="C1323" s="125">
        <f t="shared" si="277"/>
        <v>131.09999999999997</v>
      </c>
      <c r="D1323" s="125">
        <f t="shared" si="298"/>
        <v>109.09999999999998</v>
      </c>
      <c r="E1323" s="125">
        <f t="shared" si="298"/>
        <v>22</v>
      </c>
      <c r="F1323" s="125">
        <f t="shared" si="298"/>
        <v>0</v>
      </c>
      <c r="G1323" s="125">
        <f t="shared" si="298"/>
        <v>0</v>
      </c>
      <c r="H1323" s="125">
        <f t="shared" si="298"/>
        <v>0</v>
      </c>
      <c r="I1323" s="125">
        <f t="shared" si="298"/>
        <v>0</v>
      </c>
    </row>
    <row r="1324" spans="1:9" s="126" customFormat="1">
      <c r="A1324" s="177" t="s">
        <v>479</v>
      </c>
      <c r="B1324" s="124" t="s">
        <v>29</v>
      </c>
      <c r="C1324" s="125">
        <f t="shared" si="277"/>
        <v>122.40999999999998</v>
      </c>
      <c r="D1324" s="125">
        <f>D1326+D1328+D1330+D1332+D1334+D1336+D1338+D1340+D1342</f>
        <v>100.40999999999998</v>
      </c>
      <c r="E1324" s="125">
        <f t="shared" ref="E1324:I1325" si="299">E1326+E1328+E1330+E1332+E1334+E1336+E1338+E1340+E1342</f>
        <v>22</v>
      </c>
      <c r="F1324" s="125">
        <f t="shared" si="299"/>
        <v>0</v>
      </c>
      <c r="G1324" s="125">
        <f t="shared" si="299"/>
        <v>0</v>
      </c>
      <c r="H1324" s="125">
        <f t="shared" si="299"/>
        <v>0</v>
      </c>
      <c r="I1324" s="125">
        <f t="shared" si="299"/>
        <v>0</v>
      </c>
    </row>
    <row r="1325" spans="1:9" s="126" customFormat="1">
      <c r="A1325" s="44"/>
      <c r="B1325" s="127" t="s">
        <v>30</v>
      </c>
      <c r="C1325" s="125">
        <f t="shared" si="277"/>
        <v>122.40999999999998</v>
      </c>
      <c r="D1325" s="125">
        <f>D1327+D1329+D1331+D1333+D1335+D1337+D1339+D1341+D1343</f>
        <v>100.40999999999998</v>
      </c>
      <c r="E1325" s="125">
        <f t="shared" si="299"/>
        <v>22</v>
      </c>
      <c r="F1325" s="125">
        <f t="shared" si="299"/>
        <v>0</v>
      </c>
      <c r="G1325" s="125">
        <f t="shared" si="299"/>
        <v>0</v>
      </c>
      <c r="H1325" s="125">
        <f t="shared" si="299"/>
        <v>0</v>
      </c>
      <c r="I1325" s="125">
        <f t="shared" si="299"/>
        <v>0</v>
      </c>
    </row>
    <row r="1326" spans="1:9" s="213" customFormat="1">
      <c r="A1326" s="463" t="s">
        <v>538</v>
      </c>
      <c r="B1326" s="237" t="s">
        <v>29</v>
      </c>
      <c r="C1326" s="240">
        <f t="shared" ref="C1326:C1349" si="300">D1326+E1326+F1326+G1326+H1326+I1326</f>
        <v>59.83</v>
      </c>
      <c r="D1326" s="240">
        <v>59.83</v>
      </c>
      <c r="E1326" s="240">
        <v>0</v>
      </c>
      <c r="F1326" s="240">
        <v>0</v>
      </c>
      <c r="G1326" s="240">
        <v>0</v>
      </c>
      <c r="H1326" s="240">
        <v>0</v>
      </c>
      <c r="I1326" s="240">
        <v>0</v>
      </c>
    </row>
    <row r="1327" spans="1:9" s="213" customFormat="1">
      <c r="A1327" s="215"/>
      <c r="B1327" s="226" t="s">
        <v>30</v>
      </c>
      <c r="C1327" s="240">
        <f t="shared" si="300"/>
        <v>59.83</v>
      </c>
      <c r="D1327" s="240">
        <v>59.83</v>
      </c>
      <c r="E1327" s="240">
        <v>0</v>
      </c>
      <c r="F1327" s="240">
        <v>0</v>
      </c>
      <c r="G1327" s="240">
        <v>0</v>
      </c>
      <c r="H1327" s="240">
        <v>0</v>
      </c>
      <c r="I1327" s="240">
        <v>0</v>
      </c>
    </row>
    <row r="1328" spans="1:9" s="213" customFormat="1">
      <c r="A1328" s="463" t="s">
        <v>539</v>
      </c>
      <c r="B1328" s="237" t="s">
        <v>29</v>
      </c>
      <c r="C1328" s="240">
        <f t="shared" si="300"/>
        <v>22.92</v>
      </c>
      <c r="D1328" s="240">
        <v>17.920000000000002</v>
      </c>
      <c r="E1328" s="240">
        <v>5</v>
      </c>
      <c r="F1328" s="240">
        <v>0</v>
      </c>
      <c r="G1328" s="240">
        <v>0</v>
      </c>
      <c r="H1328" s="240">
        <v>0</v>
      </c>
      <c r="I1328" s="240">
        <v>0</v>
      </c>
    </row>
    <row r="1329" spans="1:9" s="213" customFormat="1">
      <c r="A1329" s="215"/>
      <c r="B1329" s="226" t="s">
        <v>30</v>
      </c>
      <c r="C1329" s="240">
        <f t="shared" si="300"/>
        <v>22.92</v>
      </c>
      <c r="D1329" s="240">
        <v>17.920000000000002</v>
      </c>
      <c r="E1329" s="240">
        <v>5</v>
      </c>
      <c r="F1329" s="240">
        <v>0</v>
      </c>
      <c r="G1329" s="240">
        <v>0</v>
      </c>
      <c r="H1329" s="240">
        <v>0</v>
      </c>
      <c r="I1329" s="240">
        <v>0</v>
      </c>
    </row>
    <row r="1330" spans="1:9" s="213" customFormat="1">
      <c r="A1330" s="463" t="s">
        <v>540</v>
      </c>
      <c r="B1330" s="237" t="s">
        <v>29</v>
      </c>
      <c r="C1330" s="240">
        <f t="shared" si="300"/>
        <v>12.38</v>
      </c>
      <c r="D1330" s="240">
        <v>8.3800000000000008</v>
      </c>
      <c r="E1330" s="240">
        <v>4</v>
      </c>
      <c r="F1330" s="240">
        <v>0</v>
      </c>
      <c r="G1330" s="240">
        <v>0</v>
      </c>
      <c r="H1330" s="240">
        <v>0</v>
      </c>
      <c r="I1330" s="240">
        <v>0</v>
      </c>
    </row>
    <row r="1331" spans="1:9" s="249" customFormat="1">
      <c r="A1331" s="215"/>
      <c r="B1331" s="217" t="s">
        <v>30</v>
      </c>
      <c r="C1331" s="203">
        <f t="shared" si="300"/>
        <v>12.38</v>
      </c>
      <c r="D1331" s="203">
        <v>8.3800000000000008</v>
      </c>
      <c r="E1331" s="203">
        <v>4</v>
      </c>
      <c r="F1331" s="203">
        <v>0</v>
      </c>
      <c r="G1331" s="203">
        <v>0</v>
      </c>
      <c r="H1331" s="203">
        <v>0</v>
      </c>
      <c r="I1331" s="203">
        <v>0</v>
      </c>
    </row>
    <row r="1332" spans="1:9" s="213" customFormat="1">
      <c r="A1332" s="332" t="s">
        <v>541</v>
      </c>
      <c r="B1332" s="237" t="s">
        <v>29</v>
      </c>
      <c r="C1332" s="240">
        <f t="shared" si="300"/>
        <v>3.21</v>
      </c>
      <c r="D1332" s="240">
        <v>3.21</v>
      </c>
      <c r="E1332" s="240">
        <v>0</v>
      </c>
      <c r="F1332" s="240">
        <v>0</v>
      </c>
      <c r="G1332" s="240">
        <v>0</v>
      </c>
      <c r="H1332" s="240">
        <v>0</v>
      </c>
      <c r="I1332" s="240">
        <v>0</v>
      </c>
    </row>
    <row r="1333" spans="1:9" s="213" customFormat="1">
      <c r="A1333" s="215"/>
      <c r="B1333" s="226" t="s">
        <v>30</v>
      </c>
      <c r="C1333" s="240">
        <f t="shared" si="300"/>
        <v>3.21</v>
      </c>
      <c r="D1333" s="240">
        <v>3.21</v>
      </c>
      <c r="E1333" s="240">
        <v>0</v>
      </c>
      <c r="F1333" s="240">
        <v>0</v>
      </c>
      <c r="G1333" s="240">
        <v>0</v>
      </c>
      <c r="H1333" s="240">
        <v>0</v>
      </c>
      <c r="I1333" s="240">
        <v>0</v>
      </c>
    </row>
    <row r="1334" spans="1:9" s="213" customFormat="1">
      <c r="A1334" s="332" t="s">
        <v>542</v>
      </c>
      <c r="B1334" s="237" t="s">
        <v>29</v>
      </c>
      <c r="C1334" s="240">
        <f t="shared" si="300"/>
        <v>1.49</v>
      </c>
      <c r="D1334" s="240">
        <v>1.49</v>
      </c>
      <c r="E1334" s="240">
        <v>0</v>
      </c>
      <c r="F1334" s="240">
        <v>0</v>
      </c>
      <c r="G1334" s="240">
        <v>0</v>
      </c>
      <c r="H1334" s="240">
        <v>0</v>
      </c>
      <c r="I1334" s="240">
        <v>0</v>
      </c>
    </row>
    <row r="1335" spans="1:9" s="213" customFormat="1">
      <c r="A1335" s="215"/>
      <c r="B1335" s="226" t="s">
        <v>30</v>
      </c>
      <c r="C1335" s="240">
        <f t="shared" si="300"/>
        <v>1.49</v>
      </c>
      <c r="D1335" s="240">
        <v>1.49</v>
      </c>
      <c r="E1335" s="240">
        <v>0</v>
      </c>
      <c r="F1335" s="240">
        <v>0</v>
      </c>
      <c r="G1335" s="240">
        <v>0</v>
      </c>
      <c r="H1335" s="240">
        <v>0</v>
      </c>
      <c r="I1335" s="240">
        <v>0</v>
      </c>
    </row>
    <row r="1336" spans="1:9" s="213" customFormat="1">
      <c r="A1336" s="463" t="s">
        <v>543</v>
      </c>
      <c r="B1336" s="237" t="s">
        <v>29</v>
      </c>
      <c r="C1336" s="240">
        <f t="shared" si="300"/>
        <v>9.58</v>
      </c>
      <c r="D1336" s="240">
        <v>9.58</v>
      </c>
      <c r="E1336" s="240">
        <v>0</v>
      </c>
      <c r="F1336" s="240">
        <v>0</v>
      </c>
      <c r="G1336" s="240">
        <v>0</v>
      </c>
      <c r="H1336" s="240">
        <v>0</v>
      </c>
      <c r="I1336" s="240">
        <v>0</v>
      </c>
    </row>
    <row r="1337" spans="1:9" s="207" customFormat="1">
      <c r="A1337" s="12"/>
      <c r="B1337" s="26" t="s">
        <v>30</v>
      </c>
      <c r="C1337" s="72">
        <f t="shared" si="300"/>
        <v>9.58</v>
      </c>
      <c r="D1337" s="72">
        <v>9.58</v>
      </c>
      <c r="E1337" s="72">
        <v>0</v>
      </c>
      <c r="F1337" s="72">
        <v>0</v>
      </c>
      <c r="G1337" s="72">
        <v>0</v>
      </c>
      <c r="H1337" s="72">
        <v>0</v>
      </c>
      <c r="I1337" s="72">
        <v>0</v>
      </c>
    </row>
    <row r="1338" spans="1:9" s="213" customFormat="1">
      <c r="A1338" s="332" t="s">
        <v>544</v>
      </c>
      <c r="B1338" s="237" t="s">
        <v>29</v>
      </c>
      <c r="C1338" s="240">
        <f t="shared" si="300"/>
        <v>10</v>
      </c>
      <c r="D1338" s="240">
        <v>0</v>
      </c>
      <c r="E1338" s="240">
        <v>10</v>
      </c>
      <c r="F1338" s="240">
        <v>0</v>
      </c>
      <c r="G1338" s="240">
        <v>0</v>
      </c>
      <c r="H1338" s="240">
        <v>0</v>
      </c>
      <c r="I1338" s="240">
        <v>0</v>
      </c>
    </row>
    <row r="1339" spans="1:9" s="213" customFormat="1">
      <c r="A1339" s="215"/>
      <c r="B1339" s="226" t="s">
        <v>30</v>
      </c>
      <c r="C1339" s="240">
        <f t="shared" si="300"/>
        <v>10</v>
      </c>
      <c r="D1339" s="240">
        <v>0</v>
      </c>
      <c r="E1339" s="240">
        <v>10</v>
      </c>
      <c r="F1339" s="240">
        <v>0</v>
      </c>
      <c r="G1339" s="240">
        <v>0</v>
      </c>
      <c r="H1339" s="240">
        <v>0</v>
      </c>
      <c r="I1339" s="240">
        <v>0</v>
      </c>
    </row>
    <row r="1340" spans="1:9" s="213" customFormat="1">
      <c r="A1340" s="332" t="s">
        <v>545</v>
      </c>
      <c r="B1340" s="237" t="s">
        <v>29</v>
      </c>
      <c r="C1340" s="240">
        <f t="shared" si="300"/>
        <v>2</v>
      </c>
      <c r="D1340" s="240">
        <v>0</v>
      </c>
      <c r="E1340" s="240">
        <v>2</v>
      </c>
      <c r="F1340" s="240">
        <v>0</v>
      </c>
      <c r="G1340" s="240">
        <v>0</v>
      </c>
      <c r="H1340" s="240">
        <v>0</v>
      </c>
      <c r="I1340" s="240">
        <v>0</v>
      </c>
    </row>
    <row r="1341" spans="1:9" s="213" customFormat="1">
      <c r="A1341" s="215"/>
      <c r="B1341" s="226" t="s">
        <v>30</v>
      </c>
      <c r="C1341" s="240">
        <f t="shared" si="300"/>
        <v>2</v>
      </c>
      <c r="D1341" s="240">
        <v>0</v>
      </c>
      <c r="E1341" s="240">
        <v>2</v>
      </c>
      <c r="F1341" s="240">
        <v>0</v>
      </c>
      <c r="G1341" s="240">
        <v>0</v>
      </c>
      <c r="H1341" s="240">
        <v>0</v>
      </c>
      <c r="I1341" s="240">
        <v>0</v>
      </c>
    </row>
    <row r="1342" spans="1:9" s="213" customFormat="1">
      <c r="A1342" s="321" t="s">
        <v>546</v>
      </c>
      <c r="B1342" s="237" t="s">
        <v>29</v>
      </c>
      <c r="C1342" s="240">
        <f t="shared" si="300"/>
        <v>1</v>
      </c>
      <c r="D1342" s="240">
        <v>0</v>
      </c>
      <c r="E1342" s="240">
        <v>1</v>
      </c>
      <c r="F1342" s="240">
        <v>0</v>
      </c>
      <c r="G1342" s="240">
        <v>0</v>
      </c>
      <c r="H1342" s="240">
        <v>0</v>
      </c>
      <c r="I1342" s="240">
        <v>0</v>
      </c>
    </row>
    <row r="1343" spans="1:9" s="207" customFormat="1">
      <c r="A1343" s="21"/>
      <c r="B1343" s="26" t="s">
        <v>30</v>
      </c>
      <c r="C1343" s="72">
        <f t="shared" si="300"/>
        <v>1</v>
      </c>
      <c r="D1343" s="72">
        <v>0</v>
      </c>
      <c r="E1343" s="72">
        <v>1</v>
      </c>
      <c r="F1343" s="72">
        <v>0</v>
      </c>
      <c r="G1343" s="72">
        <v>0</v>
      </c>
      <c r="H1343" s="72">
        <v>0</v>
      </c>
      <c r="I1343" s="72">
        <v>0</v>
      </c>
    </row>
    <row r="1344" spans="1:9" s="207" customFormat="1">
      <c r="A1344" s="96" t="s">
        <v>500</v>
      </c>
      <c r="B1344" s="24" t="s">
        <v>29</v>
      </c>
      <c r="C1344" s="72">
        <f t="shared" si="300"/>
        <v>8.6900000000000013</v>
      </c>
      <c r="D1344" s="64">
        <f>D1346+D1348</f>
        <v>8.6900000000000013</v>
      </c>
      <c r="E1344" s="64">
        <f t="shared" ref="E1344:I1345" si="301">E1346+E1348</f>
        <v>0</v>
      </c>
      <c r="F1344" s="64">
        <f t="shared" si="301"/>
        <v>0</v>
      </c>
      <c r="G1344" s="64">
        <f t="shared" si="301"/>
        <v>0</v>
      </c>
      <c r="H1344" s="64">
        <f t="shared" si="301"/>
        <v>0</v>
      </c>
      <c r="I1344" s="64">
        <f t="shared" si="301"/>
        <v>0</v>
      </c>
    </row>
    <row r="1345" spans="1:9" s="102" customFormat="1">
      <c r="A1345" s="12"/>
      <c r="B1345" s="62" t="s">
        <v>30</v>
      </c>
      <c r="C1345" s="64">
        <f t="shared" si="300"/>
        <v>8.6900000000000013</v>
      </c>
      <c r="D1345" s="64">
        <f>D1347+D1349</f>
        <v>8.6900000000000013</v>
      </c>
      <c r="E1345" s="64">
        <f t="shared" si="301"/>
        <v>0</v>
      </c>
      <c r="F1345" s="64">
        <f t="shared" si="301"/>
        <v>0</v>
      </c>
      <c r="G1345" s="64">
        <f t="shared" si="301"/>
        <v>0</v>
      </c>
      <c r="H1345" s="64">
        <f t="shared" si="301"/>
        <v>0</v>
      </c>
      <c r="I1345" s="64">
        <f t="shared" si="301"/>
        <v>0</v>
      </c>
    </row>
    <row r="1346" spans="1:9" s="213" customFormat="1">
      <c r="A1346" s="332" t="s">
        <v>547</v>
      </c>
      <c r="B1346" s="237" t="s">
        <v>29</v>
      </c>
      <c r="C1346" s="240">
        <f t="shared" si="300"/>
        <v>5.95</v>
      </c>
      <c r="D1346" s="240">
        <v>5.95</v>
      </c>
      <c r="E1346" s="240">
        <v>0</v>
      </c>
      <c r="F1346" s="240">
        <v>0</v>
      </c>
      <c r="G1346" s="240">
        <v>0</v>
      </c>
      <c r="H1346" s="240">
        <v>0</v>
      </c>
      <c r="I1346" s="240">
        <v>0</v>
      </c>
    </row>
    <row r="1347" spans="1:9" s="213" customFormat="1">
      <c r="A1347" s="215"/>
      <c r="B1347" s="226" t="s">
        <v>30</v>
      </c>
      <c r="C1347" s="240">
        <f t="shared" si="300"/>
        <v>5.95</v>
      </c>
      <c r="D1347" s="240">
        <v>5.95</v>
      </c>
      <c r="E1347" s="240">
        <v>0</v>
      </c>
      <c r="F1347" s="240">
        <v>0</v>
      </c>
      <c r="G1347" s="240">
        <v>0</v>
      </c>
      <c r="H1347" s="240">
        <v>0</v>
      </c>
      <c r="I1347" s="240">
        <v>0</v>
      </c>
    </row>
    <row r="1348" spans="1:9" s="213" customFormat="1" ht="14.1">
      <c r="A1348" s="418" t="s">
        <v>548</v>
      </c>
      <c r="B1348" s="237" t="s">
        <v>29</v>
      </c>
      <c r="C1348" s="240">
        <f t="shared" si="300"/>
        <v>2.74</v>
      </c>
      <c r="D1348" s="240">
        <v>2.74</v>
      </c>
      <c r="E1348" s="240">
        <v>0</v>
      </c>
      <c r="F1348" s="240">
        <v>0</v>
      </c>
      <c r="G1348" s="240">
        <v>0</v>
      </c>
      <c r="H1348" s="240">
        <v>0</v>
      </c>
      <c r="I1348" s="240">
        <v>0</v>
      </c>
    </row>
    <row r="1349" spans="1:9" s="207" customFormat="1">
      <c r="A1349" s="21"/>
      <c r="B1349" s="26" t="s">
        <v>30</v>
      </c>
      <c r="C1349" s="72">
        <f t="shared" si="300"/>
        <v>2.74</v>
      </c>
      <c r="D1349" s="72">
        <v>2.74</v>
      </c>
      <c r="E1349" s="72">
        <v>0</v>
      </c>
      <c r="F1349" s="72">
        <v>0</v>
      </c>
      <c r="G1349" s="72">
        <v>0</v>
      </c>
      <c r="H1349" s="72">
        <v>0</v>
      </c>
      <c r="I1349" s="72">
        <v>0</v>
      </c>
    </row>
    <row r="1350" spans="1:9">
      <c r="A1350" s="679" t="s">
        <v>549</v>
      </c>
      <c r="B1350" s="680"/>
      <c r="C1350" s="680"/>
      <c r="D1350" s="680"/>
      <c r="E1350" s="680"/>
      <c r="F1350" s="680"/>
      <c r="G1350" s="680"/>
      <c r="H1350" s="680"/>
      <c r="I1350" s="681"/>
    </row>
    <row r="1351" spans="1:9">
      <c r="A1351" s="31" t="s">
        <v>54</v>
      </c>
      <c r="B1351" s="160" t="s">
        <v>29</v>
      </c>
      <c r="C1351" s="52">
        <f t="shared" ref="C1351:C1414" si="302">D1351+E1351+F1351+G1351+H1351+I1351</f>
        <v>2062.9299999999998</v>
      </c>
      <c r="D1351" s="52">
        <f t="shared" ref="D1351:I1352" si="303">D1353+D1381</f>
        <v>1447.32</v>
      </c>
      <c r="E1351" s="52">
        <f t="shared" si="303"/>
        <v>442</v>
      </c>
      <c r="F1351" s="52">
        <f t="shared" si="303"/>
        <v>0</v>
      </c>
      <c r="G1351" s="52">
        <f t="shared" si="303"/>
        <v>0</v>
      </c>
      <c r="H1351" s="52">
        <f t="shared" si="303"/>
        <v>0</v>
      </c>
      <c r="I1351" s="52">
        <f t="shared" si="303"/>
        <v>173.61</v>
      </c>
    </row>
    <row r="1352" spans="1:9">
      <c r="A1352" s="21" t="s">
        <v>87</v>
      </c>
      <c r="B1352" s="4" t="s">
        <v>30</v>
      </c>
      <c r="C1352" s="52">
        <f t="shared" si="302"/>
        <v>2062.9299999999998</v>
      </c>
      <c r="D1352" s="52">
        <f t="shared" si="303"/>
        <v>1447.32</v>
      </c>
      <c r="E1352" s="52">
        <f t="shared" si="303"/>
        <v>442</v>
      </c>
      <c r="F1352" s="52">
        <f t="shared" si="303"/>
        <v>0</v>
      </c>
      <c r="G1352" s="52">
        <f t="shared" si="303"/>
        <v>0</v>
      </c>
      <c r="H1352" s="52">
        <f t="shared" si="303"/>
        <v>0</v>
      </c>
      <c r="I1352" s="52">
        <f t="shared" si="303"/>
        <v>173.61</v>
      </c>
    </row>
    <row r="1353" spans="1:9" s="95" customFormat="1">
      <c r="A1353" s="58" t="s">
        <v>31</v>
      </c>
      <c r="B1353" s="129" t="s">
        <v>29</v>
      </c>
      <c r="C1353" s="130">
        <f t="shared" si="302"/>
        <v>1418.1999999999998</v>
      </c>
      <c r="D1353" s="130">
        <f>D1355</f>
        <v>1244.5899999999999</v>
      </c>
      <c r="E1353" s="130">
        <f t="shared" ref="E1353:I1356" si="304">E1355</f>
        <v>0</v>
      </c>
      <c r="F1353" s="130">
        <f t="shared" si="304"/>
        <v>0</v>
      </c>
      <c r="G1353" s="130">
        <f t="shared" si="304"/>
        <v>0</v>
      </c>
      <c r="H1353" s="130">
        <f t="shared" si="304"/>
        <v>0</v>
      </c>
      <c r="I1353" s="130">
        <f t="shared" si="304"/>
        <v>173.61</v>
      </c>
    </row>
    <row r="1354" spans="1:9" s="95" customFormat="1">
      <c r="A1354" s="131" t="s">
        <v>89</v>
      </c>
      <c r="B1354" s="132" t="s">
        <v>30</v>
      </c>
      <c r="C1354" s="130">
        <f t="shared" si="302"/>
        <v>1418.1999999999998</v>
      </c>
      <c r="D1354" s="130">
        <f>D1356</f>
        <v>1244.5899999999999</v>
      </c>
      <c r="E1354" s="130">
        <f t="shared" si="304"/>
        <v>0</v>
      </c>
      <c r="F1354" s="130">
        <f t="shared" si="304"/>
        <v>0</v>
      </c>
      <c r="G1354" s="130">
        <f t="shared" si="304"/>
        <v>0</v>
      </c>
      <c r="H1354" s="130">
        <f t="shared" si="304"/>
        <v>0</v>
      </c>
      <c r="I1354" s="130">
        <f t="shared" si="304"/>
        <v>173.61</v>
      </c>
    </row>
    <row r="1355" spans="1:9" ht="12.95">
      <c r="A1355" s="19" t="s">
        <v>37</v>
      </c>
      <c r="B1355" s="3" t="s">
        <v>29</v>
      </c>
      <c r="C1355" s="52">
        <f t="shared" si="302"/>
        <v>1418.1999999999998</v>
      </c>
      <c r="D1355" s="52">
        <f>D1357</f>
        <v>1244.5899999999999</v>
      </c>
      <c r="E1355" s="52">
        <f t="shared" si="304"/>
        <v>0</v>
      </c>
      <c r="F1355" s="52">
        <f t="shared" si="304"/>
        <v>0</v>
      </c>
      <c r="G1355" s="52">
        <f t="shared" si="304"/>
        <v>0</v>
      </c>
      <c r="H1355" s="52">
        <f t="shared" si="304"/>
        <v>0</v>
      </c>
      <c r="I1355" s="52">
        <f t="shared" si="304"/>
        <v>173.61</v>
      </c>
    </row>
    <row r="1356" spans="1:9" ht="12.95">
      <c r="A1356" s="16"/>
      <c r="B1356" s="4" t="s">
        <v>30</v>
      </c>
      <c r="C1356" s="52">
        <f t="shared" si="302"/>
        <v>1418.1999999999998</v>
      </c>
      <c r="D1356" s="52">
        <f>D1358</f>
        <v>1244.5899999999999</v>
      </c>
      <c r="E1356" s="52">
        <f t="shared" si="304"/>
        <v>0</v>
      </c>
      <c r="F1356" s="52">
        <f t="shared" si="304"/>
        <v>0</v>
      </c>
      <c r="G1356" s="52">
        <f t="shared" si="304"/>
        <v>0</v>
      </c>
      <c r="H1356" s="52">
        <f t="shared" si="304"/>
        <v>0</v>
      </c>
      <c r="I1356" s="52">
        <f t="shared" si="304"/>
        <v>173.61</v>
      </c>
    </row>
    <row r="1357" spans="1:9">
      <c r="A1357" s="31" t="s">
        <v>50</v>
      </c>
      <c r="B1357" s="160" t="s">
        <v>29</v>
      </c>
      <c r="C1357" s="52">
        <f t="shared" si="302"/>
        <v>1418.1999999999998</v>
      </c>
      <c r="D1357" s="52">
        <f t="shared" ref="D1357:I1358" si="305">D1359+D1371</f>
        <v>1244.5899999999999</v>
      </c>
      <c r="E1357" s="52">
        <f t="shared" si="305"/>
        <v>0</v>
      </c>
      <c r="F1357" s="52">
        <f t="shared" si="305"/>
        <v>0</v>
      </c>
      <c r="G1357" s="52">
        <f t="shared" si="305"/>
        <v>0</v>
      </c>
      <c r="H1357" s="52">
        <f t="shared" si="305"/>
        <v>0</v>
      </c>
      <c r="I1357" s="52">
        <f t="shared" si="305"/>
        <v>173.61</v>
      </c>
    </row>
    <row r="1358" spans="1:9">
      <c r="A1358" s="10"/>
      <c r="B1358" s="4" t="s">
        <v>30</v>
      </c>
      <c r="C1358" s="52">
        <f t="shared" si="302"/>
        <v>1418.1999999999998</v>
      </c>
      <c r="D1358" s="52">
        <f t="shared" si="305"/>
        <v>1244.5899999999999</v>
      </c>
      <c r="E1358" s="52">
        <f t="shared" si="305"/>
        <v>0</v>
      </c>
      <c r="F1358" s="52">
        <f t="shared" si="305"/>
        <v>0</v>
      </c>
      <c r="G1358" s="52">
        <f t="shared" si="305"/>
        <v>0</v>
      </c>
      <c r="H1358" s="52">
        <f t="shared" si="305"/>
        <v>0</v>
      </c>
      <c r="I1358" s="52">
        <f t="shared" si="305"/>
        <v>173.61</v>
      </c>
    </row>
    <row r="1359" spans="1:9" s="95" customFormat="1">
      <c r="A1359" s="58" t="s">
        <v>40</v>
      </c>
      <c r="B1359" s="129" t="s">
        <v>29</v>
      </c>
      <c r="C1359" s="130">
        <f>D1359+E1359+F1359+G1359+H1359+I1359</f>
        <v>255.35999999999999</v>
      </c>
      <c r="D1359" s="130">
        <f>D1361+D1367</f>
        <v>255.35999999999999</v>
      </c>
      <c r="E1359" s="130">
        <f t="shared" ref="E1359:I1360" si="306">E1361+E1367</f>
        <v>0</v>
      </c>
      <c r="F1359" s="130">
        <f t="shared" si="306"/>
        <v>0</v>
      </c>
      <c r="G1359" s="130">
        <f t="shared" si="306"/>
        <v>0</v>
      </c>
      <c r="H1359" s="130">
        <f t="shared" si="306"/>
        <v>0</v>
      </c>
      <c r="I1359" s="130">
        <f t="shared" si="306"/>
        <v>0</v>
      </c>
    </row>
    <row r="1360" spans="1:9" s="95" customFormat="1">
      <c r="A1360" s="131"/>
      <c r="B1360" s="132" t="s">
        <v>30</v>
      </c>
      <c r="C1360" s="130">
        <f t="shared" si="302"/>
        <v>255.35999999999999</v>
      </c>
      <c r="D1360" s="130">
        <f>D1362+D1368</f>
        <v>255.35999999999999</v>
      </c>
      <c r="E1360" s="130">
        <f t="shared" si="306"/>
        <v>0</v>
      </c>
      <c r="F1360" s="130">
        <f t="shared" si="306"/>
        <v>0</v>
      </c>
      <c r="G1360" s="130">
        <f t="shared" si="306"/>
        <v>0</v>
      </c>
      <c r="H1360" s="130">
        <f t="shared" si="306"/>
        <v>0</v>
      </c>
      <c r="I1360" s="130">
        <f t="shared" si="306"/>
        <v>0</v>
      </c>
    </row>
    <row r="1361" spans="1:15" s="126" customFormat="1" ht="27" customHeight="1">
      <c r="A1361" s="147" t="s">
        <v>550</v>
      </c>
      <c r="B1361" s="124" t="s">
        <v>29</v>
      </c>
      <c r="C1361" s="125">
        <f t="shared" si="302"/>
        <v>216.67</v>
      </c>
      <c r="D1361" s="125">
        <f>D1363+D1365</f>
        <v>216.67</v>
      </c>
      <c r="E1361" s="125">
        <f t="shared" ref="E1361:I1362" si="307">E1363+E1365</f>
        <v>0</v>
      </c>
      <c r="F1361" s="125">
        <f t="shared" si="307"/>
        <v>0</v>
      </c>
      <c r="G1361" s="125">
        <f t="shared" si="307"/>
        <v>0</v>
      </c>
      <c r="H1361" s="125">
        <f t="shared" si="307"/>
        <v>0</v>
      </c>
      <c r="I1361" s="125">
        <f t="shared" si="307"/>
        <v>0</v>
      </c>
    </row>
    <row r="1362" spans="1:15" s="126" customFormat="1">
      <c r="A1362" s="146"/>
      <c r="B1362" s="127" t="s">
        <v>30</v>
      </c>
      <c r="C1362" s="125">
        <f t="shared" si="302"/>
        <v>216.67</v>
      </c>
      <c r="D1362" s="125">
        <f>D1364+D1366</f>
        <v>216.67</v>
      </c>
      <c r="E1362" s="125">
        <f t="shared" si="307"/>
        <v>0</v>
      </c>
      <c r="F1362" s="125">
        <f t="shared" si="307"/>
        <v>0</v>
      </c>
      <c r="G1362" s="125">
        <f t="shared" si="307"/>
        <v>0</v>
      </c>
      <c r="H1362" s="125">
        <f t="shared" si="307"/>
        <v>0</v>
      </c>
      <c r="I1362" s="125">
        <f t="shared" si="307"/>
        <v>0</v>
      </c>
    </row>
    <row r="1363" spans="1:15" s="213" customFormat="1" ht="17.25" customHeight="1">
      <c r="A1363" s="369" t="s">
        <v>551</v>
      </c>
      <c r="B1363" s="237" t="s">
        <v>29</v>
      </c>
      <c r="C1363" s="240">
        <f t="shared" si="302"/>
        <v>79.069999999999993</v>
      </c>
      <c r="D1363" s="240">
        <f>13.21+65.86</f>
        <v>79.069999999999993</v>
      </c>
      <c r="E1363" s="240">
        <v>0</v>
      </c>
      <c r="F1363" s="240">
        <v>0</v>
      </c>
      <c r="G1363" s="240">
        <v>0</v>
      </c>
      <c r="H1363" s="240">
        <v>0</v>
      </c>
      <c r="I1363" s="240">
        <v>0</v>
      </c>
    </row>
    <row r="1364" spans="1:15" s="213" customFormat="1">
      <c r="A1364" s="215"/>
      <c r="B1364" s="226" t="s">
        <v>30</v>
      </c>
      <c r="C1364" s="240">
        <f t="shared" si="302"/>
        <v>79.069999999999993</v>
      </c>
      <c r="D1364" s="240">
        <f>13.21+65.86</f>
        <v>79.069999999999993</v>
      </c>
      <c r="E1364" s="240">
        <v>0</v>
      </c>
      <c r="F1364" s="240">
        <v>0</v>
      </c>
      <c r="G1364" s="240">
        <v>0</v>
      </c>
      <c r="H1364" s="240">
        <v>0</v>
      </c>
      <c r="I1364" s="240">
        <v>0</v>
      </c>
    </row>
    <row r="1365" spans="1:15" s="213" customFormat="1" ht="16.5" customHeight="1">
      <c r="A1365" s="369" t="s">
        <v>243</v>
      </c>
      <c r="B1365" s="237" t="s">
        <v>29</v>
      </c>
      <c r="C1365" s="240">
        <f t="shared" si="302"/>
        <v>137.6</v>
      </c>
      <c r="D1365" s="240">
        <v>137.6</v>
      </c>
      <c r="E1365" s="240">
        <v>0</v>
      </c>
      <c r="F1365" s="240">
        <v>0</v>
      </c>
      <c r="G1365" s="240">
        <v>0</v>
      </c>
      <c r="H1365" s="240">
        <v>0</v>
      </c>
      <c r="I1365" s="240">
        <v>0</v>
      </c>
    </row>
    <row r="1366" spans="1:15" s="213" customFormat="1">
      <c r="A1366" s="215"/>
      <c r="B1366" s="226" t="s">
        <v>30</v>
      </c>
      <c r="C1366" s="240">
        <f t="shared" si="302"/>
        <v>137.6</v>
      </c>
      <c r="D1366" s="240">
        <v>137.6</v>
      </c>
      <c r="E1366" s="240">
        <v>0</v>
      </c>
      <c r="F1366" s="240">
        <v>0</v>
      </c>
      <c r="G1366" s="240">
        <v>0</v>
      </c>
      <c r="H1366" s="240">
        <v>0</v>
      </c>
      <c r="I1366" s="240">
        <v>0</v>
      </c>
    </row>
    <row r="1367" spans="1:15" s="126" customFormat="1" ht="27" customHeight="1">
      <c r="A1367" s="147" t="s">
        <v>552</v>
      </c>
      <c r="B1367" s="124" t="s">
        <v>29</v>
      </c>
      <c r="C1367" s="125">
        <f t="shared" si="302"/>
        <v>38.69</v>
      </c>
      <c r="D1367" s="125">
        <f>D1369</f>
        <v>38.69</v>
      </c>
      <c r="E1367" s="125">
        <f t="shared" ref="E1367:I1368" si="308">E1369</f>
        <v>0</v>
      </c>
      <c r="F1367" s="125">
        <f t="shared" si="308"/>
        <v>0</v>
      </c>
      <c r="G1367" s="125">
        <f t="shared" si="308"/>
        <v>0</v>
      </c>
      <c r="H1367" s="125">
        <f t="shared" si="308"/>
        <v>0</v>
      </c>
      <c r="I1367" s="125">
        <f t="shared" si="308"/>
        <v>0</v>
      </c>
    </row>
    <row r="1368" spans="1:15" s="126" customFormat="1">
      <c r="A1368" s="146"/>
      <c r="B1368" s="127" t="s">
        <v>30</v>
      </c>
      <c r="C1368" s="125">
        <f t="shared" si="302"/>
        <v>38.69</v>
      </c>
      <c r="D1368" s="125">
        <f>D1370</f>
        <v>38.69</v>
      </c>
      <c r="E1368" s="125">
        <f t="shared" si="308"/>
        <v>0</v>
      </c>
      <c r="F1368" s="125">
        <f t="shared" si="308"/>
        <v>0</v>
      </c>
      <c r="G1368" s="125">
        <f t="shared" si="308"/>
        <v>0</v>
      </c>
      <c r="H1368" s="125">
        <f t="shared" si="308"/>
        <v>0</v>
      </c>
      <c r="I1368" s="125">
        <f t="shared" si="308"/>
        <v>0</v>
      </c>
    </row>
    <row r="1369" spans="1:15" s="213" customFormat="1" ht="15" customHeight="1">
      <c r="A1369" s="441" t="s">
        <v>553</v>
      </c>
      <c r="B1369" s="237" t="s">
        <v>29</v>
      </c>
      <c r="C1369" s="240">
        <f t="shared" si="302"/>
        <v>38.69</v>
      </c>
      <c r="D1369" s="240">
        <v>38.69</v>
      </c>
      <c r="E1369" s="240">
        <v>0</v>
      </c>
      <c r="F1369" s="240">
        <v>0</v>
      </c>
      <c r="G1369" s="240">
        <v>0</v>
      </c>
      <c r="H1369" s="240">
        <v>0</v>
      </c>
      <c r="I1369" s="240">
        <v>0</v>
      </c>
    </row>
    <row r="1370" spans="1:15" s="213" customFormat="1">
      <c r="A1370" s="215"/>
      <c r="B1370" s="226" t="s">
        <v>30</v>
      </c>
      <c r="C1370" s="240">
        <f t="shared" si="302"/>
        <v>38.69</v>
      </c>
      <c r="D1370" s="240">
        <v>38.69</v>
      </c>
      <c r="E1370" s="240">
        <v>0</v>
      </c>
      <c r="F1370" s="240">
        <v>0</v>
      </c>
      <c r="G1370" s="240">
        <v>0</v>
      </c>
      <c r="H1370" s="240">
        <v>0</v>
      </c>
      <c r="I1370" s="240">
        <v>0</v>
      </c>
    </row>
    <row r="1371" spans="1:15" s="126" customFormat="1" ht="16.5" customHeight="1">
      <c r="A1371" s="147" t="s">
        <v>41</v>
      </c>
      <c r="B1371" s="124" t="s">
        <v>29</v>
      </c>
      <c r="C1371" s="125">
        <f t="shared" si="302"/>
        <v>1162.8400000000001</v>
      </c>
      <c r="D1371" s="125">
        <f>D1373</f>
        <v>989.23</v>
      </c>
      <c r="E1371" s="125">
        <f t="shared" ref="E1371:I1372" si="309">E1373</f>
        <v>0</v>
      </c>
      <c r="F1371" s="125">
        <f t="shared" si="309"/>
        <v>0</v>
      </c>
      <c r="G1371" s="125">
        <f t="shared" si="309"/>
        <v>0</v>
      </c>
      <c r="H1371" s="125">
        <f t="shared" si="309"/>
        <v>0</v>
      </c>
      <c r="I1371" s="125">
        <f t="shared" si="309"/>
        <v>173.61</v>
      </c>
    </row>
    <row r="1372" spans="1:15" s="126" customFormat="1">
      <c r="A1372" s="134"/>
      <c r="B1372" s="127" t="s">
        <v>30</v>
      </c>
      <c r="C1372" s="125">
        <f t="shared" si="302"/>
        <v>1162.8400000000001</v>
      </c>
      <c r="D1372" s="125">
        <f>D1374</f>
        <v>989.23</v>
      </c>
      <c r="E1372" s="125">
        <f t="shared" si="309"/>
        <v>0</v>
      </c>
      <c r="F1372" s="125">
        <f t="shared" si="309"/>
        <v>0</v>
      </c>
      <c r="G1372" s="125">
        <f t="shared" si="309"/>
        <v>0</v>
      </c>
      <c r="H1372" s="125">
        <f t="shared" si="309"/>
        <v>0</v>
      </c>
      <c r="I1372" s="125">
        <f t="shared" si="309"/>
        <v>173.61</v>
      </c>
    </row>
    <row r="1373" spans="1:15" s="126" customFormat="1" ht="24.95">
      <c r="A1373" s="198" t="s">
        <v>554</v>
      </c>
      <c r="B1373" s="124" t="s">
        <v>29</v>
      </c>
      <c r="C1373" s="125">
        <f t="shared" si="302"/>
        <v>1162.8400000000001</v>
      </c>
      <c r="D1373" s="125">
        <f>D1375+D1377+D1379</f>
        <v>989.23</v>
      </c>
      <c r="E1373" s="125">
        <f t="shared" ref="E1373:I1374" si="310">E1375+E1377+E1379</f>
        <v>0</v>
      </c>
      <c r="F1373" s="125">
        <f t="shared" si="310"/>
        <v>0</v>
      </c>
      <c r="G1373" s="125">
        <f t="shared" si="310"/>
        <v>0</v>
      </c>
      <c r="H1373" s="125">
        <f t="shared" si="310"/>
        <v>0</v>
      </c>
      <c r="I1373" s="125">
        <f t="shared" si="310"/>
        <v>173.61</v>
      </c>
    </row>
    <row r="1374" spans="1:15" s="126" customFormat="1">
      <c r="A1374" s="134"/>
      <c r="B1374" s="127" t="s">
        <v>30</v>
      </c>
      <c r="C1374" s="125">
        <f t="shared" si="302"/>
        <v>1162.8400000000001</v>
      </c>
      <c r="D1374" s="125">
        <f>D1376+D1378+D1380</f>
        <v>989.23</v>
      </c>
      <c r="E1374" s="125">
        <f t="shared" si="310"/>
        <v>0</v>
      </c>
      <c r="F1374" s="125">
        <f t="shared" si="310"/>
        <v>0</v>
      </c>
      <c r="G1374" s="125">
        <f t="shared" si="310"/>
        <v>0</v>
      </c>
      <c r="H1374" s="125">
        <f t="shared" si="310"/>
        <v>0</v>
      </c>
      <c r="I1374" s="125">
        <f t="shared" si="310"/>
        <v>173.61</v>
      </c>
    </row>
    <row r="1375" spans="1:15" s="212" customFormat="1" ht="14.1">
      <c r="A1375" s="367" t="s">
        <v>551</v>
      </c>
      <c r="B1375" s="237" t="s">
        <v>29</v>
      </c>
      <c r="C1375" s="240">
        <f t="shared" si="302"/>
        <v>73.150000000000006</v>
      </c>
      <c r="D1375" s="240">
        <v>73.150000000000006</v>
      </c>
      <c r="E1375" s="240">
        <v>0</v>
      </c>
      <c r="F1375" s="240">
        <v>0</v>
      </c>
      <c r="G1375" s="240">
        <v>0</v>
      </c>
      <c r="H1375" s="240">
        <v>0</v>
      </c>
      <c r="I1375" s="240">
        <v>0</v>
      </c>
      <c r="J1375" s="626" t="s">
        <v>555</v>
      </c>
      <c r="K1375" s="616"/>
      <c r="L1375" s="616"/>
      <c r="M1375" s="616"/>
      <c r="N1375" s="616"/>
      <c r="O1375" s="616"/>
    </row>
    <row r="1376" spans="1:15" s="213" customFormat="1">
      <c r="A1376" s="215"/>
      <c r="B1376" s="226" t="s">
        <v>30</v>
      </c>
      <c r="C1376" s="240">
        <f t="shared" si="302"/>
        <v>73.150000000000006</v>
      </c>
      <c r="D1376" s="240">
        <v>73.150000000000006</v>
      </c>
      <c r="E1376" s="240">
        <v>0</v>
      </c>
      <c r="F1376" s="240">
        <v>0</v>
      </c>
      <c r="G1376" s="240">
        <v>0</v>
      </c>
      <c r="H1376" s="240">
        <v>0</v>
      </c>
      <c r="I1376" s="240">
        <v>0</v>
      </c>
      <c r="J1376" s="617"/>
      <c r="K1376" s="616"/>
      <c r="L1376" s="616"/>
      <c r="M1376" s="616"/>
      <c r="N1376" s="616"/>
      <c r="O1376" s="616"/>
    </row>
    <row r="1377" spans="1:9" s="213" customFormat="1" ht="14.1">
      <c r="A1377" s="367" t="s">
        <v>243</v>
      </c>
      <c r="B1377" s="237" t="s">
        <v>29</v>
      </c>
      <c r="C1377" s="240">
        <f t="shared" si="302"/>
        <v>45.69</v>
      </c>
      <c r="D1377" s="240">
        <v>45.69</v>
      </c>
      <c r="E1377" s="240">
        <v>0</v>
      </c>
      <c r="F1377" s="240">
        <v>0</v>
      </c>
      <c r="G1377" s="240">
        <v>0</v>
      </c>
      <c r="H1377" s="240">
        <v>0</v>
      </c>
      <c r="I1377" s="240">
        <v>0</v>
      </c>
    </row>
    <row r="1378" spans="1:9" s="213" customFormat="1">
      <c r="A1378" s="215"/>
      <c r="B1378" s="226" t="s">
        <v>30</v>
      </c>
      <c r="C1378" s="240">
        <f t="shared" si="302"/>
        <v>45.69</v>
      </c>
      <c r="D1378" s="240">
        <v>45.69</v>
      </c>
      <c r="E1378" s="240">
        <v>0</v>
      </c>
      <c r="F1378" s="240">
        <v>0</v>
      </c>
      <c r="G1378" s="240">
        <v>0</v>
      </c>
      <c r="H1378" s="240">
        <v>0</v>
      </c>
      <c r="I1378" s="240">
        <v>0</v>
      </c>
    </row>
    <row r="1379" spans="1:9" s="213" customFormat="1" ht="14.1">
      <c r="A1379" s="367" t="s">
        <v>244</v>
      </c>
      <c r="B1379" s="237" t="s">
        <v>29</v>
      </c>
      <c r="C1379" s="240">
        <f t="shared" si="302"/>
        <v>1044</v>
      </c>
      <c r="D1379" s="240">
        <v>870.39</v>
      </c>
      <c r="E1379" s="240">
        <v>0</v>
      </c>
      <c r="F1379" s="240">
        <v>0</v>
      </c>
      <c r="G1379" s="240">
        <v>0</v>
      </c>
      <c r="H1379" s="240">
        <v>0</v>
      </c>
      <c r="I1379" s="240">
        <f>1044-870.39</f>
        <v>173.61</v>
      </c>
    </row>
    <row r="1380" spans="1:9" s="209" customFormat="1">
      <c r="A1380" s="12"/>
      <c r="B1380" s="62" t="s">
        <v>30</v>
      </c>
      <c r="C1380" s="78">
        <f t="shared" si="302"/>
        <v>1044</v>
      </c>
      <c r="D1380" s="64">
        <v>870.39</v>
      </c>
      <c r="E1380" s="64">
        <v>0</v>
      </c>
      <c r="F1380" s="64">
        <v>0</v>
      </c>
      <c r="G1380" s="64">
        <v>0</v>
      </c>
      <c r="H1380" s="64">
        <v>0</v>
      </c>
      <c r="I1380" s="64">
        <f>1044-870.39</f>
        <v>173.61</v>
      </c>
    </row>
    <row r="1381" spans="1:9" s="126" customFormat="1">
      <c r="A1381" s="111" t="s">
        <v>47</v>
      </c>
      <c r="B1381" s="124" t="s">
        <v>29</v>
      </c>
      <c r="C1381" s="125">
        <f t="shared" si="302"/>
        <v>644.73</v>
      </c>
      <c r="D1381" s="125">
        <f t="shared" ref="D1381:I1384" si="311">D1383</f>
        <v>202.73</v>
      </c>
      <c r="E1381" s="125">
        <f t="shared" si="311"/>
        <v>442</v>
      </c>
      <c r="F1381" s="125">
        <f t="shared" si="311"/>
        <v>0</v>
      </c>
      <c r="G1381" s="125">
        <f t="shared" si="311"/>
        <v>0</v>
      </c>
      <c r="H1381" s="125">
        <f t="shared" si="311"/>
        <v>0</v>
      </c>
      <c r="I1381" s="125">
        <f t="shared" si="311"/>
        <v>0</v>
      </c>
    </row>
    <row r="1382" spans="1:9" s="126" customFormat="1">
      <c r="A1382" s="149" t="s">
        <v>48</v>
      </c>
      <c r="B1382" s="127" t="s">
        <v>30</v>
      </c>
      <c r="C1382" s="125">
        <f t="shared" si="302"/>
        <v>644.73</v>
      </c>
      <c r="D1382" s="125">
        <f t="shared" si="311"/>
        <v>202.73</v>
      </c>
      <c r="E1382" s="125">
        <f t="shared" si="311"/>
        <v>442</v>
      </c>
      <c r="F1382" s="125">
        <f t="shared" si="311"/>
        <v>0</v>
      </c>
      <c r="G1382" s="125">
        <f t="shared" si="311"/>
        <v>0</v>
      </c>
      <c r="H1382" s="125">
        <f t="shared" si="311"/>
        <v>0</v>
      </c>
      <c r="I1382" s="125">
        <f t="shared" si="311"/>
        <v>0</v>
      </c>
    </row>
    <row r="1383" spans="1:9" s="101" customFormat="1" ht="12.95">
      <c r="A1383" s="89" t="s">
        <v>37</v>
      </c>
      <c r="B1383" s="90" t="s">
        <v>29</v>
      </c>
      <c r="C1383" s="83">
        <f t="shared" si="302"/>
        <v>644.73</v>
      </c>
      <c r="D1383" s="83">
        <f t="shared" si="311"/>
        <v>202.73</v>
      </c>
      <c r="E1383" s="83">
        <f t="shared" si="311"/>
        <v>442</v>
      </c>
      <c r="F1383" s="83">
        <f t="shared" si="311"/>
        <v>0</v>
      </c>
      <c r="G1383" s="83">
        <f t="shared" si="311"/>
        <v>0</v>
      </c>
      <c r="H1383" s="83">
        <f t="shared" si="311"/>
        <v>0</v>
      </c>
      <c r="I1383" s="83">
        <f t="shared" si="311"/>
        <v>0</v>
      </c>
    </row>
    <row r="1384" spans="1:9" s="101" customFormat="1" ht="12.95">
      <c r="A1384" s="91"/>
      <c r="B1384" s="164" t="s">
        <v>30</v>
      </c>
      <c r="C1384" s="83">
        <f t="shared" si="302"/>
        <v>644.73</v>
      </c>
      <c r="D1384" s="83">
        <f t="shared" si="311"/>
        <v>202.73</v>
      </c>
      <c r="E1384" s="83">
        <f t="shared" si="311"/>
        <v>442</v>
      </c>
      <c r="F1384" s="83">
        <f t="shared" si="311"/>
        <v>0</v>
      </c>
      <c r="G1384" s="83">
        <f t="shared" si="311"/>
        <v>0</v>
      </c>
      <c r="H1384" s="83">
        <f t="shared" si="311"/>
        <v>0</v>
      </c>
      <c r="I1384" s="83">
        <f t="shared" si="311"/>
        <v>0</v>
      </c>
    </row>
    <row r="1385" spans="1:9" s="101" customFormat="1">
      <c r="A1385" s="92" t="s">
        <v>50</v>
      </c>
      <c r="B1385" s="82" t="s">
        <v>29</v>
      </c>
      <c r="C1385" s="83">
        <f t="shared" si="302"/>
        <v>644.73</v>
      </c>
      <c r="D1385" s="83">
        <f>D1387+D1421+D1441</f>
        <v>202.73</v>
      </c>
      <c r="E1385" s="83">
        <f t="shared" ref="E1385:I1386" si="312">E1387+E1421+E1441</f>
        <v>442</v>
      </c>
      <c r="F1385" s="83">
        <f t="shared" si="312"/>
        <v>0</v>
      </c>
      <c r="G1385" s="83">
        <f t="shared" si="312"/>
        <v>0</v>
      </c>
      <c r="H1385" s="83">
        <f t="shared" si="312"/>
        <v>0</v>
      </c>
      <c r="I1385" s="83">
        <f t="shared" si="312"/>
        <v>0</v>
      </c>
    </row>
    <row r="1386" spans="1:9" s="101" customFormat="1">
      <c r="A1386" s="88"/>
      <c r="B1386" s="86" t="s">
        <v>30</v>
      </c>
      <c r="C1386" s="83">
        <f t="shared" si="302"/>
        <v>644.73</v>
      </c>
      <c r="D1386" s="83">
        <f>D1388+D1422+D1442</f>
        <v>202.73</v>
      </c>
      <c r="E1386" s="83">
        <f t="shared" si="312"/>
        <v>442</v>
      </c>
      <c r="F1386" s="83">
        <f t="shared" si="312"/>
        <v>0</v>
      </c>
      <c r="G1386" s="83">
        <f t="shared" si="312"/>
        <v>0</v>
      </c>
      <c r="H1386" s="83">
        <f t="shared" si="312"/>
        <v>0</v>
      </c>
      <c r="I1386" s="83">
        <f t="shared" si="312"/>
        <v>0</v>
      </c>
    </row>
    <row r="1387" spans="1:9" s="126" customFormat="1">
      <c r="A1387" s="133" t="s">
        <v>40</v>
      </c>
      <c r="B1387" s="124" t="s">
        <v>29</v>
      </c>
      <c r="C1387" s="125">
        <f t="shared" si="302"/>
        <v>565.88</v>
      </c>
      <c r="D1387" s="125">
        <f t="shared" ref="D1387:I1388" si="313">D1389+D1395+D1407+D1413</f>
        <v>196.88</v>
      </c>
      <c r="E1387" s="125">
        <f t="shared" si="313"/>
        <v>369</v>
      </c>
      <c r="F1387" s="125">
        <f t="shared" si="313"/>
        <v>0</v>
      </c>
      <c r="G1387" s="125">
        <f t="shared" si="313"/>
        <v>0</v>
      </c>
      <c r="H1387" s="125">
        <f t="shared" si="313"/>
        <v>0</v>
      </c>
      <c r="I1387" s="125">
        <f t="shared" si="313"/>
        <v>0</v>
      </c>
    </row>
    <row r="1388" spans="1:9" s="126" customFormat="1">
      <c r="A1388" s="134"/>
      <c r="B1388" s="127" t="s">
        <v>30</v>
      </c>
      <c r="C1388" s="125">
        <f t="shared" si="302"/>
        <v>565.88</v>
      </c>
      <c r="D1388" s="125">
        <f t="shared" si="313"/>
        <v>196.88</v>
      </c>
      <c r="E1388" s="125">
        <f t="shared" si="313"/>
        <v>369</v>
      </c>
      <c r="F1388" s="125">
        <f t="shared" si="313"/>
        <v>0</v>
      </c>
      <c r="G1388" s="125">
        <f t="shared" si="313"/>
        <v>0</v>
      </c>
      <c r="H1388" s="125">
        <f t="shared" si="313"/>
        <v>0</v>
      </c>
      <c r="I1388" s="125">
        <f t="shared" si="313"/>
        <v>0</v>
      </c>
    </row>
    <row r="1389" spans="1:9" s="148" customFormat="1">
      <c r="A1389" s="147" t="s">
        <v>556</v>
      </c>
      <c r="B1389" s="124" t="s">
        <v>29</v>
      </c>
      <c r="C1389" s="125">
        <f t="shared" si="302"/>
        <v>78.570000000000007</v>
      </c>
      <c r="D1389" s="125">
        <f>D1391+D1393</f>
        <v>78.570000000000007</v>
      </c>
      <c r="E1389" s="125">
        <f t="shared" ref="E1389:I1390" si="314">E1391+E1393</f>
        <v>0</v>
      </c>
      <c r="F1389" s="125">
        <f t="shared" si="314"/>
        <v>0</v>
      </c>
      <c r="G1389" s="125">
        <f t="shared" si="314"/>
        <v>0</v>
      </c>
      <c r="H1389" s="125">
        <f t="shared" si="314"/>
        <v>0</v>
      </c>
      <c r="I1389" s="125">
        <f t="shared" si="314"/>
        <v>0</v>
      </c>
    </row>
    <row r="1390" spans="1:9" s="148" customFormat="1">
      <c r="A1390" s="134"/>
      <c r="B1390" s="127" t="s">
        <v>30</v>
      </c>
      <c r="C1390" s="125">
        <f t="shared" si="302"/>
        <v>78.570000000000007</v>
      </c>
      <c r="D1390" s="125">
        <f>D1392+D1394</f>
        <v>78.570000000000007</v>
      </c>
      <c r="E1390" s="125">
        <f t="shared" si="314"/>
        <v>0</v>
      </c>
      <c r="F1390" s="125">
        <f t="shared" si="314"/>
        <v>0</v>
      </c>
      <c r="G1390" s="125">
        <f t="shared" si="314"/>
        <v>0</v>
      </c>
      <c r="H1390" s="125">
        <f t="shared" si="314"/>
        <v>0</v>
      </c>
      <c r="I1390" s="125">
        <f t="shared" si="314"/>
        <v>0</v>
      </c>
    </row>
    <row r="1391" spans="1:9" s="212" customFormat="1" ht="14.1">
      <c r="A1391" s="441" t="s">
        <v>557</v>
      </c>
      <c r="B1391" s="237" t="s">
        <v>29</v>
      </c>
      <c r="C1391" s="240">
        <f t="shared" si="302"/>
        <v>64.540000000000006</v>
      </c>
      <c r="D1391" s="240">
        <v>64.540000000000006</v>
      </c>
      <c r="E1391" s="64">
        <v>0</v>
      </c>
      <c r="F1391" s="240">
        <v>0</v>
      </c>
      <c r="G1391" s="240">
        <v>0</v>
      </c>
      <c r="H1391" s="240">
        <v>0</v>
      </c>
      <c r="I1391" s="240">
        <v>0</v>
      </c>
    </row>
    <row r="1392" spans="1:9" s="209" customFormat="1">
      <c r="A1392" s="12"/>
      <c r="B1392" s="62" t="s">
        <v>30</v>
      </c>
      <c r="C1392" s="78">
        <f t="shared" si="302"/>
        <v>64.540000000000006</v>
      </c>
      <c r="D1392" s="64">
        <v>64.540000000000006</v>
      </c>
      <c r="E1392" s="64">
        <v>0</v>
      </c>
      <c r="F1392" s="64">
        <v>0</v>
      </c>
      <c r="G1392" s="64">
        <v>0</v>
      </c>
      <c r="H1392" s="64">
        <v>0</v>
      </c>
      <c r="I1392" s="64">
        <v>0</v>
      </c>
    </row>
    <row r="1393" spans="1:9" s="212" customFormat="1" ht="14.1">
      <c r="A1393" s="441" t="s">
        <v>269</v>
      </c>
      <c r="B1393" s="237" t="s">
        <v>29</v>
      </c>
      <c r="C1393" s="240">
        <f t="shared" si="302"/>
        <v>14.03</v>
      </c>
      <c r="D1393" s="240">
        <v>14.03</v>
      </c>
      <c r="E1393" s="240">
        <v>0</v>
      </c>
      <c r="F1393" s="240">
        <v>0</v>
      </c>
      <c r="G1393" s="240">
        <v>0</v>
      </c>
      <c r="H1393" s="240">
        <v>0</v>
      </c>
      <c r="I1393" s="240">
        <v>0</v>
      </c>
    </row>
    <row r="1394" spans="1:9" s="213" customFormat="1">
      <c r="A1394" s="215"/>
      <c r="B1394" s="226" t="s">
        <v>30</v>
      </c>
      <c r="C1394" s="240">
        <f t="shared" si="302"/>
        <v>14.03</v>
      </c>
      <c r="D1394" s="240">
        <v>14.03</v>
      </c>
      <c r="E1394" s="240">
        <v>0</v>
      </c>
      <c r="F1394" s="240">
        <v>0</v>
      </c>
      <c r="G1394" s="240">
        <v>0</v>
      </c>
      <c r="H1394" s="240">
        <v>0</v>
      </c>
      <c r="I1394" s="240">
        <v>0</v>
      </c>
    </row>
    <row r="1395" spans="1:9" s="247" customFormat="1">
      <c r="A1395" s="310" t="s">
        <v>558</v>
      </c>
      <c r="B1395" s="365" t="s">
        <v>29</v>
      </c>
      <c r="C1395" s="291">
        <f t="shared" si="302"/>
        <v>384.99</v>
      </c>
      <c r="D1395" s="291">
        <f>D1397+D1399+D1401+D1403+D1405</f>
        <v>45.99</v>
      </c>
      <c r="E1395" s="291">
        <f t="shared" ref="E1395:I1396" si="315">E1397+E1399+E1401+E1403+E1405</f>
        <v>339</v>
      </c>
      <c r="F1395" s="291">
        <f t="shared" si="315"/>
        <v>0</v>
      </c>
      <c r="G1395" s="291">
        <f t="shared" si="315"/>
        <v>0</v>
      </c>
      <c r="H1395" s="291">
        <f t="shared" si="315"/>
        <v>0</v>
      </c>
      <c r="I1395" s="291">
        <f t="shared" si="315"/>
        <v>0</v>
      </c>
    </row>
    <row r="1396" spans="1:9" s="247" customFormat="1">
      <c r="A1396" s="313"/>
      <c r="B1396" s="289" t="s">
        <v>30</v>
      </c>
      <c r="C1396" s="291">
        <f t="shared" si="302"/>
        <v>384.99</v>
      </c>
      <c r="D1396" s="291">
        <f>D1398+D1400+D1402+D1404+D1406</f>
        <v>45.99</v>
      </c>
      <c r="E1396" s="291">
        <f t="shared" si="315"/>
        <v>339</v>
      </c>
      <c r="F1396" s="291">
        <f t="shared" si="315"/>
        <v>0</v>
      </c>
      <c r="G1396" s="291">
        <f t="shared" si="315"/>
        <v>0</v>
      </c>
      <c r="H1396" s="291">
        <f t="shared" si="315"/>
        <v>0</v>
      </c>
      <c r="I1396" s="291">
        <f t="shared" si="315"/>
        <v>0</v>
      </c>
    </row>
    <row r="1397" spans="1:9" s="212" customFormat="1" ht="14.1">
      <c r="A1397" s="470" t="s">
        <v>559</v>
      </c>
      <c r="B1397" s="237" t="s">
        <v>29</v>
      </c>
      <c r="C1397" s="240">
        <f t="shared" si="302"/>
        <v>13.99</v>
      </c>
      <c r="D1397" s="240">
        <v>13.99</v>
      </c>
      <c r="E1397" s="240">
        <v>0</v>
      </c>
      <c r="F1397" s="240">
        <v>0</v>
      </c>
      <c r="G1397" s="240">
        <v>0</v>
      </c>
      <c r="H1397" s="240">
        <v>0</v>
      </c>
      <c r="I1397" s="240">
        <v>0</v>
      </c>
    </row>
    <row r="1398" spans="1:9" s="209" customFormat="1">
      <c r="A1398" s="12"/>
      <c r="B1398" s="62" t="s">
        <v>30</v>
      </c>
      <c r="C1398" s="78">
        <f t="shared" si="302"/>
        <v>13.99</v>
      </c>
      <c r="D1398" s="64">
        <v>13.99</v>
      </c>
      <c r="E1398" s="64">
        <v>0</v>
      </c>
      <c r="F1398" s="64">
        <v>0</v>
      </c>
      <c r="G1398" s="64">
        <v>0</v>
      </c>
      <c r="H1398" s="64">
        <v>0</v>
      </c>
      <c r="I1398" s="64">
        <v>0</v>
      </c>
    </row>
    <row r="1399" spans="1:9" s="212" customFormat="1" ht="14.1">
      <c r="A1399" s="406" t="s">
        <v>560</v>
      </c>
      <c r="B1399" s="237" t="s">
        <v>29</v>
      </c>
      <c r="C1399" s="240">
        <f t="shared" si="302"/>
        <v>32</v>
      </c>
      <c r="D1399" s="240">
        <v>32</v>
      </c>
      <c r="E1399" s="240">
        <v>0</v>
      </c>
      <c r="F1399" s="240">
        <v>0</v>
      </c>
      <c r="G1399" s="240">
        <v>0</v>
      </c>
      <c r="H1399" s="240">
        <v>0</v>
      </c>
      <c r="I1399" s="240">
        <v>0</v>
      </c>
    </row>
    <row r="1400" spans="1:9" s="209" customFormat="1">
      <c r="A1400" s="12"/>
      <c r="B1400" s="62" t="s">
        <v>30</v>
      </c>
      <c r="C1400" s="78">
        <f t="shared" si="302"/>
        <v>32</v>
      </c>
      <c r="D1400" s="64">
        <v>32</v>
      </c>
      <c r="E1400" s="64">
        <v>0</v>
      </c>
      <c r="F1400" s="64">
        <v>0</v>
      </c>
      <c r="G1400" s="64">
        <v>0</v>
      </c>
      <c r="H1400" s="64">
        <v>0</v>
      </c>
      <c r="I1400" s="64">
        <v>0</v>
      </c>
    </row>
    <row r="1401" spans="1:9" s="213" customFormat="1" ht="14.1">
      <c r="A1401" s="448" t="s">
        <v>561</v>
      </c>
      <c r="B1401" s="237" t="s">
        <v>29</v>
      </c>
      <c r="C1401" s="240">
        <f t="shared" si="302"/>
        <v>12</v>
      </c>
      <c r="D1401" s="240">
        <v>0</v>
      </c>
      <c r="E1401" s="240">
        <v>12</v>
      </c>
      <c r="F1401" s="240">
        <v>0</v>
      </c>
      <c r="G1401" s="240">
        <v>0</v>
      </c>
      <c r="H1401" s="240">
        <v>0</v>
      </c>
      <c r="I1401" s="240">
        <v>0</v>
      </c>
    </row>
    <row r="1402" spans="1:9" s="213" customFormat="1">
      <c r="A1402" s="215"/>
      <c r="B1402" s="226" t="s">
        <v>30</v>
      </c>
      <c r="C1402" s="240">
        <f t="shared" si="302"/>
        <v>12</v>
      </c>
      <c r="D1402" s="240">
        <v>0</v>
      </c>
      <c r="E1402" s="240">
        <v>12</v>
      </c>
      <c r="F1402" s="240">
        <v>0</v>
      </c>
      <c r="G1402" s="240">
        <v>0</v>
      </c>
      <c r="H1402" s="240">
        <v>0</v>
      </c>
      <c r="I1402" s="240">
        <v>0</v>
      </c>
    </row>
    <row r="1403" spans="1:9" s="213" customFormat="1" ht="14.1">
      <c r="A1403" s="441" t="s">
        <v>562</v>
      </c>
      <c r="B1403" s="237" t="s">
        <v>29</v>
      </c>
      <c r="C1403" s="240">
        <f t="shared" si="302"/>
        <v>27</v>
      </c>
      <c r="D1403" s="240">
        <v>0</v>
      </c>
      <c r="E1403" s="240">
        <v>27</v>
      </c>
      <c r="F1403" s="240">
        <v>0</v>
      </c>
      <c r="G1403" s="240">
        <v>0</v>
      </c>
      <c r="H1403" s="240">
        <v>0</v>
      </c>
      <c r="I1403" s="240">
        <v>0</v>
      </c>
    </row>
    <row r="1404" spans="1:9" s="213" customFormat="1">
      <c r="A1404" s="215"/>
      <c r="B1404" s="226" t="s">
        <v>30</v>
      </c>
      <c r="C1404" s="240">
        <f t="shared" si="302"/>
        <v>27</v>
      </c>
      <c r="D1404" s="240">
        <v>0</v>
      </c>
      <c r="E1404" s="240">
        <v>27</v>
      </c>
      <c r="F1404" s="240">
        <v>0</v>
      </c>
      <c r="G1404" s="240">
        <v>0</v>
      </c>
      <c r="H1404" s="240">
        <v>0</v>
      </c>
      <c r="I1404" s="240">
        <v>0</v>
      </c>
    </row>
    <row r="1405" spans="1:9" s="213" customFormat="1" ht="13.5" customHeight="1">
      <c r="A1405" s="406" t="s">
        <v>563</v>
      </c>
      <c r="B1405" s="237" t="s">
        <v>29</v>
      </c>
      <c r="C1405" s="240">
        <f t="shared" si="302"/>
        <v>300</v>
      </c>
      <c r="D1405" s="240">
        <v>0</v>
      </c>
      <c r="E1405" s="240">
        <v>300</v>
      </c>
      <c r="F1405" s="240">
        <v>0</v>
      </c>
      <c r="G1405" s="240">
        <v>0</v>
      </c>
      <c r="H1405" s="240">
        <v>0</v>
      </c>
      <c r="I1405" s="240">
        <v>0</v>
      </c>
    </row>
    <row r="1406" spans="1:9" s="209" customFormat="1">
      <c r="A1406" s="12"/>
      <c r="B1406" s="62" t="s">
        <v>30</v>
      </c>
      <c r="C1406" s="78">
        <f t="shared" si="302"/>
        <v>300</v>
      </c>
      <c r="D1406" s="64">
        <v>0</v>
      </c>
      <c r="E1406" s="64">
        <v>300</v>
      </c>
      <c r="F1406" s="64">
        <v>0</v>
      </c>
      <c r="G1406" s="64">
        <v>0</v>
      </c>
      <c r="H1406" s="64">
        <v>0</v>
      </c>
      <c r="I1406" s="64">
        <v>0</v>
      </c>
    </row>
    <row r="1407" spans="1:9" s="126" customFormat="1" ht="14.1">
      <c r="A1407" s="294" t="s">
        <v>564</v>
      </c>
      <c r="B1407" s="124" t="s">
        <v>29</v>
      </c>
      <c r="C1407" s="125">
        <f t="shared" si="302"/>
        <v>39</v>
      </c>
      <c r="D1407" s="125">
        <f>D1409+D1411</f>
        <v>9</v>
      </c>
      <c r="E1407" s="125">
        <f t="shared" ref="E1407:I1408" si="316">E1409+E1411</f>
        <v>30</v>
      </c>
      <c r="F1407" s="125">
        <f t="shared" si="316"/>
        <v>0</v>
      </c>
      <c r="G1407" s="125">
        <f t="shared" si="316"/>
        <v>0</v>
      </c>
      <c r="H1407" s="125">
        <f t="shared" si="316"/>
        <v>0</v>
      </c>
      <c r="I1407" s="125">
        <f t="shared" si="316"/>
        <v>0</v>
      </c>
    </row>
    <row r="1408" spans="1:9" s="126" customFormat="1">
      <c r="A1408" s="134"/>
      <c r="B1408" s="127" t="s">
        <v>30</v>
      </c>
      <c r="C1408" s="125">
        <f t="shared" si="302"/>
        <v>39</v>
      </c>
      <c r="D1408" s="125">
        <f>D1410+D1412</f>
        <v>9</v>
      </c>
      <c r="E1408" s="125">
        <f t="shared" si="316"/>
        <v>30</v>
      </c>
      <c r="F1408" s="125">
        <f t="shared" si="316"/>
        <v>0</v>
      </c>
      <c r="G1408" s="125">
        <f t="shared" si="316"/>
        <v>0</v>
      </c>
      <c r="H1408" s="125">
        <f t="shared" si="316"/>
        <v>0</v>
      </c>
      <c r="I1408" s="125">
        <f t="shared" si="316"/>
        <v>0</v>
      </c>
    </row>
    <row r="1409" spans="1:9" s="212" customFormat="1" ht="14.1">
      <c r="A1409" s="448" t="s">
        <v>565</v>
      </c>
      <c r="B1409" s="237" t="s">
        <v>29</v>
      </c>
      <c r="C1409" s="240">
        <f t="shared" si="302"/>
        <v>9</v>
      </c>
      <c r="D1409" s="240">
        <v>9</v>
      </c>
      <c r="E1409" s="240">
        <v>0</v>
      </c>
      <c r="F1409" s="240">
        <v>0</v>
      </c>
      <c r="G1409" s="240">
        <v>0</v>
      </c>
      <c r="H1409" s="240">
        <v>0</v>
      </c>
      <c r="I1409" s="240">
        <v>0</v>
      </c>
    </row>
    <row r="1410" spans="1:9" s="209" customFormat="1">
      <c r="A1410" s="12"/>
      <c r="B1410" s="62" t="s">
        <v>30</v>
      </c>
      <c r="C1410" s="78">
        <f t="shared" si="302"/>
        <v>9</v>
      </c>
      <c r="D1410" s="64">
        <v>9</v>
      </c>
      <c r="E1410" s="64">
        <v>0</v>
      </c>
      <c r="F1410" s="64">
        <v>0</v>
      </c>
      <c r="G1410" s="64">
        <v>0</v>
      </c>
      <c r="H1410" s="64">
        <v>0</v>
      </c>
      <c r="I1410" s="64">
        <v>0</v>
      </c>
    </row>
    <row r="1411" spans="1:9" s="212" customFormat="1" ht="14.1">
      <c r="A1411" s="406" t="s">
        <v>566</v>
      </c>
      <c r="B1411" s="237" t="s">
        <v>29</v>
      </c>
      <c r="C1411" s="240">
        <f t="shared" si="302"/>
        <v>30</v>
      </c>
      <c r="D1411" s="240">
        <v>0</v>
      </c>
      <c r="E1411" s="240">
        <v>30</v>
      </c>
      <c r="F1411" s="240">
        <v>0</v>
      </c>
      <c r="G1411" s="240">
        <v>0</v>
      </c>
      <c r="H1411" s="240">
        <v>0</v>
      </c>
      <c r="I1411" s="240">
        <v>0</v>
      </c>
    </row>
    <row r="1412" spans="1:9" s="209" customFormat="1">
      <c r="A1412" s="12"/>
      <c r="B1412" s="62" t="s">
        <v>30</v>
      </c>
      <c r="C1412" s="78">
        <f t="shared" si="302"/>
        <v>30</v>
      </c>
      <c r="D1412" s="64">
        <v>0</v>
      </c>
      <c r="E1412" s="64">
        <v>30</v>
      </c>
      <c r="F1412" s="64">
        <v>0</v>
      </c>
      <c r="G1412" s="64">
        <v>0</v>
      </c>
      <c r="H1412" s="64">
        <v>0</v>
      </c>
      <c r="I1412" s="64">
        <v>0</v>
      </c>
    </row>
    <row r="1413" spans="1:9" s="126" customFormat="1" ht="14.1">
      <c r="A1413" s="294" t="s">
        <v>567</v>
      </c>
      <c r="B1413" s="124" t="s">
        <v>29</v>
      </c>
      <c r="C1413" s="125">
        <f t="shared" si="302"/>
        <v>63.32</v>
      </c>
      <c r="D1413" s="125">
        <f>D1415+D1417+D1419</f>
        <v>63.32</v>
      </c>
      <c r="E1413" s="125">
        <f t="shared" ref="E1413:I1414" si="317">E1415+E1417+E1419</f>
        <v>0</v>
      </c>
      <c r="F1413" s="125">
        <f t="shared" si="317"/>
        <v>0</v>
      </c>
      <c r="G1413" s="125">
        <f t="shared" si="317"/>
        <v>0</v>
      </c>
      <c r="H1413" s="125">
        <f t="shared" si="317"/>
        <v>0</v>
      </c>
      <c r="I1413" s="125">
        <f t="shared" si="317"/>
        <v>0</v>
      </c>
    </row>
    <row r="1414" spans="1:9" s="126" customFormat="1">
      <c r="A1414" s="134"/>
      <c r="B1414" s="127" t="s">
        <v>30</v>
      </c>
      <c r="C1414" s="125">
        <f t="shared" si="302"/>
        <v>63.32</v>
      </c>
      <c r="D1414" s="125">
        <f>D1416+D1418+D1420</f>
        <v>63.32</v>
      </c>
      <c r="E1414" s="125">
        <f t="shared" si="317"/>
        <v>0</v>
      </c>
      <c r="F1414" s="125">
        <f t="shared" si="317"/>
        <v>0</v>
      </c>
      <c r="G1414" s="125">
        <f t="shared" si="317"/>
        <v>0</v>
      </c>
      <c r="H1414" s="125">
        <f t="shared" si="317"/>
        <v>0</v>
      </c>
      <c r="I1414" s="125">
        <f t="shared" si="317"/>
        <v>0</v>
      </c>
    </row>
    <row r="1415" spans="1:9" s="212" customFormat="1">
      <c r="A1415" s="471" t="s">
        <v>568</v>
      </c>
      <c r="B1415" s="237" t="s">
        <v>29</v>
      </c>
      <c r="C1415" s="240">
        <f t="shared" ref="C1415:C1452" si="318">D1415+E1415+F1415+G1415+H1415+I1415</f>
        <v>40.619999999999997</v>
      </c>
      <c r="D1415" s="240">
        <v>40.619999999999997</v>
      </c>
      <c r="E1415" s="240">
        <v>0</v>
      </c>
      <c r="F1415" s="240">
        <v>0</v>
      </c>
      <c r="G1415" s="240">
        <v>0</v>
      </c>
      <c r="H1415" s="240">
        <v>0</v>
      </c>
      <c r="I1415" s="240">
        <v>0</v>
      </c>
    </row>
    <row r="1416" spans="1:9" s="209" customFormat="1">
      <c r="A1416" s="12"/>
      <c r="B1416" s="62" t="s">
        <v>30</v>
      </c>
      <c r="C1416" s="78">
        <f t="shared" si="318"/>
        <v>40.619999999999997</v>
      </c>
      <c r="D1416" s="64">
        <v>40.619999999999997</v>
      </c>
      <c r="E1416" s="64">
        <v>0</v>
      </c>
      <c r="F1416" s="64">
        <v>0</v>
      </c>
      <c r="G1416" s="64">
        <v>0</v>
      </c>
      <c r="H1416" s="64">
        <v>0</v>
      </c>
      <c r="I1416" s="64">
        <v>0</v>
      </c>
    </row>
    <row r="1417" spans="1:9" s="212" customFormat="1" ht="14.1">
      <c r="A1417" s="406" t="s">
        <v>560</v>
      </c>
      <c r="B1417" s="237" t="s">
        <v>29</v>
      </c>
      <c r="C1417" s="240">
        <f t="shared" si="318"/>
        <v>11.82</v>
      </c>
      <c r="D1417" s="240">
        <v>11.82</v>
      </c>
      <c r="E1417" s="240">
        <v>0</v>
      </c>
      <c r="F1417" s="240">
        <v>0</v>
      </c>
      <c r="G1417" s="240">
        <v>0</v>
      </c>
      <c r="H1417" s="240">
        <v>0</v>
      </c>
      <c r="I1417" s="240">
        <v>0</v>
      </c>
    </row>
    <row r="1418" spans="1:9" s="209" customFormat="1">
      <c r="A1418" s="12"/>
      <c r="B1418" s="62" t="s">
        <v>30</v>
      </c>
      <c r="C1418" s="78">
        <f t="shared" si="318"/>
        <v>11.82</v>
      </c>
      <c r="D1418" s="64">
        <v>11.82</v>
      </c>
      <c r="E1418" s="64">
        <v>0</v>
      </c>
      <c r="F1418" s="64">
        <v>0</v>
      </c>
      <c r="G1418" s="64">
        <v>0</v>
      </c>
      <c r="H1418" s="64">
        <v>0</v>
      </c>
      <c r="I1418" s="64">
        <v>0</v>
      </c>
    </row>
    <row r="1419" spans="1:9" s="212" customFormat="1" ht="14.1">
      <c r="A1419" s="406" t="s">
        <v>569</v>
      </c>
      <c r="B1419" s="237" t="s">
        <v>29</v>
      </c>
      <c r="C1419" s="240">
        <f t="shared" si="318"/>
        <v>10.88</v>
      </c>
      <c r="D1419" s="240">
        <v>10.88</v>
      </c>
      <c r="E1419" s="240">
        <v>0</v>
      </c>
      <c r="F1419" s="240">
        <v>0</v>
      </c>
      <c r="G1419" s="240">
        <v>0</v>
      </c>
      <c r="H1419" s="240">
        <v>0</v>
      </c>
      <c r="I1419" s="240">
        <v>0</v>
      </c>
    </row>
    <row r="1420" spans="1:9" s="209" customFormat="1">
      <c r="A1420" s="12"/>
      <c r="B1420" s="62" t="s">
        <v>30</v>
      </c>
      <c r="C1420" s="78">
        <f t="shared" si="318"/>
        <v>10.88</v>
      </c>
      <c r="D1420" s="64">
        <v>10.88</v>
      </c>
      <c r="E1420" s="64">
        <v>0</v>
      </c>
      <c r="F1420" s="64">
        <v>0</v>
      </c>
      <c r="G1420" s="64">
        <v>0</v>
      </c>
      <c r="H1420" s="64">
        <v>0</v>
      </c>
      <c r="I1420" s="64">
        <v>0</v>
      </c>
    </row>
    <row r="1421" spans="1:9" s="126" customFormat="1">
      <c r="A1421" s="408" t="s">
        <v>41</v>
      </c>
      <c r="B1421" s="124" t="s">
        <v>29</v>
      </c>
      <c r="C1421" s="125">
        <f t="shared" si="318"/>
        <v>73</v>
      </c>
      <c r="D1421" s="125">
        <f>D1423</f>
        <v>0</v>
      </c>
      <c r="E1421" s="125">
        <f t="shared" ref="E1421:I1422" si="319">E1423</f>
        <v>73</v>
      </c>
      <c r="F1421" s="125">
        <f t="shared" si="319"/>
        <v>0</v>
      </c>
      <c r="G1421" s="125">
        <f t="shared" si="319"/>
        <v>0</v>
      </c>
      <c r="H1421" s="125">
        <f t="shared" si="319"/>
        <v>0</v>
      </c>
      <c r="I1421" s="125">
        <f t="shared" si="319"/>
        <v>0</v>
      </c>
    </row>
    <row r="1422" spans="1:9" s="126" customFormat="1">
      <c r="A1422" s="134"/>
      <c r="B1422" s="127" t="s">
        <v>30</v>
      </c>
      <c r="C1422" s="125">
        <f t="shared" si="318"/>
        <v>73</v>
      </c>
      <c r="D1422" s="125">
        <f>D1424</f>
        <v>0</v>
      </c>
      <c r="E1422" s="125">
        <f t="shared" si="319"/>
        <v>73</v>
      </c>
      <c r="F1422" s="125">
        <f t="shared" si="319"/>
        <v>0</v>
      </c>
      <c r="G1422" s="125">
        <f t="shared" si="319"/>
        <v>0</v>
      </c>
      <c r="H1422" s="125">
        <f t="shared" si="319"/>
        <v>0</v>
      </c>
      <c r="I1422" s="125">
        <f t="shared" si="319"/>
        <v>0</v>
      </c>
    </row>
    <row r="1423" spans="1:9" s="247" customFormat="1">
      <c r="A1423" s="310" t="s">
        <v>570</v>
      </c>
      <c r="B1423" s="365" t="s">
        <v>29</v>
      </c>
      <c r="C1423" s="291">
        <f t="shared" si="318"/>
        <v>73</v>
      </c>
      <c r="D1423" s="291">
        <f>D1425+D1427+D1429+D1431+D1433+D1435+D1437+D1439</f>
        <v>0</v>
      </c>
      <c r="E1423" s="291">
        <f t="shared" ref="E1423:I1424" si="320">E1425+E1427+E1429+E1431+E1433+E1435+E1437+E1439</f>
        <v>73</v>
      </c>
      <c r="F1423" s="291">
        <f t="shared" si="320"/>
        <v>0</v>
      </c>
      <c r="G1423" s="291">
        <f t="shared" si="320"/>
        <v>0</v>
      </c>
      <c r="H1423" s="291">
        <f t="shared" si="320"/>
        <v>0</v>
      </c>
      <c r="I1423" s="291">
        <f t="shared" si="320"/>
        <v>0</v>
      </c>
    </row>
    <row r="1424" spans="1:9" s="247" customFormat="1">
      <c r="A1424" s="313"/>
      <c r="B1424" s="289" t="s">
        <v>30</v>
      </c>
      <c r="C1424" s="291">
        <f t="shared" si="318"/>
        <v>73</v>
      </c>
      <c r="D1424" s="291">
        <f>D1426+D1428+D1430+D1432+D1434+D1436+D1438+D1440</f>
        <v>0</v>
      </c>
      <c r="E1424" s="291">
        <f t="shared" si="320"/>
        <v>73</v>
      </c>
      <c r="F1424" s="291">
        <f t="shared" si="320"/>
        <v>0</v>
      </c>
      <c r="G1424" s="291">
        <f t="shared" si="320"/>
        <v>0</v>
      </c>
      <c r="H1424" s="291">
        <f t="shared" si="320"/>
        <v>0</v>
      </c>
      <c r="I1424" s="291">
        <f t="shared" si="320"/>
        <v>0</v>
      </c>
    </row>
    <row r="1425" spans="1:9" s="213" customFormat="1" ht="14.1">
      <c r="A1425" s="406" t="s">
        <v>571</v>
      </c>
      <c r="B1425" s="237" t="s">
        <v>29</v>
      </c>
      <c r="C1425" s="240">
        <f t="shared" si="318"/>
        <v>5</v>
      </c>
      <c r="D1425" s="240">
        <v>0</v>
      </c>
      <c r="E1425" s="240">
        <v>5</v>
      </c>
      <c r="F1425" s="240">
        <v>0</v>
      </c>
      <c r="G1425" s="240">
        <v>0</v>
      </c>
      <c r="H1425" s="240">
        <v>0</v>
      </c>
      <c r="I1425" s="240">
        <v>0</v>
      </c>
    </row>
    <row r="1426" spans="1:9" s="213" customFormat="1">
      <c r="A1426" s="215"/>
      <c r="B1426" s="226" t="s">
        <v>30</v>
      </c>
      <c r="C1426" s="240">
        <f t="shared" si="318"/>
        <v>5</v>
      </c>
      <c r="D1426" s="240">
        <v>0</v>
      </c>
      <c r="E1426" s="240">
        <v>5</v>
      </c>
      <c r="F1426" s="240">
        <v>0</v>
      </c>
      <c r="G1426" s="240">
        <v>0</v>
      </c>
      <c r="H1426" s="240">
        <v>0</v>
      </c>
      <c r="I1426" s="240">
        <v>0</v>
      </c>
    </row>
    <row r="1427" spans="1:9" s="213" customFormat="1" ht="14.1">
      <c r="A1427" s="472" t="s">
        <v>572</v>
      </c>
      <c r="B1427" s="237" t="s">
        <v>29</v>
      </c>
      <c r="C1427" s="240">
        <f t="shared" si="318"/>
        <v>10</v>
      </c>
      <c r="D1427" s="240">
        <v>0</v>
      </c>
      <c r="E1427" s="240">
        <v>10</v>
      </c>
      <c r="F1427" s="240">
        <v>0</v>
      </c>
      <c r="G1427" s="240">
        <v>0</v>
      </c>
      <c r="H1427" s="240">
        <v>0</v>
      </c>
      <c r="I1427" s="240">
        <v>0</v>
      </c>
    </row>
    <row r="1428" spans="1:9" s="213" customFormat="1">
      <c r="A1428" s="215"/>
      <c r="B1428" s="226" t="s">
        <v>30</v>
      </c>
      <c r="C1428" s="240">
        <f t="shared" si="318"/>
        <v>10</v>
      </c>
      <c r="D1428" s="240">
        <v>0</v>
      </c>
      <c r="E1428" s="240">
        <v>10</v>
      </c>
      <c r="F1428" s="240">
        <v>0</v>
      </c>
      <c r="G1428" s="240">
        <v>0</v>
      </c>
      <c r="H1428" s="240">
        <v>0</v>
      </c>
      <c r="I1428" s="240">
        <v>0</v>
      </c>
    </row>
    <row r="1429" spans="1:9" s="213" customFormat="1" ht="14.1">
      <c r="A1429" s="406" t="s">
        <v>573</v>
      </c>
      <c r="B1429" s="237" t="s">
        <v>29</v>
      </c>
      <c r="C1429" s="240">
        <f t="shared" si="318"/>
        <v>5</v>
      </c>
      <c r="D1429" s="240">
        <v>0</v>
      </c>
      <c r="E1429" s="240">
        <v>5</v>
      </c>
      <c r="F1429" s="240">
        <v>0</v>
      </c>
      <c r="G1429" s="240">
        <v>0</v>
      </c>
      <c r="H1429" s="240">
        <v>0</v>
      </c>
      <c r="I1429" s="240">
        <v>0</v>
      </c>
    </row>
    <row r="1430" spans="1:9" s="213" customFormat="1">
      <c r="A1430" s="215"/>
      <c r="B1430" s="226" t="s">
        <v>30</v>
      </c>
      <c r="C1430" s="240">
        <f t="shared" si="318"/>
        <v>5</v>
      </c>
      <c r="D1430" s="240">
        <v>0</v>
      </c>
      <c r="E1430" s="240">
        <v>5</v>
      </c>
      <c r="F1430" s="240">
        <v>0</v>
      </c>
      <c r="G1430" s="240">
        <v>0</v>
      </c>
      <c r="H1430" s="240">
        <v>0</v>
      </c>
      <c r="I1430" s="240">
        <v>0</v>
      </c>
    </row>
    <row r="1431" spans="1:9" s="213" customFormat="1" ht="14.1">
      <c r="A1431" s="406" t="s">
        <v>574</v>
      </c>
      <c r="B1431" s="237" t="s">
        <v>29</v>
      </c>
      <c r="C1431" s="240">
        <f t="shared" si="318"/>
        <v>15</v>
      </c>
      <c r="D1431" s="240">
        <v>0</v>
      </c>
      <c r="E1431" s="240">
        <v>15</v>
      </c>
      <c r="F1431" s="240">
        <v>0</v>
      </c>
      <c r="G1431" s="240">
        <v>0</v>
      </c>
      <c r="H1431" s="240">
        <v>0</v>
      </c>
      <c r="I1431" s="240">
        <v>0</v>
      </c>
    </row>
    <row r="1432" spans="1:9" s="209" customFormat="1">
      <c r="A1432" s="12"/>
      <c r="B1432" s="62" t="s">
        <v>30</v>
      </c>
      <c r="C1432" s="78">
        <f t="shared" si="318"/>
        <v>15</v>
      </c>
      <c r="D1432" s="64">
        <v>0</v>
      </c>
      <c r="E1432" s="64">
        <v>15</v>
      </c>
      <c r="F1432" s="64">
        <v>0</v>
      </c>
      <c r="G1432" s="64">
        <v>0</v>
      </c>
      <c r="H1432" s="64">
        <v>0</v>
      </c>
      <c r="I1432" s="64">
        <v>0</v>
      </c>
    </row>
    <row r="1433" spans="1:9" s="213" customFormat="1" ht="14.1">
      <c r="A1433" s="406" t="s">
        <v>575</v>
      </c>
      <c r="B1433" s="237" t="s">
        <v>29</v>
      </c>
      <c r="C1433" s="240">
        <f t="shared" si="318"/>
        <v>5</v>
      </c>
      <c r="D1433" s="240">
        <v>0</v>
      </c>
      <c r="E1433" s="240">
        <v>5</v>
      </c>
      <c r="F1433" s="240">
        <v>0</v>
      </c>
      <c r="G1433" s="240">
        <v>0</v>
      </c>
      <c r="H1433" s="240">
        <v>0</v>
      </c>
      <c r="I1433" s="240">
        <v>0</v>
      </c>
    </row>
    <row r="1434" spans="1:9" s="213" customFormat="1">
      <c r="A1434" s="215"/>
      <c r="B1434" s="226" t="s">
        <v>30</v>
      </c>
      <c r="C1434" s="240">
        <f t="shared" si="318"/>
        <v>5</v>
      </c>
      <c r="D1434" s="240">
        <v>0</v>
      </c>
      <c r="E1434" s="240">
        <v>5</v>
      </c>
      <c r="F1434" s="240">
        <v>0</v>
      </c>
      <c r="G1434" s="240">
        <v>0</v>
      </c>
      <c r="H1434" s="240">
        <v>0</v>
      </c>
      <c r="I1434" s="240">
        <v>0</v>
      </c>
    </row>
    <row r="1435" spans="1:9" s="213" customFormat="1" ht="14.1">
      <c r="A1435" s="406" t="s">
        <v>576</v>
      </c>
      <c r="B1435" s="237" t="s">
        <v>29</v>
      </c>
      <c r="C1435" s="240">
        <f t="shared" si="318"/>
        <v>7</v>
      </c>
      <c r="D1435" s="240">
        <v>0</v>
      </c>
      <c r="E1435" s="240">
        <v>7</v>
      </c>
      <c r="F1435" s="240">
        <v>0</v>
      </c>
      <c r="G1435" s="240">
        <v>0</v>
      </c>
      <c r="H1435" s="240">
        <v>0</v>
      </c>
      <c r="I1435" s="240">
        <v>0</v>
      </c>
    </row>
    <row r="1436" spans="1:9" s="213" customFormat="1">
      <c r="A1436" s="215"/>
      <c r="B1436" s="226" t="s">
        <v>30</v>
      </c>
      <c r="C1436" s="240">
        <f t="shared" si="318"/>
        <v>7</v>
      </c>
      <c r="D1436" s="240">
        <v>0</v>
      </c>
      <c r="E1436" s="240">
        <v>7</v>
      </c>
      <c r="F1436" s="240">
        <v>0</v>
      </c>
      <c r="G1436" s="240">
        <v>0</v>
      </c>
      <c r="H1436" s="240">
        <v>0</v>
      </c>
      <c r="I1436" s="240">
        <v>0</v>
      </c>
    </row>
    <row r="1437" spans="1:9" s="213" customFormat="1" ht="14.1">
      <c r="A1437" s="406" t="s">
        <v>577</v>
      </c>
      <c r="B1437" s="237" t="s">
        <v>29</v>
      </c>
      <c r="C1437" s="240">
        <f t="shared" si="318"/>
        <v>12</v>
      </c>
      <c r="D1437" s="240">
        <v>0</v>
      </c>
      <c r="E1437" s="240">
        <v>12</v>
      </c>
      <c r="F1437" s="240">
        <v>0</v>
      </c>
      <c r="G1437" s="240">
        <v>0</v>
      </c>
      <c r="H1437" s="240">
        <v>0</v>
      </c>
      <c r="I1437" s="240">
        <v>0</v>
      </c>
    </row>
    <row r="1438" spans="1:9" s="213" customFormat="1">
      <c r="A1438" s="215"/>
      <c r="B1438" s="226" t="s">
        <v>30</v>
      </c>
      <c r="C1438" s="240">
        <f t="shared" si="318"/>
        <v>12</v>
      </c>
      <c r="D1438" s="240">
        <v>0</v>
      </c>
      <c r="E1438" s="240">
        <v>12</v>
      </c>
      <c r="F1438" s="240">
        <v>0</v>
      </c>
      <c r="G1438" s="240">
        <v>0</v>
      </c>
      <c r="H1438" s="240">
        <v>0</v>
      </c>
      <c r="I1438" s="240">
        <v>0</v>
      </c>
    </row>
    <row r="1439" spans="1:9" s="213" customFormat="1" ht="14.1">
      <c r="A1439" s="441" t="s">
        <v>578</v>
      </c>
      <c r="B1439" s="237" t="s">
        <v>29</v>
      </c>
      <c r="C1439" s="240">
        <f t="shared" si="318"/>
        <v>14</v>
      </c>
      <c r="D1439" s="240">
        <v>0</v>
      </c>
      <c r="E1439" s="240">
        <v>14</v>
      </c>
      <c r="F1439" s="240">
        <v>0</v>
      </c>
      <c r="G1439" s="240">
        <v>0</v>
      </c>
      <c r="H1439" s="240">
        <v>0</v>
      </c>
      <c r="I1439" s="240">
        <v>0</v>
      </c>
    </row>
    <row r="1440" spans="1:9" s="209" customFormat="1">
      <c r="A1440" s="12"/>
      <c r="B1440" s="62" t="s">
        <v>30</v>
      </c>
      <c r="C1440" s="78">
        <f t="shared" si="318"/>
        <v>14</v>
      </c>
      <c r="D1440" s="64">
        <v>0</v>
      </c>
      <c r="E1440" s="64">
        <v>14</v>
      </c>
      <c r="F1440" s="64">
        <v>0</v>
      </c>
      <c r="G1440" s="64">
        <v>0</v>
      </c>
      <c r="H1440" s="64">
        <v>0</v>
      </c>
      <c r="I1440" s="64">
        <v>0</v>
      </c>
    </row>
    <row r="1441" spans="1:9" s="126" customFormat="1" ht="16.5" customHeight="1">
      <c r="A1441" s="13" t="s">
        <v>42</v>
      </c>
      <c r="B1441" s="124" t="s">
        <v>29</v>
      </c>
      <c r="C1441" s="125">
        <f t="shared" si="318"/>
        <v>5.85</v>
      </c>
      <c r="D1441" s="125">
        <f>D1443+D1447</f>
        <v>5.85</v>
      </c>
      <c r="E1441" s="125">
        <f t="shared" ref="E1441:I1442" si="321">E1443+E1447</f>
        <v>0</v>
      </c>
      <c r="F1441" s="125">
        <f t="shared" si="321"/>
        <v>0</v>
      </c>
      <c r="G1441" s="125">
        <f t="shared" si="321"/>
        <v>0</v>
      </c>
      <c r="H1441" s="125">
        <f t="shared" si="321"/>
        <v>0</v>
      </c>
      <c r="I1441" s="125">
        <f t="shared" si="321"/>
        <v>0</v>
      </c>
    </row>
    <row r="1442" spans="1:9" s="126" customFormat="1">
      <c r="A1442" s="134"/>
      <c r="B1442" s="127" t="s">
        <v>30</v>
      </c>
      <c r="C1442" s="125">
        <f t="shared" si="318"/>
        <v>5.85</v>
      </c>
      <c r="D1442" s="125">
        <f>D1444+D1448</f>
        <v>5.85</v>
      </c>
      <c r="E1442" s="125">
        <f t="shared" si="321"/>
        <v>0</v>
      </c>
      <c r="F1442" s="125">
        <f t="shared" si="321"/>
        <v>0</v>
      </c>
      <c r="G1442" s="125">
        <f t="shared" si="321"/>
        <v>0</v>
      </c>
      <c r="H1442" s="125">
        <f t="shared" si="321"/>
        <v>0</v>
      </c>
      <c r="I1442" s="125">
        <f t="shared" si="321"/>
        <v>0</v>
      </c>
    </row>
    <row r="1443" spans="1:9" s="126" customFormat="1" ht="14.1">
      <c r="A1443" s="294" t="s">
        <v>579</v>
      </c>
      <c r="B1443" s="124" t="s">
        <v>29</v>
      </c>
      <c r="C1443" s="125">
        <f t="shared" si="318"/>
        <v>1.73</v>
      </c>
      <c r="D1443" s="125">
        <f>D1445</f>
        <v>1.73</v>
      </c>
      <c r="E1443" s="125">
        <f t="shared" ref="E1443:I1444" si="322">E1445</f>
        <v>0</v>
      </c>
      <c r="F1443" s="125">
        <f t="shared" si="322"/>
        <v>0</v>
      </c>
      <c r="G1443" s="125">
        <f t="shared" si="322"/>
        <v>0</v>
      </c>
      <c r="H1443" s="125">
        <f t="shared" si="322"/>
        <v>0</v>
      </c>
      <c r="I1443" s="125">
        <f t="shared" si="322"/>
        <v>0</v>
      </c>
    </row>
    <row r="1444" spans="1:9" s="126" customFormat="1">
      <c r="A1444" s="134"/>
      <c r="B1444" s="127" t="s">
        <v>30</v>
      </c>
      <c r="C1444" s="125">
        <f t="shared" si="318"/>
        <v>1.73</v>
      </c>
      <c r="D1444" s="125">
        <f>D1446</f>
        <v>1.73</v>
      </c>
      <c r="E1444" s="125">
        <f t="shared" si="322"/>
        <v>0</v>
      </c>
      <c r="F1444" s="125">
        <f t="shared" si="322"/>
        <v>0</v>
      </c>
      <c r="G1444" s="125">
        <f t="shared" si="322"/>
        <v>0</v>
      </c>
      <c r="H1444" s="125">
        <f t="shared" si="322"/>
        <v>0</v>
      </c>
      <c r="I1444" s="125">
        <f t="shared" si="322"/>
        <v>0</v>
      </c>
    </row>
    <row r="1445" spans="1:9" s="213" customFormat="1" ht="14.1">
      <c r="A1445" s="441" t="s">
        <v>580</v>
      </c>
      <c r="B1445" s="237" t="s">
        <v>29</v>
      </c>
      <c r="C1445" s="240">
        <f t="shared" si="318"/>
        <v>1.73</v>
      </c>
      <c r="D1445" s="240">
        <v>1.73</v>
      </c>
      <c r="E1445" s="240">
        <v>0</v>
      </c>
      <c r="F1445" s="240">
        <v>0</v>
      </c>
      <c r="G1445" s="240">
        <v>0</v>
      </c>
      <c r="H1445" s="240">
        <v>0</v>
      </c>
      <c r="I1445" s="240">
        <v>0</v>
      </c>
    </row>
    <row r="1446" spans="1:9" s="213" customFormat="1">
      <c r="A1446" s="215"/>
      <c r="B1446" s="226" t="s">
        <v>30</v>
      </c>
      <c r="C1446" s="240">
        <f t="shared" si="318"/>
        <v>1.73</v>
      </c>
      <c r="D1446" s="240">
        <v>1.73</v>
      </c>
      <c r="E1446" s="240">
        <v>0</v>
      </c>
      <c r="F1446" s="240">
        <v>0</v>
      </c>
      <c r="G1446" s="240">
        <v>0</v>
      </c>
      <c r="H1446" s="240">
        <v>0</v>
      </c>
      <c r="I1446" s="240">
        <v>0</v>
      </c>
    </row>
    <row r="1447" spans="1:9" s="247" customFormat="1" ht="14.1">
      <c r="A1447" s="294" t="s">
        <v>581</v>
      </c>
      <c r="B1447" s="365" t="s">
        <v>29</v>
      </c>
      <c r="C1447" s="291">
        <f t="shared" si="318"/>
        <v>4.12</v>
      </c>
      <c r="D1447" s="291">
        <f>D1449+D1451</f>
        <v>4.12</v>
      </c>
      <c r="E1447" s="291">
        <f t="shared" ref="E1447:I1448" si="323">E1449+E1451</f>
        <v>0</v>
      </c>
      <c r="F1447" s="291">
        <f t="shared" si="323"/>
        <v>0</v>
      </c>
      <c r="G1447" s="291">
        <f t="shared" si="323"/>
        <v>0</v>
      </c>
      <c r="H1447" s="291">
        <f t="shared" si="323"/>
        <v>0</v>
      </c>
      <c r="I1447" s="291">
        <f t="shared" si="323"/>
        <v>0</v>
      </c>
    </row>
    <row r="1448" spans="1:9" s="247" customFormat="1">
      <c r="A1448" s="313"/>
      <c r="B1448" s="289" t="s">
        <v>30</v>
      </c>
      <c r="C1448" s="291">
        <f t="shared" si="318"/>
        <v>4.12</v>
      </c>
      <c r="D1448" s="291">
        <f>D1450+D1452</f>
        <v>4.12</v>
      </c>
      <c r="E1448" s="291">
        <f t="shared" si="323"/>
        <v>0</v>
      </c>
      <c r="F1448" s="291">
        <f t="shared" si="323"/>
        <v>0</v>
      </c>
      <c r="G1448" s="291">
        <f t="shared" si="323"/>
        <v>0</v>
      </c>
      <c r="H1448" s="291">
        <f t="shared" si="323"/>
        <v>0</v>
      </c>
      <c r="I1448" s="291">
        <f t="shared" si="323"/>
        <v>0</v>
      </c>
    </row>
    <row r="1449" spans="1:9" s="213" customFormat="1" ht="14.1">
      <c r="A1449" s="441" t="s">
        <v>580</v>
      </c>
      <c r="B1449" s="237" t="s">
        <v>29</v>
      </c>
      <c r="C1449" s="240">
        <f t="shared" si="318"/>
        <v>2.39</v>
      </c>
      <c r="D1449" s="240">
        <v>2.39</v>
      </c>
      <c r="E1449" s="240">
        <v>0</v>
      </c>
      <c r="F1449" s="240">
        <v>0</v>
      </c>
      <c r="G1449" s="240">
        <v>0</v>
      </c>
      <c r="H1449" s="240">
        <v>0</v>
      </c>
      <c r="I1449" s="240">
        <v>0</v>
      </c>
    </row>
    <row r="1450" spans="1:9" s="213" customFormat="1">
      <c r="A1450" s="215"/>
      <c r="B1450" s="226" t="s">
        <v>30</v>
      </c>
      <c r="C1450" s="240">
        <f t="shared" si="318"/>
        <v>2.39</v>
      </c>
      <c r="D1450" s="240">
        <v>2.39</v>
      </c>
      <c r="E1450" s="240">
        <v>0</v>
      </c>
      <c r="F1450" s="240">
        <v>0</v>
      </c>
      <c r="G1450" s="240">
        <v>0</v>
      </c>
      <c r="H1450" s="240">
        <v>0</v>
      </c>
      <c r="I1450" s="240">
        <v>0</v>
      </c>
    </row>
    <row r="1451" spans="1:9" s="213" customFormat="1" ht="14.1">
      <c r="A1451" s="441" t="s">
        <v>582</v>
      </c>
      <c r="B1451" s="237" t="s">
        <v>29</v>
      </c>
      <c r="C1451" s="240">
        <f t="shared" si="318"/>
        <v>1.73</v>
      </c>
      <c r="D1451" s="240">
        <v>1.73</v>
      </c>
      <c r="E1451" s="240">
        <v>0</v>
      </c>
      <c r="F1451" s="240">
        <v>0</v>
      </c>
      <c r="G1451" s="240">
        <v>0</v>
      </c>
      <c r="H1451" s="240">
        <v>0</v>
      </c>
      <c r="I1451" s="240">
        <v>0</v>
      </c>
    </row>
    <row r="1452" spans="1:9" s="209" customFormat="1">
      <c r="A1452" s="12"/>
      <c r="B1452" s="62" t="s">
        <v>30</v>
      </c>
      <c r="C1452" s="78">
        <f t="shared" si="318"/>
        <v>1.73</v>
      </c>
      <c r="D1452" s="64">
        <v>1.73</v>
      </c>
      <c r="E1452" s="64">
        <v>0</v>
      </c>
      <c r="F1452" s="64">
        <v>0</v>
      </c>
      <c r="G1452" s="64">
        <v>0</v>
      </c>
      <c r="H1452" s="64">
        <v>0</v>
      </c>
      <c r="I1452" s="64">
        <v>0</v>
      </c>
    </row>
    <row r="1453" spans="1:9">
      <c r="A1453" s="662" t="s">
        <v>583</v>
      </c>
      <c r="B1453" s="645"/>
      <c r="C1453" s="645"/>
      <c r="D1453" s="645"/>
      <c r="E1453" s="645"/>
      <c r="F1453" s="645"/>
      <c r="G1453" s="645"/>
      <c r="H1453" s="645"/>
      <c r="I1453" s="646"/>
    </row>
    <row r="1454" spans="1:9">
      <c r="A1454" s="31" t="s">
        <v>54</v>
      </c>
      <c r="B1454" s="160" t="s">
        <v>29</v>
      </c>
      <c r="C1454" s="84">
        <f t="shared" ref="C1454:C1465" si="324">D1454+E1454+F1454+G1454+H1454+I1454</f>
        <v>410.19</v>
      </c>
      <c r="D1454" s="72">
        <f t="shared" ref="D1454:I1463" si="325">D1456</f>
        <v>410.19</v>
      </c>
      <c r="E1454" s="72">
        <f t="shared" si="325"/>
        <v>0</v>
      </c>
      <c r="F1454" s="72">
        <f t="shared" si="325"/>
        <v>0</v>
      </c>
      <c r="G1454" s="72">
        <f t="shared" si="325"/>
        <v>0</v>
      </c>
      <c r="H1454" s="72">
        <f t="shared" si="325"/>
        <v>0</v>
      </c>
      <c r="I1454" s="72">
        <f t="shared" si="325"/>
        <v>0</v>
      </c>
    </row>
    <row r="1455" spans="1:9">
      <c r="A1455" s="21" t="s">
        <v>87</v>
      </c>
      <c r="B1455" s="4" t="s">
        <v>30</v>
      </c>
      <c r="C1455" s="84">
        <f t="shared" si="324"/>
        <v>410.19</v>
      </c>
      <c r="D1455" s="72">
        <f t="shared" si="325"/>
        <v>410.19</v>
      </c>
      <c r="E1455" s="72">
        <f t="shared" si="325"/>
        <v>0</v>
      </c>
      <c r="F1455" s="72">
        <f t="shared" si="325"/>
        <v>0</v>
      </c>
      <c r="G1455" s="72">
        <f t="shared" si="325"/>
        <v>0</v>
      </c>
      <c r="H1455" s="72">
        <f t="shared" si="325"/>
        <v>0</v>
      </c>
      <c r="I1455" s="72">
        <f t="shared" si="325"/>
        <v>0</v>
      </c>
    </row>
    <row r="1456" spans="1:9">
      <c r="A1456" s="58" t="s">
        <v>123</v>
      </c>
      <c r="B1456" s="24" t="s">
        <v>29</v>
      </c>
      <c r="C1456" s="84">
        <f t="shared" si="324"/>
        <v>410.19</v>
      </c>
      <c r="D1456" s="72">
        <f t="shared" si="325"/>
        <v>410.19</v>
      </c>
      <c r="E1456" s="72">
        <f t="shared" si="325"/>
        <v>0</v>
      </c>
      <c r="F1456" s="72">
        <f t="shared" si="325"/>
        <v>0</v>
      </c>
      <c r="G1456" s="72">
        <f t="shared" si="325"/>
        <v>0</v>
      </c>
      <c r="H1456" s="72">
        <f t="shared" si="325"/>
        <v>0</v>
      </c>
      <c r="I1456" s="72">
        <f t="shared" si="325"/>
        <v>0</v>
      </c>
    </row>
    <row r="1457" spans="1:9">
      <c r="A1457" s="21" t="s">
        <v>124</v>
      </c>
      <c r="B1457" s="26" t="s">
        <v>30</v>
      </c>
      <c r="C1457" s="84">
        <f t="shared" si="324"/>
        <v>410.19</v>
      </c>
      <c r="D1457" s="72">
        <f t="shared" si="325"/>
        <v>410.19</v>
      </c>
      <c r="E1457" s="72">
        <f t="shared" si="325"/>
        <v>0</v>
      </c>
      <c r="F1457" s="72">
        <f t="shared" si="325"/>
        <v>0</v>
      </c>
      <c r="G1457" s="72">
        <f t="shared" si="325"/>
        <v>0</v>
      </c>
      <c r="H1457" s="72">
        <f t="shared" si="325"/>
        <v>0</v>
      </c>
      <c r="I1457" s="72">
        <f t="shared" si="325"/>
        <v>0</v>
      </c>
    </row>
    <row r="1458" spans="1:9" ht="12.95">
      <c r="A1458" s="19" t="s">
        <v>37</v>
      </c>
      <c r="B1458" s="3" t="s">
        <v>29</v>
      </c>
      <c r="C1458" s="84">
        <f t="shared" si="324"/>
        <v>410.19</v>
      </c>
      <c r="D1458" s="72">
        <f t="shared" si="325"/>
        <v>410.19</v>
      </c>
      <c r="E1458" s="72">
        <f t="shared" si="325"/>
        <v>0</v>
      </c>
      <c r="F1458" s="72">
        <f t="shared" si="325"/>
        <v>0</v>
      </c>
      <c r="G1458" s="72">
        <f t="shared" si="325"/>
        <v>0</v>
      </c>
      <c r="H1458" s="72">
        <f t="shared" si="325"/>
        <v>0</v>
      </c>
      <c r="I1458" s="72">
        <f t="shared" si="325"/>
        <v>0</v>
      </c>
    </row>
    <row r="1459" spans="1:9" ht="12.95">
      <c r="A1459" s="16"/>
      <c r="B1459" s="4" t="s">
        <v>30</v>
      </c>
      <c r="C1459" s="84">
        <f t="shared" si="324"/>
        <v>410.19</v>
      </c>
      <c r="D1459" s="72">
        <f t="shared" si="325"/>
        <v>410.19</v>
      </c>
      <c r="E1459" s="72">
        <f t="shared" si="325"/>
        <v>0</v>
      </c>
      <c r="F1459" s="72">
        <f t="shared" si="325"/>
        <v>0</v>
      </c>
      <c r="G1459" s="72">
        <f t="shared" si="325"/>
        <v>0</v>
      </c>
      <c r="H1459" s="72">
        <f t="shared" si="325"/>
        <v>0</v>
      </c>
      <c r="I1459" s="72">
        <f t="shared" si="325"/>
        <v>0</v>
      </c>
    </row>
    <row r="1460" spans="1:9">
      <c r="A1460" s="28" t="s">
        <v>50</v>
      </c>
      <c r="B1460" s="25" t="s">
        <v>29</v>
      </c>
      <c r="C1460" s="84">
        <f t="shared" si="324"/>
        <v>410.19</v>
      </c>
      <c r="D1460" s="72">
        <f t="shared" si="325"/>
        <v>410.19</v>
      </c>
      <c r="E1460" s="72">
        <f t="shared" si="325"/>
        <v>0</v>
      </c>
      <c r="F1460" s="72">
        <f t="shared" si="325"/>
        <v>0</v>
      </c>
      <c r="G1460" s="72">
        <f t="shared" si="325"/>
        <v>0</v>
      </c>
      <c r="H1460" s="72">
        <f t="shared" si="325"/>
        <v>0</v>
      </c>
      <c r="I1460" s="72">
        <f t="shared" si="325"/>
        <v>0</v>
      </c>
    </row>
    <row r="1461" spans="1:9">
      <c r="A1461" s="10"/>
      <c r="B1461" s="33" t="s">
        <v>30</v>
      </c>
      <c r="C1461" s="84">
        <f t="shared" si="324"/>
        <v>410.19</v>
      </c>
      <c r="D1461" s="72">
        <f t="shared" si="325"/>
        <v>410.19</v>
      </c>
      <c r="E1461" s="72">
        <f t="shared" si="325"/>
        <v>0</v>
      </c>
      <c r="F1461" s="72">
        <f t="shared" si="325"/>
        <v>0</v>
      </c>
      <c r="G1461" s="72">
        <f t="shared" si="325"/>
        <v>0</v>
      </c>
      <c r="H1461" s="72">
        <f t="shared" si="325"/>
        <v>0</v>
      </c>
      <c r="I1461" s="72">
        <f t="shared" si="325"/>
        <v>0</v>
      </c>
    </row>
    <row r="1462" spans="1:9" s="95" customFormat="1">
      <c r="A1462" s="96" t="s">
        <v>40</v>
      </c>
      <c r="B1462" s="129" t="s">
        <v>29</v>
      </c>
      <c r="C1462" s="84">
        <f t="shared" si="324"/>
        <v>410.19</v>
      </c>
      <c r="D1462" s="190">
        <f>D1464</f>
        <v>410.19</v>
      </c>
      <c r="E1462" s="190">
        <f t="shared" si="325"/>
        <v>0</v>
      </c>
      <c r="F1462" s="190">
        <f t="shared" si="325"/>
        <v>0</v>
      </c>
      <c r="G1462" s="190">
        <f t="shared" si="325"/>
        <v>0</v>
      </c>
      <c r="H1462" s="190">
        <f t="shared" si="325"/>
        <v>0</v>
      </c>
      <c r="I1462" s="190">
        <f t="shared" si="325"/>
        <v>0</v>
      </c>
    </row>
    <row r="1463" spans="1:9" s="95" customFormat="1">
      <c r="A1463" s="131"/>
      <c r="B1463" s="132" t="s">
        <v>30</v>
      </c>
      <c r="C1463" s="84">
        <f t="shared" si="324"/>
        <v>410.19</v>
      </c>
      <c r="D1463" s="190">
        <f>D1465</f>
        <v>410.19</v>
      </c>
      <c r="E1463" s="190">
        <f t="shared" si="325"/>
        <v>0</v>
      </c>
      <c r="F1463" s="190">
        <f t="shared" si="325"/>
        <v>0</v>
      </c>
      <c r="G1463" s="190">
        <f t="shared" si="325"/>
        <v>0</v>
      </c>
      <c r="H1463" s="190">
        <f t="shared" si="325"/>
        <v>0</v>
      </c>
      <c r="I1463" s="190">
        <f t="shared" si="325"/>
        <v>0</v>
      </c>
    </row>
    <row r="1464" spans="1:9" s="213" customFormat="1">
      <c r="A1464" s="528" t="s">
        <v>584</v>
      </c>
      <c r="B1464" s="228" t="s">
        <v>29</v>
      </c>
      <c r="C1464" s="240">
        <f t="shared" si="324"/>
        <v>410.19</v>
      </c>
      <c r="D1464" s="78">
        <v>410.19</v>
      </c>
      <c r="E1464" s="64">
        <v>0</v>
      </c>
      <c r="F1464" s="240">
        <v>0</v>
      </c>
      <c r="G1464" s="240">
        <v>0</v>
      </c>
      <c r="H1464" s="240">
        <v>0</v>
      </c>
      <c r="I1464" s="240">
        <v>0</v>
      </c>
    </row>
    <row r="1465" spans="1:9" s="102" customFormat="1">
      <c r="A1465" s="88"/>
      <c r="B1465" s="107" t="s">
        <v>30</v>
      </c>
      <c r="C1465" s="84">
        <f t="shared" si="324"/>
        <v>410.19</v>
      </c>
      <c r="D1465" s="84">
        <v>410.19</v>
      </c>
      <c r="E1465" s="72">
        <v>0</v>
      </c>
      <c r="F1465" s="84">
        <v>0</v>
      </c>
      <c r="G1465" s="84">
        <v>0</v>
      </c>
      <c r="H1465" s="84">
        <v>0</v>
      </c>
      <c r="I1465" s="84">
        <v>0</v>
      </c>
    </row>
    <row r="1466" spans="1:9">
      <c r="A1466" s="635" t="s">
        <v>585</v>
      </c>
      <c r="B1466" s="636"/>
      <c r="C1466" s="636"/>
      <c r="D1466" s="636"/>
      <c r="E1466" s="636"/>
      <c r="F1466" s="636"/>
      <c r="G1466" s="636"/>
      <c r="H1466" s="636"/>
      <c r="I1466" s="637"/>
    </row>
    <row r="1467" spans="1:9">
      <c r="A1467" s="577" t="s">
        <v>54</v>
      </c>
      <c r="B1467" s="578"/>
      <c r="C1467" s="578"/>
      <c r="D1467" s="578"/>
      <c r="E1467" s="578"/>
      <c r="F1467" s="578"/>
      <c r="G1467" s="578"/>
      <c r="H1467" s="578"/>
      <c r="I1467" s="579"/>
    </row>
    <row r="1468" spans="1:9">
      <c r="A1468" s="7" t="s">
        <v>28</v>
      </c>
      <c r="B1468" s="3" t="s">
        <v>29</v>
      </c>
      <c r="C1468" s="52">
        <f t="shared" ref="C1468:C1487" si="326">D1468+E1468+F1468+G1468+H1468+I1468</f>
        <v>27601.237000000001</v>
      </c>
      <c r="D1468" s="52">
        <f t="shared" ref="D1468:I1469" si="327">D1470+D1480</f>
        <v>13480.767</v>
      </c>
      <c r="E1468" s="52">
        <f t="shared" si="327"/>
        <v>7775</v>
      </c>
      <c r="F1468" s="52">
        <f t="shared" si="327"/>
        <v>0</v>
      </c>
      <c r="G1468" s="52">
        <f t="shared" si="327"/>
        <v>0</v>
      </c>
      <c r="H1468" s="52">
        <f t="shared" si="327"/>
        <v>0</v>
      </c>
      <c r="I1468" s="52">
        <f t="shared" si="327"/>
        <v>6345.4699999999993</v>
      </c>
    </row>
    <row r="1469" spans="1:9" ht="12.95" thickBot="1">
      <c r="A1469" s="8"/>
      <c r="B1469" s="9" t="s">
        <v>30</v>
      </c>
      <c r="C1469" s="52">
        <f t="shared" si="326"/>
        <v>27601.237000000001</v>
      </c>
      <c r="D1469" s="52">
        <f t="shared" si="327"/>
        <v>13480.767</v>
      </c>
      <c r="E1469" s="64">
        <f t="shared" si="327"/>
        <v>7775</v>
      </c>
      <c r="F1469" s="52">
        <f t="shared" si="327"/>
        <v>0</v>
      </c>
      <c r="G1469" s="52">
        <f t="shared" si="327"/>
        <v>0</v>
      </c>
      <c r="H1469" s="52">
        <f t="shared" si="327"/>
        <v>0</v>
      </c>
      <c r="I1469" s="52">
        <f t="shared" si="327"/>
        <v>6345.4699999999993</v>
      </c>
    </row>
    <row r="1470" spans="1:9">
      <c r="A1470" s="14" t="s">
        <v>31</v>
      </c>
      <c r="B1470" s="3" t="s">
        <v>29</v>
      </c>
      <c r="C1470" s="52">
        <f t="shared" si="326"/>
        <v>15989.63</v>
      </c>
      <c r="D1470" s="52">
        <f>D1472+D1474</f>
        <v>8024.7199999999993</v>
      </c>
      <c r="E1470" s="52">
        <f t="shared" ref="E1470:I1471" si="328">E1472+E1474</f>
        <v>6780</v>
      </c>
      <c r="F1470" s="52">
        <f t="shared" si="328"/>
        <v>0</v>
      </c>
      <c r="G1470" s="52">
        <f t="shared" si="328"/>
        <v>0</v>
      </c>
      <c r="H1470" s="52">
        <f t="shared" si="328"/>
        <v>0</v>
      </c>
      <c r="I1470" s="52">
        <f t="shared" si="328"/>
        <v>1184.9100000000001</v>
      </c>
    </row>
    <row r="1471" spans="1:9">
      <c r="A1471" s="10" t="s">
        <v>32</v>
      </c>
      <c r="B1471" s="4" t="s">
        <v>30</v>
      </c>
      <c r="C1471" s="52">
        <f t="shared" si="326"/>
        <v>15989.63</v>
      </c>
      <c r="D1471" s="52">
        <f>D1473+D1475</f>
        <v>8024.7199999999993</v>
      </c>
      <c r="E1471" s="52">
        <f t="shared" si="328"/>
        <v>6780</v>
      </c>
      <c r="F1471" s="52">
        <f t="shared" si="328"/>
        <v>0</v>
      </c>
      <c r="G1471" s="52">
        <f t="shared" si="328"/>
        <v>0</v>
      </c>
      <c r="H1471" s="52">
        <f t="shared" si="328"/>
        <v>0</v>
      </c>
      <c r="I1471" s="52">
        <f t="shared" si="328"/>
        <v>1184.9100000000001</v>
      </c>
    </row>
    <row r="1472" spans="1:9" ht="25.7">
      <c r="A1472" s="181" t="s">
        <v>103</v>
      </c>
      <c r="B1472" s="63" t="s">
        <v>29</v>
      </c>
      <c r="C1472" s="52">
        <f>D1472+E1472+F1472+G1472+H1472+I1472</f>
        <v>2509</v>
      </c>
      <c r="D1472" s="52">
        <f>D1969</f>
        <v>2509</v>
      </c>
      <c r="E1472" s="52">
        <f t="shared" ref="E1472:I1473" si="329">E1969</f>
        <v>0</v>
      </c>
      <c r="F1472" s="52">
        <f t="shared" si="329"/>
        <v>0</v>
      </c>
      <c r="G1472" s="52">
        <f t="shared" si="329"/>
        <v>0</v>
      </c>
      <c r="H1472" s="52">
        <f t="shared" si="329"/>
        <v>0</v>
      </c>
      <c r="I1472" s="52">
        <f t="shared" si="329"/>
        <v>0</v>
      </c>
    </row>
    <row r="1473" spans="1:9" ht="12.95">
      <c r="A1473" s="16"/>
      <c r="B1473" s="62" t="s">
        <v>30</v>
      </c>
      <c r="C1473" s="52">
        <f>D1473+E1473+F1473+G1473+H1473+I1473</f>
        <v>2509</v>
      </c>
      <c r="D1473" s="52">
        <f>D1970</f>
        <v>2509</v>
      </c>
      <c r="E1473" s="52">
        <f t="shared" si="329"/>
        <v>0</v>
      </c>
      <c r="F1473" s="52">
        <f t="shared" si="329"/>
        <v>0</v>
      </c>
      <c r="G1473" s="52">
        <f t="shared" si="329"/>
        <v>0</v>
      </c>
      <c r="H1473" s="52">
        <f t="shared" si="329"/>
        <v>0</v>
      </c>
      <c r="I1473" s="52">
        <f t="shared" si="329"/>
        <v>0</v>
      </c>
    </row>
    <row r="1474" spans="1:9" ht="12.95">
      <c r="A1474" s="19" t="s">
        <v>37</v>
      </c>
      <c r="B1474" s="3" t="s">
        <v>29</v>
      </c>
      <c r="C1474" s="52">
        <f t="shared" si="326"/>
        <v>13480.63</v>
      </c>
      <c r="D1474" s="52">
        <f>D1476</f>
        <v>5515.7199999999993</v>
      </c>
      <c r="E1474" s="52">
        <f t="shared" ref="E1474:I1477" si="330">E1476</f>
        <v>6780</v>
      </c>
      <c r="F1474" s="52">
        <f t="shared" si="330"/>
        <v>0</v>
      </c>
      <c r="G1474" s="52">
        <f t="shared" si="330"/>
        <v>0</v>
      </c>
      <c r="H1474" s="52">
        <f t="shared" si="330"/>
        <v>0</v>
      </c>
      <c r="I1474" s="52">
        <f t="shared" si="330"/>
        <v>1184.9100000000001</v>
      </c>
    </row>
    <row r="1475" spans="1:9" ht="12.95">
      <c r="A1475" s="16"/>
      <c r="B1475" s="4" t="s">
        <v>30</v>
      </c>
      <c r="C1475" s="52">
        <f t="shared" si="326"/>
        <v>13480.63</v>
      </c>
      <c r="D1475" s="52">
        <f>D1477</f>
        <v>5515.7199999999993</v>
      </c>
      <c r="E1475" s="52">
        <f>E1477</f>
        <v>6780</v>
      </c>
      <c r="F1475" s="52">
        <f t="shared" si="330"/>
        <v>0</v>
      </c>
      <c r="G1475" s="52">
        <f t="shared" si="330"/>
        <v>0</v>
      </c>
      <c r="H1475" s="52">
        <f t="shared" si="330"/>
        <v>0</v>
      </c>
      <c r="I1475" s="52">
        <f t="shared" si="330"/>
        <v>1184.9100000000001</v>
      </c>
    </row>
    <row r="1476" spans="1:9" ht="12.95">
      <c r="A1476" s="18" t="s">
        <v>38</v>
      </c>
      <c r="B1476" s="3" t="s">
        <v>29</v>
      </c>
      <c r="C1476" s="52">
        <f t="shared" si="326"/>
        <v>13480.63</v>
      </c>
      <c r="D1476" s="52">
        <f>D1478</f>
        <v>5515.7199999999993</v>
      </c>
      <c r="E1476" s="52">
        <f>E1478</f>
        <v>6780</v>
      </c>
      <c r="F1476" s="52">
        <f t="shared" si="330"/>
        <v>0</v>
      </c>
      <c r="G1476" s="52">
        <f t="shared" si="330"/>
        <v>0</v>
      </c>
      <c r="H1476" s="52">
        <f t="shared" si="330"/>
        <v>0</v>
      </c>
      <c r="I1476" s="52">
        <f t="shared" si="330"/>
        <v>1184.9100000000001</v>
      </c>
    </row>
    <row r="1477" spans="1:9">
      <c r="A1477" s="10"/>
      <c r="B1477" s="4" t="s">
        <v>30</v>
      </c>
      <c r="C1477" s="52">
        <f t="shared" si="326"/>
        <v>13480.63</v>
      </c>
      <c r="D1477" s="52">
        <f>D1479</f>
        <v>5515.7199999999993</v>
      </c>
      <c r="E1477" s="52">
        <f>E1479</f>
        <v>6780</v>
      </c>
      <c r="F1477" s="52">
        <f t="shared" si="330"/>
        <v>0</v>
      </c>
      <c r="G1477" s="52">
        <f t="shared" si="330"/>
        <v>0</v>
      </c>
      <c r="H1477" s="52">
        <f t="shared" si="330"/>
        <v>0</v>
      </c>
      <c r="I1477" s="52">
        <f t="shared" si="330"/>
        <v>1184.9100000000001</v>
      </c>
    </row>
    <row r="1478" spans="1:9">
      <c r="A1478" s="11" t="s">
        <v>42</v>
      </c>
      <c r="B1478" s="3" t="s">
        <v>29</v>
      </c>
      <c r="C1478" s="52">
        <f t="shared" si="326"/>
        <v>13480.63</v>
      </c>
      <c r="D1478" s="52">
        <f t="shared" ref="D1478:I1479" si="331">D1977+D1568+D1497+D1589+D1749+D1832</f>
        <v>5515.7199999999993</v>
      </c>
      <c r="E1478" s="52">
        <f t="shared" si="331"/>
        <v>6780</v>
      </c>
      <c r="F1478" s="52">
        <f t="shared" si="331"/>
        <v>0</v>
      </c>
      <c r="G1478" s="52">
        <f t="shared" si="331"/>
        <v>0</v>
      </c>
      <c r="H1478" s="52">
        <f t="shared" si="331"/>
        <v>0</v>
      </c>
      <c r="I1478" s="52">
        <f t="shared" si="331"/>
        <v>1184.9100000000001</v>
      </c>
    </row>
    <row r="1479" spans="1:9">
      <c r="A1479" s="10"/>
      <c r="B1479" s="4" t="s">
        <v>30</v>
      </c>
      <c r="C1479" s="52">
        <f t="shared" si="326"/>
        <v>13480.63</v>
      </c>
      <c r="D1479" s="52">
        <f t="shared" si="331"/>
        <v>5515.7199999999993</v>
      </c>
      <c r="E1479" s="52">
        <f t="shared" si="331"/>
        <v>6780</v>
      </c>
      <c r="F1479" s="52">
        <f t="shared" si="331"/>
        <v>0</v>
      </c>
      <c r="G1479" s="52">
        <f t="shared" si="331"/>
        <v>0</v>
      </c>
      <c r="H1479" s="52">
        <f t="shared" si="331"/>
        <v>0</v>
      </c>
      <c r="I1479" s="52">
        <f t="shared" si="331"/>
        <v>1184.9100000000001</v>
      </c>
    </row>
    <row r="1480" spans="1:9">
      <c r="A1480" s="76" t="s">
        <v>47</v>
      </c>
      <c r="B1480" s="42" t="s">
        <v>29</v>
      </c>
      <c r="C1480" s="130">
        <f t="shared" si="326"/>
        <v>11611.607</v>
      </c>
      <c r="D1480" s="130">
        <f t="shared" ref="D1480:I1485" si="332">D1482</f>
        <v>5456.0469999999996</v>
      </c>
      <c r="E1480" s="130">
        <f t="shared" si="332"/>
        <v>995</v>
      </c>
      <c r="F1480" s="130">
        <f t="shared" si="332"/>
        <v>0</v>
      </c>
      <c r="G1480" s="130">
        <f t="shared" si="332"/>
        <v>0</v>
      </c>
      <c r="H1480" s="130">
        <f t="shared" si="332"/>
        <v>0</v>
      </c>
      <c r="I1480" s="130">
        <f t="shared" si="332"/>
        <v>5160.5599999999995</v>
      </c>
    </row>
    <row r="1481" spans="1:9">
      <c r="A1481" s="38" t="s">
        <v>48</v>
      </c>
      <c r="B1481" s="41" t="s">
        <v>30</v>
      </c>
      <c r="C1481" s="130">
        <f t="shared" si="326"/>
        <v>11611.607</v>
      </c>
      <c r="D1481" s="130">
        <f t="shared" si="332"/>
        <v>5456.0469999999996</v>
      </c>
      <c r="E1481" s="130">
        <f t="shared" si="332"/>
        <v>995</v>
      </c>
      <c r="F1481" s="130">
        <f t="shared" si="332"/>
        <v>0</v>
      </c>
      <c r="G1481" s="130">
        <f t="shared" si="332"/>
        <v>0</v>
      </c>
      <c r="H1481" s="130">
        <f t="shared" si="332"/>
        <v>0</v>
      </c>
      <c r="I1481" s="130">
        <f t="shared" si="332"/>
        <v>5160.5599999999995</v>
      </c>
    </row>
    <row r="1482" spans="1:9" ht="12.95">
      <c r="A1482" s="19" t="s">
        <v>37</v>
      </c>
      <c r="B1482" s="3" t="s">
        <v>29</v>
      </c>
      <c r="C1482" s="52">
        <f t="shared" si="326"/>
        <v>11611.607</v>
      </c>
      <c r="D1482" s="52">
        <f t="shared" si="332"/>
        <v>5456.0469999999996</v>
      </c>
      <c r="E1482" s="52">
        <f t="shared" si="332"/>
        <v>995</v>
      </c>
      <c r="F1482" s="52">
        <f t="shared" si="332"/>
        <v>0</v>
      </c>
      <c r="G1482" s="52">
        <f t="shared" si="332"/>
        <v>0</v>
      </c>
      <c r="H1482" s="52">
        <f t="shared" si="332"/>
        <v>0</v>
      </c>
      <c r="I1482" s="52">
        <f t="shared" si="332"/>
        <v>5160.5599999999995</v>
      </c>
    </row>
    <row r="1483" spans="1:9" ht="12.95">
      <c r="A1483" s="16"/>
      <c r="B1483" s="4" t="s">
        <v>30</v>
      </c>
      <c r="C1483" s="52">
        <f t="shared" si="326"/>
        <v>11611.607</v>
      </c>
      <c r="D1483" s="52">
        <f t="shared" si="332"/>
        <v>5456.0469999999996</v>
      </c>
      <c r="E1483" s="52">
        <f t="shared" si="332"/>
        <v>995</v>
      </c>
      <c r="F1483" s="52">
        <f t="shared" si="332"/>
        <v>0</v>
      </c>
      <c r="G1483" s="52">
        <f t="shared" si="332"/>
        <v>0</v>
      </c>
      <c r="H1483" s="52">
        <f t="shared" si="332"/>
        <v>0</v>
      </c>
      <c r="I1483" s="52">
        <f t="shared" si="332"/>
        <v>5160.5599999999995</v>
      </c>
    </row>
    <row r="1484" spans="1:9" ht="12.95">
      <c r="A1484" s="51" t="s">
        <v>38</v>
      </c>
      <c r="B1484" s="42" t="s">
        <v>29</v>
      </c>
      <c r="C1484" s="52">
        <f t="shared" si="326"/>
        <v>11611.607</v>
      </c>
      <c r="D1484" s="52">
        <f t="shared" si="332"/>
        <v>5456.0469999999996</v>
      </c>
      <c r="E1484" s="52">
        <f t="shared" si="332"/>
        <v>995</v>
      </c>
      <c r="F1484" s="52">
        <f t="shared" si="332"/>
        <v>0</v>
      </c>
      <c r="G1484" s="52">
        <f t="shared" si="332"/>
        <v>0</v>
      </c>
      <c r="H1484" s="52">
        <f t="shared" si="332"/>
        <v>0</v>
      </c>
      <c r="I1484" s="52">
        <f t="shared" si="332"/>
        <v>5160.5599999999995</v>
      </c>
    </row>
    <row r="1485" spans="1:9">
      <c r="A1485" s="39"/>
      <c r="B1485" s="41" t="s">
        <v>30</v>
      </c>
      <c r="C1485" s="52">
        <f t="shared" si="326"/>
        <v>11611.607</v>
      </c>
      <c r="D1485" s="52">
        <f t="shared" si="332"/>
        <v>5456.0469999999996</v>
      </c>
      <c r="E1485" s="52">
        <f>E1487</f>
        <v>995</v>
      </c>
      <c r="F1485" s="52">
        <f t="shared" si="332"/>
        <v>0</v>
      </c>
      <c r="G1485" s="52">
        <f t="shared" si="332"/>
        <v>0</v>
      </c>
      <c r="H1485" s="52">
        <f t="shared" si="332"/>
        <v>0</v>
      </c>
      <c r="I1485" s="52">
        <f t="shared" si="332"/>
        <v>5160.5599999999995</v>
      </c>
    </row>
    <row r="1486" spans="1:9">
      <c r="A1486" s="13" t="s">
        <v>42</v>
      </c>
      <c r="B1486" s="42" t="s">
        <v>29</v>
      </c>
      <c r="C1486" s="52">
        <f t="shared" si="326"/>
        <v>11611.607</v>
      </c>
      <c r="D1486" s="52">
        <f t="shared" ref="D1486:I1487" si="333">D1604+D1761+D1934</f>
        <v>5456.0469999999996</v>
      </c>
      <c r="E1486" s="52">
        <f t="shared" si="333"/>
        <v>995</v>
      </c>
      <c r="F1486" s="52">
        <f t="shared" si="333"/>
        <v>0</v>
      </c>
      <c r="G1486" s="52">
        <f t="shared" si="333"/>
        <v>0</v>
      </c>
      <c r="H1486" s="52">
        <f t="shared" si="333"/>
        <v>0</v>
      </c>
      <c r="I1486" s="52">
        <f t="shared" si="333"/>
        <v>5160.5599999999995</v>
      </c>
    </row>
    <row r="1487" spans="1:9">
      <c r="A1487" s="12"/>
      <c r="B1487" s="41" t="s">
        <v>30</v>
      </c>
      <c r="C1487" s="52">
        <f t="shared" si="326"/>
        <v>11611.607</v>
      </c>
      <c r="D1487" s="52">
        <f t="shared" si="333"/>
        <v>5456.0469999999996</v>
      </c>
      <c r="E1487" s="52">
        <f t="shared" si="333"/>
        <v>995</v>
      </c>
      <c r="F1487" s="52">
        <f t="shared" si="333"/>
        <v>0</v>
      </c>
      <c r="G1487" s="52">
        <f t="shared" si="333"/>
        <v>0</v>
      </c>
      <c r="H1487" s="52">
        <f t="shared" si="333"/>
        <v>0</v>
      </c>
      <c r="I1487" s="52">
        <f t="shared" si="333"/>
        <v>5160.5599999999995</v>
      </c>
    </row>
    <row r="1488" spans="1:9">
      <c r="A1488" s="632" t="s">
        <v>59</v>
      </c>
      <c r="B1488" s="633"/>
      <c r="C1488" s="633"/>
      <c r="D1488" s="633"/>
      <c r="E1488" s="633"/>
      <c r="F1488" s="633"/>
      <c r="G1488" s="633"/>
      <c r="H1488" s="633"/>
      <c r="I1488" s="670"/>
    </row>
    <row r="1489" spans="1:9" s="101" customFormat="1">
      <c r="A1489" s="110" t="s">
        <v>54</v>
      </c>
      <c r="B1489" s="163" t="s">
        <v>29</v>
      </c>
      <c r="C1489" s="83">
        <f t="shared" ref="C1489:C1502" si="334">D1489+E1489+F1489+G1489+H1489+I1489</f>
        <v>3940.64</v>
      </c>
      <c r="D1489" s="83">
        <f t="shared" ref="D1489:I1494" si="335">D1491</f>
        <v>1566.1799999999998</v>
      </c>
      <c r="E1489" s="83">
        <f t="shared" si="335"/>
        <v>2332</v>
      </c>
      <c r="F1489" s="83">
        <f t="shared" si="335"/>
        <v>0</v>
      </c>
      <c r="G1489" s="83">
        <f t="shared" si="335"/>
        <v>0</v>
      </c>
      <c r="H1489" s="83">
        <f t="shared" si="335"/>
        <v>0</v>
      </c>
      <c r="I1489" s="83">
        <f t="shared" si="335"/>
        <v>42.46</v>
      </c>
    </row>
    <row r="1490" spans="1:9" s="101" customFormat="1">
      <c r="A1490" s="108" t="s">
        <v>87</v>
      </c>
      <c r="B1490" s="164" t="s">
        <v>30</v>
      </c>
      <c r="C1490" s="83">
        <f t="shared" si="334"/>
        <v>3940.64</v>
      </c>
      <c r="D1490" s="83">
        <f t="shared" si="335"/>
        <v>1566.1799999999998</v>
      </c>
      <c r="E1490" s="78">
        <f t="shared" si="335"/>
        <v>2332</v>
      </c>
      <c r="F1490" s="83">
        <f t="shared" si="335"/>
        <v>0</v>
      </c>
      <c r="G1490" s="83">
        <f t="shared" si="335"/>
        <v>0</v>
      </c>
      <c r="H1490" s="83">
        <f t="shared" si="335"/>
        <v>0</v>
      </c>
      <c r="I1490" s="83">
        <f t="shared" si="335"/>
        <v>42.46</v>
      </c>
    </row>
    <row r="1491" spans="1:9" s="101" customFormat="1">
      <c r="A1491" s="121" t="s">
        <v>31</v>
      </c>
      <c r="B1491" s="90" t="s">
        <v>29</v>
      </c>
      <c r="C1491" s="83">
        <f t="shared" si="334"/>
        <v>3940.64</v>
      </c>
      <c r="D1491" s="83">
        <f>D1493</f>
        <v>1566.1799999999998</v>
      </c>
      <c r="E1491" s="83">
        <f t="shared" si="335"/>
        <v>2332</v>
      </c>
      <c r="F1491" s="83">
        <f t="shared" si="335"/>
        <v>0</v>
      </c>
      <c r="G1491" s="83">
        <f t="shared" si="335"/>
        <v>0</v>
      </c>
      <c r="H1491" s="83">
        <f t="shared" si="335"/>
        <v>0</v>
      </c>
      <c r="I1491" s="83">
        <f t="shared" si="335"/>
        <v>42.46</v>
      </c>
    </row>
    <row r="1492" spans="1:9" s="101" customFormat="1">
      <c r="A1492" s="103" t="s">
        <v>32</v>
      </c>
      <c r="B1492" s="164" t="s">
        <v>30</v>
      </c>
      <c r="C1492" s="83">
        <f t="shared" si="334"/>
        <v>3940.64</v>
      </c>
      <c r="D1492" s="83">
        <f>D1494</f>
        <v>1566.1799999999998</v>
      </c>
      <c r="E1492" s="83">
        <f t="shared" si="335"/>
        <v>2332</v>
      </c>
      <c r="F1492" s="83">
        <f t="shared" si="335"/>
        <v>0</v>
      </c>
      <c r="G1492" s="83">
        <f t="shared" si="335"/>
        <v>0</v>
      </c>
      <c r="H1492" s="83">
        <f t="shared" si="335"/>
        <v>0</v>
      </c>
      <c r="I1492" s="83">
        <f t="shared" si="335"/>
        <v>42.46</v>
      </c>
    </row>
    <row r="1493" spans="1:9" s="101" customFormat="1" ht="12.95">
      <c r="A1493" s="89" t="s">
        <v>37</v>
      </c>
      <c r="B1493" s="90" t="s">
        <v>29</v>
      </c>
      <c r="C1493" s="83">
        <f t="shared" si="334"/>
        <v>3940.64</v>
      </c>
      <c r="D1493" s="83">
        <f>D1495</f>
        <v>1566.1799999999998</v>
      </c>
      <c r="E1493" s="83">
        <f t="shared" si="335"/>
        <v>2332</v>
      </c>
      <c r="F1493" s="83">
        <f t="shared" si="335"/>
        <v>0</v>
      </c>
      <c r="G1493" s="83">
        <f t="shared" si="335"/>
        <v>0</v>
      </c>
      <c r="H1493" s="83">
        <f t="shared" si="335"/>
        <v>0</v>
      </c>
      <c r="I1493" s="83">
        <f t="shared" si="335"/>
        <v>42.46</v>
      </c>
    </row>
    <row r="1494" spans="1:9" s="101" customFormat="1" ht="12.95">
      <c r="A1494" s="91"/>
      <c r="B1494" s="164" t="s">
        <v>30</v>
      </c>
      <c r="C1494" s="83">
        <f t="shared" si="334"/>
        <v>3940.64</v>
      </c>
      <c r="D1494" s="83">
        <f>D1496</f>
        <v>1566.1799999999998</v>
      </c>
      <c r="E1494" s="83">
        <f t="shared" si="335"/>
        <v>2332</v>
      </c>
      <c r="F1494" s="83">
        <f t="shared" si="335"/>
        <v>0</v>
      </c>
      <c r="G1494" s="83">
        <f t="shared" si="335"/>
        <v>0</v>
      </c>
      <c r="H1494" s="83">
        <f t="shared" si="335"/>
        <v>0</v>
      </c>
      <c r="I1494" s="83">
        <f t="shared" si="335"/>
        <v>42.46</v>
      </c>
    </row>
    <row r="1495" spans="1:9" s="101" customFormat="1" ht="12.95">
      <c r="A1495" s="140" t="s">
        <v>38</v>
      </c>
      <c r="B1495" s="90" t="s">
        <v>29</v>
      </c>
      <c r="C1495" s="83">
        <f t="shared" si="334"/>
        <v>3940.64</v>
      </c>
      <c r="D1495" s="83">
        <f t="shared" ref="D1495:I1496" si="336">D1497</f>
        <v>1566.1799999999998</v>
      </c>
      <c r="E1495" s="83">
        <f t="shared" si="336"/>
        <v>2332</v>
      </c>
      <c r="F1495" s="83">
        <f t="shared" si="336"/>
        <v>0</v>
      </c>
      <c r="G1495" s="83">
        <f t="shared" si="336"/>
        <v>0</v>
      </c>
      <c r="H1495" s="83">
        <f t="shared" si="336"/>
        <v>0</v>
      </c>
      <c r="I1495" s="83">
        <f t="shared" si="336"/>
        <v>42.46</v>
      </c>
    </row>
    <row r="1496" spans="1:9" s="101" customFormat="1">
      <c r="A1496" s="103"/>
      <c r="B1496" s="164" t="s">
        <v>30</v>
      </c>
      <c r="C1496" s="83">
        <f t="shared" si="334"/>
        <v>3940.64</v>
      </c>
      <c r="D1496" s="83">
        <f t="shared" si="336"/>
        <v>1566.1799999999998</v>
      </c>
      <c r="E1496" s="83">
        <f t="shared" si="336"/>
        <v>2332</v>
      </c>
      <c r="F1496" s="83">
        <f t="shared" si="336"/>
        <v>0</v>
      </c>
      <c r="G1496" s="83">
        <f t="shared" si="336"/>
        <v>0</v>
      </c>
      <c r="H1496" s="83">
        <f t="shared" si="336"/>
        <v>0</v>
      </c>
      <c r="I1496" s="83">
        <f t="shared" si="336"/>
        <v>42.46</v>
      </c>
    </row>
    <row r="1497" spans="1:9" s="247" customFormat="1">
      <c r="A1497" s="220" t="s">
        <v>42</v>
      </c>
      <c r="B1497" s="311" t="s">
        <v>29</v>
      </c>
      <c r="C1497" s="291">
        <f t="shared" si="334"/>
        <v>3940.64</v>
      </c>
      <c r="D1497" s="125">
        <f>D1499+D1501+D1503+D1505+D1507+D1509+D1511+D1513+D1515+D1517+D1519+D1521+D1523+D1525+D1527+D1529+D1531+D1533+D1535+D1537+D1539+D1541+D1543+D1545+D1547+D1549+D1551+D1553+D1555+D1557</f>
        <v>1566.1799999999998</v>
      </c>
      <c r="E1497" s="125">
        <f t="shared" ref="E1497:I1497" si="337">E1499+E1501+E1503+E1505+E1507+E1509+E1511+E1513+E1515+E1517+E1519+E1521+E1523+E1525+E1527+E1529+E1531+E1533+E1535+E1537+E1539+E1541+E1543+E1545+E1547+E1549+E1551+E1553+E1555+E1557</f>
        <v>2332</v>
      </c>
      <c r="F1497" s="125">
        <f t="shared" si="337"/>
        <v>0</v>
      </c>
      <c r="G1497" s="125">
        <f t="shared" si="337"/>
        <v>0</v>
      </c>
      <c r="H1497" s="125">
        <f t="shared" si="337"/>
        <v>0</v>
      </c>
      <c r="I1497" s="125">
        <f t="shared" si="337"/>
        <v>42.46</v>
      </c>
    </row>
    <row r="1498" spans="1:9" s="126" customFormat="1">
      <c r="A1498" s="134"/>
      <c r="B1498" s="127" t="s">
        <v>30</v>
      </c>
      <c r="C1498" s="125">
        <f>D1498+E1498+F1498+G1498+H1498+I1498</f>
        <v>3940.64</v>
      </c>
      <c r="D1498" s="125">
        <f>D1500+D1502+D1504+D1506+D1508+D1510+D1512+D1514+D1516+D1518+D1520+D1522+D1524+D1526+D1528+D1530+D1532+D1534+D1536+D1538+D1540+D1542+D1544+D1546+D1548+D1550+D1552+D1554+D1556+D1558</f>
        <v>1566.1799999999998</v>
      </c>
      <c r="E1498" s="125">
        <f t="shared" ref="E1498:I1498" si="338">E1500+E1502+E1504+E1506+E1508+E1510+E1512+E1514+E1516+E1518+E1520+E1522+E1524+E1526+E1528+E1530+E1532+E1534+E1536+E1538+E1540+E1542+E1544+E1546+E1548+E1550+E1552+E1554+E1556+E1558</f>
        <v>2332</v>
      </c>
      <c r="F1498" s="125">
        <f t="shared" si="338"/>
        <v>0</v>
      </c>
      <c r="G1498" s="125">
        <f t="shared" si="338"/>
        <v>0</v>
      </c>
      <c r="H1498" s="125">
        <f t="shared" si="338"/>
        <v>0</v>
      </c>
      <c r="I1498" s="125">
        <f t="shared" si="338"/>
        <v>42.46</v>
      </c>
    </row>
    <row r="1499" spans="1:9" s="145" customFormat="1" ht="24.95">
      <c r="A1499" s="344" t="s">
        <v>586</v>
      </c>
      <c r="B1499" s="82" t="s">
        <v>29</v>
      </c>
      <c r="C1499" s="84">
        <f t="shared" si="334"/>
        <v>81</v>
      </c>
      <c r="D1499" s="84">
        <v>81</v>
      </c>
      <c r="E1499" s="84">
        <v>0</v>
      </c>
      <c r="F1499" s="84">
        <v>0</v>
      </c>
      <c r="G1499" s="84">
        <v>0</v>
      </c>
      <c r="H1499" s="84">
        <v>0</v>
      </c>
      <c r="I1499" s="84">
        <v>0</v>
      </c>
    </row>
    <row r="1500" spans="1:9" s="145" customFormat="1">
      <c r="A1500" s="108"/>
      <c r="B1500" s="86" t="s">
        <v>30</v>
      </c>
      <c r="C1500" s="84">
        <f t="shared" si="334"/>
        <v>81</v>
      </c>
      <c r="D1500" s="84">
        <v>81</v>
      </c>
      <c r="E1500" s="84">
        <v>0</v>
      </c>
      <c r="F1500" s="84">
        <v>0</v>
      </c>
      <c r="G1500" s="84">
        <v>0</v>
      </c>
      <c r="H1500" s="84">
        <v>0</v>
      </c>
      <c r="I1500" s="84">
        <v>0</v>
      </c>
    </row>
    <row r="1501" spans="1:9" s="145" customFormat="1" ht="24.95">
      <c r="A1501" s="344" t="s">
        <v>587</v>
      </c>
      <c r="B1501" s="82" t="s">
        <v>29</v>
      </c>
      <c r="C1501" s="84">
        <f t="shared" si="334"/>
        <v>12</v>
      </c>
      <c r="D1501" s="84">
        <v>12</v>
      </c>
      <c r="E1501" s="84">
        <v>0</v>
      </c>
      <c r="F1501" s="84">
        <v>0</v>
      </c>
      <c r="G1501" s="84">
        <v>0</v>
      </c>
      <c r="H1501" s="84">
        <v>0</v>
      </c>
      <c r="I1501" s="84">
        <v>0</v>
      </c>
    </row>
    <row r="1502" spans="1:9" s="145" customFormat="1">
      <c r="A1502" s="108"/>
      <c r="B1502" s="86" t="s">
        <v>30</v>
      </c>
      <c r="C1502" s="84">
        <f t="shared" si="334"/>
        <v>12</v>
      </c>
      <c r="D1502" s="84">
        <v>12</v>
      </c>
      <c r="E1502" s="84">
        <v>0</v>
      </c>
      <c r="F1502" s="84">
        <v>0</v>
      </c>
      <c r="G1502" s="84">
        <v>0</v>
      </c>
      <c r="H1502" s="84">
        <v>0</v>
      </c>
      <c r="I1502" s="84">
        <v>0</v>
      </c>
    </row>
    <row r="1503" spans="1:9" s="102" customFormat="1" ht="16.5" customHeight="1">
      <c r="A1503" s="671" t="s">
        <v>588</v>
      </c>
      <c r="B1503" s="122" t="s">
        <v>29</v>
      </c>
      <c r="C1503" s="78">
        <f>C1504</f>
        <v>149</v>
      </c>
      <c r="D1503" s="78">
        <f>66+74.5</f>
        <v>140.5</v>
      </c>
      <c r="E1503" s="64">
        <v>0</v>
      </c>
      <c r="F1503" s="78">
        <v>0</v>
      </c>
      <c r="G1503" s="78">
        <v>0</v>
      </c>
      <c r="H1503" s="78">
        <v>0</v>
      </c>
      <c r="I1503" s="78">
        <f>149-140.5</f>
        <v>8.5</v>
      </c>
    </row>
    <row r="1504" spans="1:9" s="102" customFormat="1" ht="36" customHeight="1">
      <c r="A1504" s="672"/>
      <c r="B1504" s="123" t="s">
        <v>30</v>
      </c>
      <c r="C1504" s="78">
        <f t="shared" ref="C1504:C1552" si="339">D1504+E1504+F1504+G1504+H1504+I1504</f>
        <v>149</v>
      </c>
      <c r="D1504" s="78">
        <f>66+74.5</f>
        <v>140.5</v>
      </c>
      <c r="E1504" s="64">
        <v>0</v>
      </c>
      <c r="F1504" s="78">
        <v>0</v>
      </c>
      <c r="G1504" s="78">
        <v>0</v>
      </c>
      <c r="H1504" s="78">
        <v>0</v>
      </c>
      <c r="I1504" s="78">
        <f>149-140.5</f>
        <v>8.5</v>
      </c>
    </row>
    <row r="1505" spans="1:11" s="102" customFormat="1" ht="16.5" customHeight="1">
      <c r="A1505" s="673" t="s">
        <v>589</v>
      </c>
      <c r="B1505" s="122" t="s">
        <v>29</v>
      </c>
      <c r="C1505" s="78">
        <f t="shared" si="339"/>
        <v>50</v>
      </c>
      <c r="D1505" s="78">
        <f>D1506</f>
        <v>19.04</v>
      </c>
      <c r="E1505" s="64">
        <v>0</v>
      </c>
      <c r="F1505" s="78">
        <v>0</v>
      </c>
      <c r="G1505" s="78">
        <v>0</v>
      </c>
      <c r="H1505" s="78">
        <v>0</v>
      </c>
      <c r="I1505" s="78">
        <f>I1506</f>
        <v>30.96</v>
      </c>
    </row>
    <row r="1506" spans="1:11" s="102" customFormat="1" ht="47.25" customHeight="1">
      <c r="A1506" s="674"/>
      <c r="B1506" s="123" t="s">
        <v>30</v>
      </c>
      <c r="C1506" s="78">
        <f t="shared" si="339"/>
        <v>50</v>
      </c>
      <c r="D1506" s="78">
        <v>19.04</v>
      </c>
      <c r="E1506" s="64">
        <v>0</v>
      </c>
      <c r="F1506" s="78">
        <v>0</v>
      </c>
      <c r="G1506" s="78">
        <v>0</v>
      </c>
      <c r="H1506" s="78">
        <v>0</v>
      </c>
      <c r="I1506" s="78">
        <f>50-19.04</f>
        <v>30.96</v>
      </c>
    </row>
    <row r="1507" spans="1:11" s="207" customFormat="1">
      <c r="A1507" s="663" t="s">
        <v>590</v>
      </c>
      <c r="B1507" s="24" t="s">
        <v>29</v>
      </c>
      <c r="C1507" s="84">
        <f t="shared" si="339"/>
        <v>78</v>
      </c>
      <c r="D1507" s="84">
        <v>75</v>
      </c>
      <c r="E1507" s="72">
        <v>0</v>
      </c>
      <c r="F1507" s="84">
        <v>0</v>
      </c>
      <c r="G1507" s="84">
        <v>0</v>
      </c>
      <c r="H1507" s="84">
        <v>0</v>
      </c>
      <c r="I1507" s="84">
        <f>78-75</f>
        <v>3</v>
      </c>
      <c r="J1507" s="253"/>
    </row>
    <row r="1508" spans="1:11" s="207" customFormat="1" ht="36.75" customHeight="1">
      <c r="A1508" s="664"/>
      <c r="B1508" s="26" t="s">
        <v>30</v>
      </c>
      <c r="C1508" s="84">
        <f t="shared" si="339"/>
        <v>78</v>
      </c>
      <c r="D1508" s="84">
        <v>75</v>
      </c>
      <c r="E1508" s="72">
        <v>0</v>
      </c>
      <c r="F1508" s="84">
        <v>0</v>
      </c>
      <c r="G1508" s="84">
        <v>0</v>
      </c>
      <c r="H1508" s="84">
        <v>0</v>
      </c>
      <c r="I1508" s="84">
        <f>78-75</f>
        <v>3</v>
      </c>
      <c r="J1508" s="253"/>
      <c r="K1508" s="382"/>
    </row>
    <row r="1509" spans="1:11" s="207" customFormat="1" ht="14.25" customHeight="1">
      <c r="A1509" s="663" t="s">
        <v>591</v>
      </c>
      <c r="B1509" s="24" t="s">
        <v>29</v>
      </c>
      <c r="C1509" s="84">
        <f t="shared" si="339"/>
        <v>15</v>
      </c>
      <c r="D1509" s="84">
        <v>15</v>
      </c>
      <c r="E1509" s="72">
        <v>0</v>
      </c>
      <c r="F1509" s="84">
        <v>0</v>
      </c>
      <c r="G1509" s="84">
        <v>0</v>
      </c>
      <c r="H1509" s="84">
        <v>0</v>
      </c>
      <c r="I1509" s="84">
        <v>0</v>
      </c>
      <c r="J1509" s="253"/>
    </row>
    <row r="1510" spans="1:11" s="207" customFormat="1" ht="32.25" customHeight="1">
      <c r="A1510" s="664"/>
      <c r="B1510" s="26" t="s">
        <v>30</v>
      </c>
      <c r="C1510" s="84">
        <f t="shared" si="339"/>
        <v>15</v>
      </c>
      <c r="D1510" s="84">
        <v>15</v>
      </c>
      <c r="E1510" s="72">
        <v>0</v>
      </c>
      <c r="F1510" s="84">
        <v>0</v>
      </c>
      <c r="G1510" s="84">
        <v>0</v>
      </c>
      <c r="H1510" s="84">
        <v>0</v>
      </c>
      <c r="I1510" s="84">
        <v>0</v>
      </c>
    </row>
    <row r="1511" spans="1:11" s="207" customFormat="1" ht="27" customHeight="1">
      <c r="A1511" s="357" t="s">
        <v>592</v>
      </c>
      <c r="B1511" s="24" t="s">
        <v>29</v>
      </c>
      <c r="C1511" s="84">
        <f t="shared" si="339"/>
        <v>50</v>
      </c>
      <c r="D1511" s="84">
        <v>50</v>
      </c>
      <c r="E1511" s="72">
        <v>0</v>
      </c>
      <c r="F1511" s="84">
        <v>0</v>
      </c>
      <c r="G1511" s="84">
        <v>0</v>
      </c>
      <c r="H1511" s="84">
        <v>0</v>
      </c>
      <c r="I1511" s="84">
        <v>0</v>
      </c>
      <c r="J1511" s="253"/>
    </row>
    <row r="1512" spans="1:11" s="207" customFormat="1" ht="15.75" customHeight="1">
      <c r="A1512" s="346"/>
      <c r="B1512" s="26" t="s">
        <v>30</v>
      </c>
      <c r="C1512" s="84">
        <f t="shared" si="339"/>
        <v>50</v>
      </c>
      <c r="D1512" s="84">
        <v>50</v>
      </c>
      <c r="E1512" s="72">
        <v>0</v>
      </c>
      <c r="F1512" s="84">
        <v>0</v>
      </c>
      <c r="G1512" s="84">
        <v>0</v>
      </c>
      <c r="H1512" s="84">
        <v>0</v>
      </c>
      <c r="I1512" s="84">
        <v>0</v>
      </c>
    </row>
    <row r="1513" spans="1:11" s="206" customFormat="1" ht="27" customHeight="1">
      <c r="A1513" s="349" t="s">
        <v>593</v>
      </c>
      <c r="B1513" s="24" t="s">
        <v>29</v>
      </c>
      <c r="C1513" s="84">
        <f t="shared" si="339"/>
        <v>119</v>
      </c>
      <c r="D1513" s="84">
        <v>119</v>
      </c>
      <c r="E1513" s="72">
        <v>0</v>
      </c>
      <c r="F1513" s="84">
        <v>0</v>
      </c>
      <c r="G1513" s="84">
        <v>0</v>
      </c>
      <c r="H1513" s="84">
        <v>0</v>
      </c>
      <c r="I1513" s="84">
        <v>0</v>
      </c>
      <c r="J1513" s="212"/>
    </row>
    <row r="1514" spans="1:11" s="207" customFormat="1" ht="13.5" customHeight="1">
      <c r="A1514" s="346"/>
      <c r="B1514" s="26" t="s">
        <v>30</v>
      </c>
      <c r="C1514" s="84">
        <f t="shared" si="339"/>
        <v>119</v>
      </c>
      <c r="D1514" s="84">
        <v>119</v>
      </c>
      <c r="E1514" s="72">
        <v>0</v>
      </c>
      <c r="F1514" s="84">
        <v>0</v>
      </c>
      <c r="G1514" s="84">
        <v>0</v>
      </c>
      <c r="H1514" s="84">
        <v>0</v>
      </c>
      <c r="I1514" s="84">
        <v>0</v>
      </c>
    </row>
    <row r="1515" spans="1:11" s="207" customFormat="1" ht="39.75" customHeight="1">
      <c r="A1515" s="330" t="s">
        <v>594</v>
      </c>
      <c r="B1515" s="24" t="s">
        <v>29</v>
      </c>
      <c r="C1515" s="84">
        <f t="shared" si="339"/>
        <v>89.25</v>
      </c>
      <c r="D1515" s="84">
        <v>89.25</v>
      </c>
      <c r="E1515" s="72">
        <v>0</v>
      </c>
      <c r="F1515" s="84">
        <v>0</v>
      </c>
      <c r="G1515" s="84">
        <v>0</v>
      </c>
      <c r="H1515" s="84">
        <v>0</v>
      </c>
      <c r="I1515" s="84">
        <v>0</v>
      </c>
      <c r="J1515" s="253"/>
    </row>
    <row r="1516" spans="1:11" s="207" customFormat="1" ht="13.5" customHeight="1">
      <c r="A1516" s="346"/>
      <c r="B1516" s="26" t="s">
        <v>30</v>
      </c>
      <c r="C1516" s="84">
        <f t="shared" si="339"/>
        <v>89.25</v>
      </c>
      <c r="D1516" s="84">
        <v>89.25</v>
      </c>
      <c r="E1516" s="72">
        <v>0</v>
      </c>
      <c r="F1516" s="84">
        <v>0</v>
      </c>
      <c r="G1516" s="84">
        <v>0</v>
      </c>
      <c r="H1516" s="84">
        <v>0</v>
      </c>
      <c r="I1516" s="84">
        <v>0</v>
      </c>
    </row>
    <row r="1517" spans="1:11" s="213" customFormat="1" ht="80.25" customHeight="1">
      <c r="A1517" s="370" t="s">
        <v>595</v>
      </c>
      <c r="B1517" s="237" t="s">
        <v>29</v>
      </c>
      <c r="C1517" s="240">
        <f t="shared" si="339"/>
        <v>167.2</v>
      </c>
      <c r="D1517" s="240">
        <v>167.2</v>
      </c>
      <c r="E1517" s="240">
        <v>0</v>
      </c>
      <c r="F1517" s="240">
        <v>0</v>
      </c>
      <c r="G1517" s="240">
        <v>0</v>
      </c>
      <c r="H1517" s="240">
        <v>0</v>
      </c>
      <c r="I1517" s="240">
        <v>0</v>
      </c>
    </row>
    <row r="1518" spans="1:11" s="207" customFormat="1" ht="13.5" customHeight="1">
      <c r="A1518" s="346"/>
      <c r="B1518" s="26" t="s">
        <v>30</v>
      </c>
      <c r="C1518" s="84">
        <f t="shared" si="339"/>
        <v>167.2</v>
      </c>
      <c r="D1518" s="84">
        <v>167.2</v>
      </c>
      <c r="E1518" s="72">
        <v>0</v>
      </c>
      <c r="F1518" s="84">
        <v>0</v>
      </c>
      <c r="G1518" s="84">
        <v>0</v>
      </c>
      <c r="H1518" s="84">
        <v>0</v>
      </c>
      <c r="I1518" s="84">
        <v>0</v>
      </c>
    </row>
    <row r="1519" spans="1:11" s="213" customFormat="1" ht="64.5" customHeight="1">
      <c r="A1519" s="370" t="s">
        <v>596</v>
      </c>
      <c r="B1519" s="237" t="s">
        <v>29</v>
      </c>
      <c r="C1519" s="240">
        <f t="shared" si="339"/>
        <v>95.3</v>
      </c>
      <c r="D1519" s="240">
        <v>95.3</v>
      </c>
      <c r="E1519" s="240">
        <v>0</v>
      </c>
      <c r="F1519" s="240">
        <v>0</v>
      </c>
      <c r="G1519" s="240">
        <v>0</v>
      </c>
      <c r="H1519" s="240">
        <v>0</v>
      </c>
      <c r="I1519" s="240">
        <v>0</v>
      </c>
    </row>
    <row r="1520" spans="1:11" s="207" customFormat="1" ht="13.5" customHeight="1">
      <c r="A1520" s="346"/>
      <c r="B1520" s="26" t="s">
        <v>30</v>
      </c>
      <c r="C1520" s="84">
        <f t="shared" si="339"/>
        <v>95.3</v>
      </c>
      <c r="D1520" s="84">
        <v>95.3</v>
      </c>
      <c r="E1520" s="72">
        <v>0</v>
      </c>
      <c r="F1520" s="84">
        <v>0</v>
      </c>
      <c r="G1520" s="84">
        <v>0</v>
      </c>
      <c r="H1520" s="84">
        <v>0</v>
      </c>
      <c r="I1520" s="84">
        <v>0</v>
      </c>
    </row>
    <row r="1521" spans="1:9" s="249" customFormat="1" ht="29.25" customHeight="1">
      <c r="A1521" s="419" t="s">
        <v>597</v>
      </c>
      <c r="B1521" s="237" t="s">
        <v>29</v>
      </c>
      <c r="C1521" s="240">
        <f t="shared" si="339"/>
        <v>0</v>
      </c>
      <c r="D1521" s="240">
        <v>0</v>
      </c>
      <c r="E1521" s="240">
        <v>0</v>
      </c>
      <c r="F1521" s="240">
        <v>0</v>
      </c>
      <c r="G1521" s="240">
        <v>0</v>
      </c>
      <c r="H1521" s="240">
        <v>0</v>
      </c>
      <c r="I1521" s="240">
        <v>0</v>
      </c>
    </row>
    <row r="1522" spans="1:9" s="249" customFormat="1" ht="15.75" customHeight="1">
      <c r="A1522" s="288"/>
      <c r="B1522" s="226" t="s">
        <v>30</v>
      </c>
      <c r="C1522" s="240">
        <f t="shared" si="339"/>
        <v>0</v>
      </c>
      <c r="D1522" s="240">
        <v>0</v>
      </c>
      <c r="E1522" s="240">
        <v>0</v>
      </c>
      <c r="F1522" s="240">
        <v>0</v>
      </c>
      <c r="G1522" s="240">
        <v>0</v>
      </c>
      <c r="H1522" s="240">
        <v>0</v>
      </c>
      <c r="I1522" s="240">
        <v>0</v>
      </c>
    </row>
    <row r="1523" spans="1:9" s="213" customFormat="1" ht="51.75" customHeight="1">
      <c r="A1523" s="473" t="s">
        <v>598</v>
      </c>
      <c r="B1523" s="237" t="s">
        <v>29</v>
      </c>
      <c r="C1523" s="240">
        <f t="shared" si="339"/>
        <v>160.30000000000001</v>
      </c>
      <c r="D1523" s="240">
        <v>11.3</v>
      </c>
      <c r="E1523" s="240">
        <v>149</v>
      </c>
      <c r="F1523" s="240">
        <v>0</v>
      </c>
      <c r="G1523" s="240">
        <v>0</v>
      </c>
      <c r="H1523" s="240">
        <v>0</v>
      </c>
      <c r="I1523" s="240">
        <v>0</v>
      </c>
    </row>
    <row r="1524" spans="1:9" s="249" customFormat="1" ht="15.75" customHeight="1">
      <c r="A1524" s="371"/>
      <c r="B1524" s="217" t="s">
        <v>30</v>
      </c>
      <c r="C1524" s="203">
        <f t="shared" si="339"/>
        <v>160.30000000000001</v>
      </c>
      <c r="D1524" s="240">
        <v>11.3</v>
      </c>
      <c r="E1524" s="203">
        <v>149</v>
      </c>
      <c r="F1524" s="203">
        <v>0</v>
      </c>
      <c r="G1524" s="203">
        <v>0</v>
      </c>
      <c r="H1524" s="203">
        <v>0</v>
      </c>
      <c r="I1524" s="240">
        <v>0</v>
      </c>
    </row>
    <row r="1525" spans="1:9" s="213" customFormat="1" ht="54" customHeight="1">
      <c r="A1525" s="419" t="s">
        <v>599</v>
      </c>
      <c r="B1525" s="237" t="s">
        <v>29</v>
      </c>
      <c r="C1525" s="240">
        <f t="shared" si="339"/>
        <v>58</v>
      </c>
      <c r="D1525" s="240">
        <v>0</v>
      </c>
      <c r="E1525" s="240">
        <v>58</v>
      </c>
      <c r="F1525" s="240">
        <v>0</v>
      </c>
      <c r="G1525" s="240">
        <v>0</v>
      </c>
      <c r="H1525" s="240">
        <v>0</v>
      </c>
      <c r="I1525" s="240">
        <v>0</v>
      </c>
    </row>
    <row r="1526" spans="1:9" s="207" customFormat="1" ht="15" customHeight="1">
      <c r="A1526" s="345"/>
      <c r="B1526" s="26" t="s">
        <v>30</v>
      </c>
      <c r="C1526" s="84">
        <f t="shared" si="339"/>
        <v>58</v>
      </c>
      <c r="D1526" s="84">
        <v>0</v>
      </c>
      <c r="E1526" s="72">
        <v>58</v>
      </c>
      <c r="F1526" s="84">
        <v>0</v>
      </c>
      <c r="G1526" s="84">
        <v>0</v>
      </c>
      <c r="H1526" s="84">
        <v>0</v>
      </c>
      <c r="I1526" s="84">
        <v>0</v>
      </c>
    </row>
    <row r="1527" spans="1:9" s="249" customFormat="1" ht="41.25" customHeight="1">
      <c r="A1527" s="325" t="s">
        <v>600</v>
      </c>
      <c r="B1527" s="216" t="s">
        <v>29</v>
      </c>
      <c r="C1527" s="203">
        <f t="shared" si="339"/>
        <v>30</v>
      </c>
      <c r="D1527" s="203">
        <v>30</v>
      </c>
      <c r="E1527" s="203">
        <v>0</v>
      </c>
      <c r="F1527" s="203">
        <v>0</v>
      </c>
      <c r="G1527" s="203">
        <v>0</v>
      </c>
      <c r="H1527" s="203">
        <v>0</v>
      </c>
      <c r="I1527" s="203">
        <v>0</v>
      </c>
    </row>
    <row r="1528" spans="1:9" s="207" customFormat="1" ht="15" customHeight="1">
      <c r="A1528" s="346"/>
      <c r="B1528" s="26" t="s">
        <v>30</v>
      </c>
      <c r="C1528" s="84">
        <f t="shared" si="339"/>
        <v>30</v>
      </c>
      <c r="D1528" s="84">
        <v>30</v>
      </c>
      <c r="E1528" s="72">
        <v>0</v>
      </c>
      <c r="F1528" s="84">
        <v>0</v>
      </c>
      <c r="G1528" s="84">
        <v>0</v>
      </c>
      <c r="H1528" s="84">
        <v>0</v>
      </c>
      <c r="I1528" s="84">
        <v>0</v>
      </c>
    </row>
    <row r="1529" spans="1:9" s="213" customFormat="1" ht="39.75" customHeight="1">
      <c r="A1529" s="325" t="s">
        <v>601</v>
      </c>
      <c r="B1529" s="237" t="s">
        <v>29</v>
      </c>
      <c r="C1529" s="240">
        <f t="shared" si="339"/>
        <v>307</v>
      </c>
      <c r="D1529" s="240">
        <v>307</v>
      </c>
      <c r="E1529" s="240">
        <v>0</v>
      </c>
      <c r="F1529" s="240">
        <v>0</v>
      </c>
      <c r="G1529" s="240">
        <v>0</v>
      </c>
      <c r="H1529" s="240">
        <v>0</v>
      </c>
      <c r="I1529" s="240">
        <v>0</v>
      </c>
    </row>
    <row r="1530" spans="1:9" s="213" customFormat="1" ht="15" customHeight="1">
      <c r="A1530" s="288"/>
      <c r="B1530" s="226" t="s">
        <v>30</v>
      </c>
      <c r="C1530" s="240">
        <f t="shared" si="339"/>
        <v>307</v>
      </c>
      <c r="D1530" s="240">
        <v>307</v>
      </c>
      <c r="E1530" s="240">
        <v>0</v>
      </c>
      <c r="F1530" s="240">
        <v>0</v>
      </c>
      <c r="G1530" s="240">
        <v>0</v>
      </c>
      <c r="H1530" s="240">
        <v>0</v>
      </c>
      <c r="I1530" s="240">
        <v>0</v>
      </c>
    </row>
    <row r="1531" spans="1:9" s="213" customFormat="1" ht="54.75" customHeight="1">
      <c r="A1531" s="372" t="s">
        <v>602</v>
      </c>
      <c r="B1531" s="237" t="s">
        <v>29</v>
      </c>
      <c r="C1531" s="240">
        <f t="shared" si="339"/>
        <v>27</v>
      </c>
      <c r="D1531" s="240">
        <v>27</v>
      </c>
      <c r="E1531" s="240">
        <v>0</v>
      </c>
      <c r="F1531" s="240">
        <v>0</v>
      </c>
      <c r="G1531" s="240">
        <v>0</v>
      </c>
      <c r="H1531" s="240">
        <v>0</v>
      </c>
      <c r="I1531" s="240">
        <v>0</v>
      </c>
    </row>
    <row r="1532" spans="1:9" s="207" customFormat="1" ht="15" customHeight="1">
      <c r="A1532" s="346"/>
      <c r="B1532" s="26" t="s">
        <v>30</v>
      </c>
      <c r="C1532" s="84">
        <f t="shared" si="339"/>
        <v>27</v>
      </c>
      <c r="D1532" s="84">
        <v>27</v>
      </c>
      <c r="E1532" s="72">
        <v>0</v>
      </c>
      <c r="F1532" s="84">
        <v>0</v>
      </c>
      <c r="G1532" s="84">
        <v>0</v>
      </c>
      <c r="H1532" s="84">
        <v>0</v>
      </c>
      <c r="I1532" s="84">
        <v>0</v>
      </c>
    </row>
    <row r="1533" spans="1:9" s="213" customFormat="1" ht="64.5" customHeight="1">
      <c r="A1533" s="325" t="s">
        <v>603</v>
      </c>
      <c r="B1533" s="237" t="s">
        <v>29</v>
      </c>
      <c r="C1533" s="240">
        <f t="shared" si="339"/>
        <v>260</v>
      </c>
      <c r="D1533" s="240">
        <v>260</v>
      </c>
      <c r="E1533" s="240">
        <v>0</v>
      </c>
      <c r="F1533" s="240">
        <v>0</v>
      </c>
      <c r="G1533" s="240">
        <v>0</v>
      </c>
      <c r="H1533" s="240">
        <v>0</v>
      </c>
      <c r="I1533" s="240">
        <v>0</v>
      </c>
    </row>
    <row r="1534" spans="1:9" s="213" customFormat="1" ht="15" customHeight="1">
      <c r="A1534" s="288"/>
      <c r="B1534" s="226" t="s">
        <v>30</v>
      </c>
      <c r="C1534" s="240">
        <f t="shared" si="339"/>
        <v>260</v>
      </c>
      <c r="D1534" s="240">
        <v>260</v>
      </c>
      <c r="E1534" s="240">
        <v>0</v>
      </c>
      <c r="F1534" s="240">
        <v>0</v>
      </c>
      <c r="G1534" s="240">
        <v>0</v>
      </c>
      <c r="H1534" s="240">
        <v>0</v>
      </c>
      <c r="I1534" s="240">
        <v>0</v>
      </c>
    </row>
    <row r="1535" spans="1:9" s="213" customFormat="1" ht="40.5" customHeight="1">
      <c r="A1535" s="419" t="s">
        <v>604</v>
      </c>
      <c r="B1535" s="237" t="s">
        <v>29</v>
      </c>
      <c r="C1535" s="240">
        <f t="shared" si="339"/>
        <v>178</v>
      </c>
      <c r="D1535" s="240">
        <v>0</v>
      </c>
      <c r="E1535" s="240">
        <v>178</v>
      </c>
      <c r="F1535" s="240">
        <v>0</v>
      </c>
      <c r="G1535" s="240">
        <v>0</v>
      </c>
      <c r="H1535" s="240">
        <v>0</v>
      </c>
      <c r="I1535" s="240">
        <v>0</v>
      </c>
    </row>
    <row r="1536" spans="1:9" s="207" customFormat="1" ht="15" customHeight="1">
      <c r="A1536" s="346"/>
      <c r="B1536" s="26" t="s">
        <v>30</v>
      </c>
      <c r="C1536" s="84">
        <f t="shared" si="339"/>
        <v>178</v>
      </c>
      <c r="D1536" s="84">
        <v>0</v>
      </c>
      <c r="E1536" s="72">
        <v>178</v>
      </c>
      <c r="F1536" s="84">
        <v>0</v>
      </c>
      <c r="G1536" s="84">
        <v>0</v>
      </c>
      <c r="H1536" s="84">
        <v>0</v>
      </c>
      <c r="I1536" s="84">
        <v>0</v>
      </c>
    </row>
    <row r="1537" spans="1:9" s="213" customFormat="1" ht="66.75" customHeight="1">
      <c r="A1537" s="325" t="s">
        <v>605</v>
      </c>
      <c r="B1537" s="237" t="s">
        <v>29</v>
      </c>
      <c r="C1537" s="240">
        <f t="shared" si="339"/>
        <v>67.59</v>
      </c>
      <c r="D1537" s="240">
        <v>67.59</v>
      </c>
      <c r="E1537" s="240">
        <v>0</v>
      </c>
      <c r="F1537" s="240">
        <v>0</v>
      </c>
      <c r="G1537" s="240">
        <v>0</v>
      </c>
      <c r="H1537" s="240">
        <v>0</v>
      </c>
      <c r="I1537" s="240">
        <v>0</v>
      </c>
    </row>
    <row r="1538" spans="1:9" s="207" customFormat="1" ht="15" customHeight="1">
      <c r="A1538" s="346"/>
      <c r="B1538" s="26" t="s">
        <v>30</v>
      </c>
      <c r="C1538" s="84">
        <f t="shared" si="339"/>
        <v>67.59</v>
      </c>
      <c r="D1538" s="240">
        <v>67.59</v>
      </c>
      <c r="E1538" s="72">
        <v>0</v>
      </c>
      <c r="F1538" s="84">
        <v>0</v>
      </c>
      <c r="G1538" s="84">
        <v>0</v>
      </c>
      <c r="H1538" s="84">
        <v>0</v>
      </c>
      <c r="I1538" s="84">
        <v>0</v>
      </c>
    </row>
    <row r="1539" spans="1:9" s="249" customFormat="1" ht="130.5" customHeight="1">
      <c r="A1539" s="474" t="s">
        <v>606</v>
      </c>
      <c r="B1539" s="216" t="s">
        <v>29</v>
      </c>
      <c r="C1539" s="203">
        <f t="shared" si="339"/>
        <v>409</v>
      </c>
      <c r="D1539" s="203">
        <v>0</v>
      </c>
      <c r="E1539" s="203">
        <f>210+199</f>
        <v>409</v>
      </c>
      <c r="F1539" s="203">
        <v>0</v>
      </c>
      <c r="G1539" s="203">
        <v>0</v>
      </c>
      <c r="H1539" s="203">
        <v>0</v>
      </c>
      <c r="I1539" s="203">
        <v>0</v>
      </c>
    </row>
    <row r="1540" spans="1:9" s="207" customFormat="1" ht="15" customHeight="1">
      <c r="A1540" s="346"/>
      <c r="B1540" s="26" t="s">
        <v>30</v>
      </c>
      <c r="C1540" s="84">
        <f t="shared" si="339"/>
        <v>409</v>
      </c>
      <c r="D1540" s="84">
        <v>0</v>
      </c>
      <c r="E1540" s="72">
        <f>210+199</f>
        <v>409</v>
      </c>
      <c r="F1540" s="84">
        <v>0</v>
      </c>
      <c r="G1540" s="84">
        <v>0</v>
      </c>
      <c r="H1540" s="84">
        <v>0</v>
      </c>
      <c r="I1540" s="84">
        <v>0</v>
      </c>
    </row>
    <row r="1541" spans="1:9" s="213" customFormat="1" ht="15.75" customHeight="1">
      <c r="A1541" s="419" t="s">
        <v>607</v>
      </c>
      <c r="B1541" s="237" t="s">
        <v>29</v>
      </c>
      <c r="C1541" s="240">
        <f t="shared" si="339"/>
        <v>0</v>
      </c>
      <c r="D1541" s="240">
        <v>0</v>
      </c>
      <c r="E1541" s="240">
        <v>0</v>
      </c>
      <c r="F1541" s="240">
        <v>0</v>
      </c>
      <c r="G1541" s="240">
        <v>0</v>
      </c>
      <c r="H1541" s="240">
        <v>0</v>
      </c>
      <c r="I1541" s="240">
        <v>0</v>
      </c>
    </row>
    <row r="1542" spans="1:9" s="249" customFormat="1" ht="15" customHeight="1">
      <c r="A1542" s="288"/>
      <c r="B1542" s="217" t="s">
        <v>30</v>
      </c>
      <c r="C1542" s="203">
        <f t="shared" si="339"/>
        <v>0</v>
      </c>
      <c r="D1542" s="203">
        <v>0</v>
      </c>
      <c r="E1542" s="203">
        <v>0</v>
      </c>
      <c r="F1542" s="203">
        <v>0</v>
      </c>
      <c r="G1542" s="203">
        <v>0</v>
      </c>
      <c r="H1542" s="203">
        <v>0</v>
      </c>
      <c r="I1542" s="203">
        <v>0</v>
      </c>
    </row>
    <row r="1543" spans="1:9" s="213" customFormat="1" ht="15.75" customHeight="1">
      <c r="A1543" s="419" t="s">
        <v>608</v>
      </c>
      <c r="B1543" s="237" t="s">
        <v>29</v>
      </c>
      <c r="C1543" s="240">
        <f t="shared" si="339"/>
        <v>0</v>
      </c>
      <c r="D1543" s="240">
        <v>0</v>
      </c>
      <c r="E1543" s="240">
        <v>0</v>
      </c>
      <c r="F1543" s="240">
        <v>0</v>
      </c>
      <c r="G1543" s="240">
        <v>0</v>
      </c>
      <c r="H1543" s="240">
        <v>0</v>
      </c>
      <c r="I1543" s="240">
        <v>0</v>
      </c>
    </row>
    <row r="1544" spans="1:9" s="207" customFormat="1" ht="15" customHeight="1">
      <c r="A1544" s="346"/>
      <c r="B1544" s="26" t="s">
        <v>30</v>
      </c>
      <c r="C1544" s="84">
        <f t="shared" si="339"/>
        <v>0</v>
      </c>
      <c r="D1544" s="84">
        <v>0</v>
      </c>
      <c r="E1544" s="72">
        <v>0</v>
      </c>
      <c r="F1544" s="84">
        <v>0</v>
      </c>
      <c r="G1544" s="84">
        <v>0</v>
      </c>
      <c r="H1544" s="84">
        <v>0</v>
      </c>
      <c r="I1544" s="84">
        <v>0</v>
      </c>
    </row>
    <row r="1545" spans="1:9" s="213" customFormat="1" ht="105" customHeight="1">
      <c r="A1545" s="325" t="s">
        <v>609</v>
      </c>
      <c r="B1545" s="237" t="s">
        <v>29</v>
      </c>
      <c r="C1545" s="240">
        <f t="shared" si="339"/>
        <v>315</v>
      </c>
      <c r="D1545" s="240">
        <v>0</v>
      </c>
      <c r="E1545" s="240">
        <v>315</v>
      </c>
      <c r="F1545" s="240">
        <v>0</v>
      </c>
      <c r="G1545" s="240">
        <v>0</v>
      </c>
      <c r="H1545" s="240">
        <v>0</v>
      </c>
      <c r="I1545" s="240">
        <v>0</v>
      </c>
    </row>
    <row r="1546" spans="1:9" s="249" customFormat="1" ht="15" customHeight="1">
      <c r="A1546" s="371"/>
      <c r="B1546" s="217" t="s">
        <v>30</v>
      </c>
      <c r="C1546" s="203">
        <f t="shared" si="339"/>
        <v>315</v>
      </c>
      <c r="D1546" s="203">
        <v>0</v>
      </c>
      <c r="E1546" s="203">
        <v>315</v>
      </c>
      <c r="F1546" s="203">
        <v>0</v>
      </c>
      <c r="G1546" s="203">
        <v>0</v>
      </c>
      <c r="H1546" s="203">
        <v>0</v>
      </c>
      <c r="I1546" s="203">
        <v>0</v>
      </c>
    </row>
    <row r="1547" spans="1:9" s="213" customFormat="1" ht="28.5" customHeight="1">
      <c r="A1547" s="416" t="s">
        <v>610</v>
      </c>
      <c r="B1547" s="237" t="s">
        <v>29</v>
      </c>
      <c r="C1547" s="240">
        <f t="shared" si="339"/>
        <v>277</v>
      </c>
      <c r="D1547" s="240">
        <v>0</v>
      </c>
      <c r="E1547" s="240">
        <v>277</v>
      </c>
      <c r="F1547" s="240">
        <v>0</v>
      </c>
      <c r="G1547" s="240">
        <v>0</v>
      </c>
      <c r="H1547" s="240">
        <v>0</v>
      </c>
      <c r="I1547" s="240">
        <v>0</v>
      </c>
    </row>
    <row r="1548" spans="1:9" s="207" customFormat="1" ht="15" customHeight="1">
      <c r="A1548" s="346"/>
      <c r="B1548" s="26" t="s">
        <v>30</v>
      </c>
      <c r="C1548" s="84">
        <f t="shared" si="339"/>
        <v>277</v>
      </c>
      <c r="D1548" s="84">
        <v>0</v>
      </c>
      <c r="E1548" s="72">
        <v>277</v>
      </c>
      <c r="F1548" s="84">
        <v>0</v>
      </c>
      <c r="G1548" s="84">
        <v>0</v>
      </c>
      <c r="H1548" s="84">
        <v>0</v>
      </c>
      <c r="I1548" s="84">
        <v>0</v>
      </c>
    </row>
    <row r="1549" spans="1:9" s="213" customFormat="1" ht="132" customHeight="1">
      <c r="A1549" s="475" t="s">
        <v>611</v>
      </c>
      <c r="B1549" s="237" t="s">
        <v>29</v>
      </c>
      <c r="C1549" s="240">
        <f t="shared" si="339"/>
        <v>67</v>
      </c>
      <c r="D1549" s="240">
        <v>0</v>
      </c>
      <c r="E1549" s="240">
        <v>67</v>
      </c>
      <c r="F1549" s="240">
        <v>0</v>
      </c>
      <c r="G1549" s="240">
        <v>0</v>
      </c>
      <c r="H1549" s="240">
        <v>0</v>
      </c>
      <c r="I1549" s="240">
        <v>0</v>
      </c>
    </row>
    <row r="1550" spans="1:9" s="207" customFormat="1" ht="15" customHeight="1">
      <c r="A1550" s="346"/>
      <c r="B1550" s="26" t="s">
        <v>30</v>
      </c>
      <c r="C1550" s="84">
        <f t="shared" si="339"/>
        <v>67</v>
      </c>
      <c r="D1550" s="84">
        <v>0</v>
      </c>
      <c r="E1550" s="72">
        <v>67</v>
      </c>
      <c r="F1550" s="84">
        <v>0</v>
      </c>
      <c r="G1550" s="84">
        <v>0</v>
      </c>
      <c r="H1550" s="84">
        <v>0</v>
      </c>
      <c r="I1550" s="84">
        <v>0</v>
      </c>
    </row>
    <row r="1551" spans="1:9" s="213" customFormat="1" ht="131.25" customHeight="1">
      <c r="A1551" s="475" t="s">
        <v>612</v>
      </c>
      <c r="B1551" s="237" t="s">
        <v>29</v>
      </c>
      <c r="C1551" s="240">
        <f t="shared" si="339"/>
        <v>67</v>
      </c>
      <c r="D1551" s="240">
        <v>0</v>
      </c>
      <c r="E1551" s="240">
        <v>67</v>
      </c>
      <c r="F1551" s="240">
        <v>0</v>
      </c>
      <c r="G1551" s="240">
        <v>0</v>
      </c>
      <c r="H1551" s="240">
        <v>0</v>
      </c>
      <c r="I1551" s="240">
        <v>0</v>
      </c>
    </row>
    <row r="1552" spans="1:9" s="207" customFormat="1" ht="15" customHeight="1">
      <c r="A1552" s="346"/>
      <c r="B1552" s="26" t="s">
        <v>30</v>
      </c>
      <c r="C1552" s="84">
        <f t="shared" si="339"/>
        <v>67</v>
      </c>
      <c r="D1552" s="84">
        <v>0</v>
      </c>
      <c r="E1552" s="72">
        <v>67</v>
      </c>
      <c r="F1552" s="84">
        <v>0</v>
      </c>
      <c r="G1552" s="84">
        <v>0</v>
      </c>
      <c r="H1552" s="84">
        <v>0</v>
      </c>
      <c r="I1552" s="84">
        <v>0</v>
      </c>
    </row>
    <row r="1553" spans="1:9" s="213" customFormat="1" ht="132" customHeight="1">
      <c r="A1553" s="325" t="s">
        <v>613</v>
      </c>
      <c r="B1553" s="237" t="s">
        <v>29</v>
      </c>
      <c r="C1553" s="240">
        <f t="shared" ref="C1553:C1554" si="340">D1553+E1553+F1553+G1553+H1553+I1553</f>
        <v>230</v>
      </c>
      <c r="D1553" s="240">
        <v>0</v>
      </c>
      <c r="E1553" s="240">
        <v>230</v>
      </c>
      <c r="F1553" s="240">
        <v>0</v>
      </c>
      <c r="G1553" s="240">
        <v>0</v>
      </c>
      <c r="H1553" s="240">
        <v>0</v>
      </c>
      <c r="I1553" s="240">
        <v>0</v>
      </c>
    </row>
    <row r="1554" spans="1:9" s="207" customFormat="1" ht="15" customHeight="1">
      <c r="A1554" s="346"/>
      <c r="B1554" s="26" t="s">
        <v>30</v>
      </c>
      <c r="C1554" s="84">
        <f t="shared" si="340"/>
        <v>230</v>
      </c>
      <c r="D1554" s="84">
        <v>0</v>
      </c>
      <c r="E1554" s="72">
        <v>230</v>
      </c>
      <c r="F1554" s="84">
        <v>0</v>
      </c>
      <c r="G1554" s="84">
        <v>0</v>
      </c>
      <c r="H1554" s="84">
        <v>0</v>
      </c>
      <c r="I1554" s="84">
        <v>0</v>
      </c>
    </row>
    <row r="1555" spans="1:9" s="213" customFormat="1" ht="131.25" customHeight="1">
      <c r="A1555" s="325" t="s">
        <v>614</v>
      </c>
      <c r="B1555" s="237" t="s">
        <v>29</v>
      </c>
      <c r="C1555" s="240">
        <f t="shared" ref="C1555:C1556" si="341">D1555+E1555+F1555+G1555+H1555+I1555</f>
        <v>291</v>
      </c>
      <c r="D1555" s="240">
        <v>0</v>
      </c>
      <c r="E1555" s="240">
        <v>291</v>
      </c>
      <c r="F1555" s="240">
        <v>0</v>
      </c>
      <c r="G1555" s="240">
        <v>0</v>
      </c>
      <c r="H1555" s="240">
        <v>0</v>
      </c>
      <c r="I1555" s="240">
        <v>0</v>
      </c>
    </row>
    <row r="1556" spans="1:9" s="207" customFormat="1" ht="15" customHeight="1">
      <c r="A1556" s="346"/>
      <c r="B1556" s="26" t="s">
        <v>30</v>
      </c>
      <c r="C1556" s="84">
        <f t="shared" si="341"/>
        <v>291</v>
      </c>
      <c r="D1556" s="84">
        <v>0</v>
      </c>
      <c r="E1556" s="72">
        <v>291</v>
      </c>
      <c r="F1556" s="84">
        <v>0</v>
      </c>
      <c r="G1556" s="84">
        <v>0</v>
      </c>
      <c r="H1556" s="84">
        <v>0</v>
      </c>
      <c r="I1556" s="84">
        <v>0</v>
      </c>
    </row>
    <row r="1557" spans="1:9" s="213" customFormat="1" ht="131.25" customHeight="1">
      <c r="A1557" s="325" t="s">
        <v>615</v>
      </c>
      <c r="B1557" s="237" t="s">
        <v>29</v>
      </c>
      <c r="C1557" s="240">
        <f t="shared" ref="C1557:C1558" si="342">D1557+E1557+F1557+G1557+H1557+I1557</f>
        <v>291</v>
      </c>
      <c r="D1557" s="240">
        <v>0</v>
      </c>
      <c r="E1557" s="240">
        <v>291</v>
      </c>
      <c r="F1557" s="240">
        <v>0</v>
      </c>
      <c r="G1557" s="240">
        <v>0</v>
      </c>
      <c r="H1557" s="240">
        <v>0</v>
      </c>
      <c r="I1557" s="240">
        <v>0</v>
      </c>
    </row>
    <row r="1558" spans="1:9" s="207" customFormat="1" ht="15" customHeight="1">
      <c r="A1558" s="346"/>
      <c r="B1558" s="26" t="s">
        <v>30</v>
      </c>
      <c r="C1558" s="84">
        <f t="shared" si="342"/>
        <v>291</v>
      </c>
      <c r="D1558" s="84">
        <v>0</v>
      </c>
      <c r="E1558" s="72">
        <v>291</v>
      </c>
      <c r="F1558" s="84">
        <v>0</v>
      </c>
      <c r="G1558" s="84">
        <v>0</v>
      </c>
      <c r="H1558" s="84">
        <v>0</v>
      </c>
      <c r="I1558" s="84">
        <v>0</v>
      </c>
    </row>
    <row r="1559" spans="1:9">
      <c r="A1559" s="643" t="s">
        <v>285</v>
      </c>
      <c r="B1559" s="644"/>
      <c r="C1559" s="645"/>
      <c r="D1559" s="645"/>
      <c r="E1559" s="645"/>
      <c r="F1559" s="645"/>
      <c r="G1559" s="645"/>
      <c r="H1559" s="645"/>
      <c r="I1559" s="646"/>
    </row>
    <row r="1560" spans="1:9">
      <c r="A1560" s="31" t="s">
        <v>54</v>
      </c>
      <c r="B1560" s="97" t="s">
        <v>29</v>
      </c>
      <c r="C1560" s="130">
        <f t="shared" ref="C1560:C1579" si="343">D1560+E1560+F1560+G1560+H1560+I1560</f>
        <v>136.35</v>
      </c>
      <c r="D1560" s="130">
        <f t="shared" ref="D1560:I1567" si="344">D1562</f>
        <v>136.35</v>
      </c>
      <c r="E1560" s="130">
        <f t="shared" si="344"/>
        <v>0</v>
      </c>
      <c r="F1560" s="130">
        <f t="shared" si="344"/>
        <v>0</v>
      </c>
      <c r="G1560" s="130">
        <f t="shared" si="344"/>
        <v>0</v>
      </c>
      <c r="H1560" s="130">
        <f t="shared" si="344"/>
        <v>0</v>
      </c>
      <c r="I1560" s="130">
        <f t="shared" si="344"/>
        <v>0</v>
      </c>
    </row>
    <row r="1561" spans="1:9">
      <c r="A1561" s="21" t="s">
        <v>87</v>
      </c>
      <c r="B1561" s="132" t="s">
        <v>30</v>
      </c>
      <c r="C1561" s="130">
        <f t="shared" si="343"/>
        <v>136.35</v>
      </c>
      <c r="D1561" s="130">
        <f t="shared" si="344"/>
        <v>136.35</v>
      </c>
      <c r="E1561" s="130">
        <f t="shared" si="344"/>
        <v>0</v>
      </c>
      <c r="F1561" s="130">
        <f t="shared" si="344"/>
        <v>0</v>
      </c>
      <c r="G1561" s="130">
        <f t="shared" si="344"/>
        <v>0</v>
      </c>
      <c r="H1561" s="130">
        <f t="shared" si="344"/>
        <v>0</v>
      </c>
      <c r="I1561" s="130">
        <f t="shared" si="344"/>
        <v>0</v>
      </c>
    </row>
    <row r="1562" spans="1:9">
      <c r="A1562" s="47" t="s">
        <v>60</v>
      </c>
      <c r="B1562" s="24" t="s">
        <v>29</v>
      </c>
      <c r="C1562" s="52">
        <f t="shared" si="343"/>
        <v>136.35</v>
      </c>
      <c r="D1562" s="52">
        <f t="shared" si="344"/>
        <v>136.35</v>
      </c>
      <c r="E1562" s="52">
        <f t="shared" si="344"/>
        <v>0</v>
      </c>
      <c r="F1562" s="52">
        <f t="shared" si="344"/>
        <v>0</v>
      </c>
      <c r="G1562" s="52">
        <f t="shared" si="344"/>
        <v>0</v>
      </c>
      <c r="H1562" s="52">
        <f t="shared" si="344"/>
        <v>0</v>
      </c>
      <c r="I1562" s="52">
        <f t="shared" si="344"/>
        <v>0</v>
      </c>
    </row>
    <row r="1563" spans="1:9">
      <c r="A1563" s="12" t="s">
        <v>48</v>
      </c>
      <c r="B1563" s="26" t="s">
        <v>30</v>
      </c>
      <c r="C1563" s="52">
        <f t="shared" si="343"/>
        <v>136.35</v>
      </c>
      <c r="D1563" s="52">
        <f t="shared" si="344"/>
        <v>136.35</v>
      </c>
      <c r="E1563" s="52">
        <f t="shared" si="344"/>
        <v>0</v>
      </c>
      <c r="F1563" s="52">
        <f t="shared" si="344"/>
        <v>0</v>
      </c>
      <c r="G1563" s="52">
        <f t="shared" si="344"/>
        <v>0</v>
      </c>
      <c r="H1563" s="52">
        <f t="shared" si="344"/>
        <v>0</v>
      </c>
      <c r="I1563" s="52">
        <f t="shared" si="344"/>
        <v>0</v>
      </c>
    </row>
    <row r="1564" spans="1:9" ht="12.95">
      <c r="A1564" s="19" t="s">
        <v>37</v>
      </c>
      <c r="B1564" s="3" t="s">
        <v>29</v>
      </c>
      <c r="C1564" s="52">
        <f t="shared" si="343"/>
        <v>136.35</v>
      </c>
      <c r="D1564" s="52">
        <f t="shared" si="344"/>
        <v>136.35</v>
      </c>
      <c r="E1564" s="52">
        <f t="shared" si="344"/>
        <v>0</v>
      </c>
      <c r="F1564" s="52">
        <f t="shared" si="344"/>
        <v>0</v>
      </c>
      <c r="G1564" s="52">
        <f t="shared" si="344"/>
        <v>0</v>
      </c>
      <c r="H1564" s="52">
        <f t="shared" si="344"/>
        <v>0</v>
      </c>
      <c r="I1564" s="52">
        <f t="shared" si="344"/>
        <v>0</v>
      </c>
    </row>
    <row r="1565" spans="1:9" ht="12.95">
      <c r="A1565" s="16"/>
      <c r="B1565" s="4" t="s">
        <v>30</v>
      </c>
      <c r="C1565" s="52">
        <f t="shared" si="343"/>
        <v>136.35</v>
      </c>
      <c r="D1565" s="52">
        <f t="shared" si="344"/>
        <v>136.35</v>
      </c>
      <c r="E1565" s="52">
        <f t="shared" si="344"/>
        <v>0</v>
      </c>
      <c r="F1565" s="52">
        <f t="shared" si="344"/>
        <v>0</v>
      </c>
      <c r="G1565" s="52">
        <f t="shared" si="344"/>
        <v>0</v>
      </c>
      <c r="H1565" s="52">
        <f t="shared" si="344"/>
        <v>0</v>
      </c>
      <c r="I1565" s="52">
        <f t="shared" si="344"/>
        <v>0</v>
      </c>
    </row>
    <row r="1566" spans="1:9">
      <c r="A1566" s="28" t="s">
        <v>50</v>
      </c>
      <c r="B1566" s="24" t="s">
        <v>29</v>
      </c>
      <c r="C1566" s="52">
        <f t="shared" si="343"/>
        <v>136.35</v>
      </c>
      <c r="D1566" s="52">
        <f t="shared" si="344"/>
        <v>136.35</v>
      </c>
      <c r="E1566" s="52">
        <f t="shared" si="344"/>
        <v>0</v>
      </c>
      <c r="F1566" s="52">
        <f t="shared" si="344"/>
        <v>0</v>
      </c>
      <c r="G1566" s="52">
        <f t="shared" si="344"/>
        <v>0</v>
      </c>
      <c r="H1566" s="52">
        <f t="shared" si="344"/>
        <v>0</v>
      </c>
      <c r="I1566" s="52">
        <f t="shared" si="344"/>
        <v>0</v>
      </c>
    </row>
    <row r="1567" spans="1:9">
      <c r="A1567" s="12"/>
      <c r="B1567" s="26" t="s">
        <v>30</v>
      </c>
      <c r="C1567" s="52">
        <f t="shared" si="343"/>
        <v>136.35</v>
      </c>
      <c r="D1567" s="52">
        <f t="shared" si="344"/>
        <v>136.35</v>
      </c>
      <c r="E1567" s="52">
        <f t="shared" si="344"/>
        <v>0</v>
      </c>
      <c r="F1567" s="52">
        <f t="shared" si="344"/>
        <v>0</v>
      </c>
      <c r="G1567" s="52">
        <f t="shared" si="344"/>
        <v>0</v>
      </c>
      <c r="H1567" s="52">
        <f t="shared" si="344"/>
        <v>0</v>
      </c>
      <c r="I1567" s="52">
        <f t="shared" si="344"/>
        <v>0</v>
      </c>
    </row>
    <row r="1568" spans="1:9" s="95" customFormat="1">
      <c r="A1568" s="96" t="s">
        <v>42</v>
      </c>
      <c r="B1568" s="129" t="s">
        <v>29</v>
      </c>
      <c r="C1568" s="130">
        <f t="shared" si="343"/>
        <v>136.35</v>
      </c>
      <c r="D1568" s="130">
        <f>D1570+D1574</f>
        <v>136.35</v>
      </c>
      <c r="E1568" s="130">
        <f t="shared" ref="E1568:I1569" si="345">E1570+E1574</f>
        <v>0</v>
      </c>
      <c r="F1568" s="130">
        <f t="shared" si="345"/>
        <v>0</v>
      </c>
      <c r="G1568" s="130">
        <f t="shared" si="345"/>
        <v>0</v>
      </c>
      <c r="H1568" s="130">
        <f t="shared" si="345"/>
        <v>0</v>
      </c>
      <c r="I1568" s="130">
        <f t="shared" si="345"/>
        <v>0</v>
      </c>
    </row>
    <row r="1569" spans="1:9" s="95" customFormat="1">
      <c r="A1569" s="131"/>
      <c r="B1569" s="132" t="s">
        <v>30</v>
      </c>
      <c r="C1569" s="130">
        <f t="shared" si="343"/>
        <v>136.35</v>
      </c>
      <c r="D1569" s="130">
        <f>D1571+D1575</f>
        <v>136.35</v>
      </c>
      <c r="E1569" s="130">
        <f t="shared" si="345"/>
        <v>0</v>
      </c>
      <c r="F1569" s="130">
        <f t="shared" si="345"/>
        <v>0</v>
      </c>
      <c r="G1569" s="130">
        <f t="shared" si="345"/>
        <v>0</v>
      </c>
      <c r="H1569" s="130">
        <f t="shared" si="345"/>
        <v>0</v>
      </c>
      <c r="I1569" s="130">
        <f t="shared" si="345"/>
        <v>0</v>
      </c>
    </row>
    <row r="1570" spans="1:9" s="211" customFormat="1">
      <c r="A1570" s="128" t="s">
        <v>286</v>
      </c>
      <c r="B1570" s="305" t="s">
        <v>29</v>
      </c>
      <c r="C1570" s="246">
        <f t="shared" si="343"/>
        <v>18.75</v>
      </c>
      <c r="D1570" s="246">
        <f t="shared" ref="D1570:I1571" si="346">D1572</f>
        <v>18.75</v>
      </c>
      <c r="E1570" s="246">
        <f t="shared" si="346"/>
        <v>0</v>
      </c>
      <c r="F1570" s="246">
        <f t="shared" si="346"/>
        <v>0</v>
      </c>
      <c r="G1570" s="246">
        <f t="shared" si="346"/>
        <v>0</v>
      </c>
      <c r="H1570" s="246">
        <f t="shared" si="346"/>
        <v>0</v>
      </c>
      <c r="I1570" s="246">
        <f t="shared" si="346"/>
        <v>0</v>
      </c>
    </row>
    <row r="1571" spans="1:9" s="211" customFormat="1">
      <c r="A1571" s="215"/>
      <c r="B1571" s="217" t="s">
        <v>30</v>
      </c>
      <c r="C1571" s="246">
        <f t="shared" si="343"/>
        <v>18.75</v>
      </c>
      <c r="D1571" s="246">
        <f t="shared" si="346"/>
        <v>18.75</v>
      </c>
      <c r="E1571" s="246">
        <f t="shared" si="346"/>
        <v>0</v>
      </c>
      <c r="F1571" s="246">
        <f t="shared" si="346"/>
        <v>0</v>
      </c>
      <c r="G1571" s="246">
        <f t="shared" si="346"/>
        <v>0</v>
      </c>
      <c r="H1571" s="246">
        <f t="shared" si="346"/>
        <v>0</v>
      </c>
      <c r="I1571" s="246">
        <f t="shared" si="346"/>
        <v>0</v>
      </c>
    </row>
    <row r="1572" spans="1:9" s="212" customFormat="1" ht="15" customHeight="1">
      <c r="A1572" s="527" t="s">
        <v>616</v>
      </c>
      <c r="B1572" s="281" t="s">
        <v>29</v>
      </c>
      <c r="C1572" s="240">
        <f t="shared" si="343"/>
        <v>18.75</v>
      </c>
      <c r="D1572" s="240">
        <v>18.75</v>
      </c>
      <c r="E1572" s="240">
        <v>0</v>
      </c>
      <c r="F1572" s="240">
        <v>0</v>
      </c>
      <c r="G1572" s="240">
        <v>0</v>
      </c>
      <c r="H1572" s="240">
        <v>0</v>
      </c>
      <c r="I1572" s="240">
        <v>0</v>
      </c>
    </row>
    <row r="1573" spans="1:9" s="211" customFormat="1">
      <c r="A1573" s="215"/>
      <c r="B1573" s="217" t="s">
        <v>30</v>
      </c>
      <c r="C1573" s="246">
        <f t="shared" si="343"/>
        <v>18.75</v>
      </c>
      <c r="D1573" s="246">
        <v>18.75</v>
      </c>
      <c r="E1573" s="246">
        <v>0</v>
      </c>
      <c r="F1573" s="246">
        <v>0</v>
      </c>
      <c r="G1573" s="246">
        <v>0</v>
      </c>
      <c r="H1573" s="246">
        <v>0</v>
      </c>
      <c r="I1573" s="246">
        <v>0</v>
      </c>
    </row>
    <row r="1574" spans="1:9" s="211" customFormat="1">
      <c r="A1574" s="227" t="s">
        <v>292</v>
      </c>
      <c r="B1574" s="305" t="s">
        <v>29</v>
      </c>
      <c r="C1574" s="246">
        <f t="shared" si="343"/>
        <v>117.6</v>
      </c>
      <c r="D1574" s="246">
        <f>D1576+D1578</f>
        <v>117.6</v>
      </c>
      <c r="E1574" s="246">
        <f t="shared" ref="E1574:I1575" si="347">E1576+E1578</f>
        <v>0</v>
      </c>
      <c r="F1574" s="246">
        <f t="shared" si="347"/>
        <v>0</v>
      </c>
      <c r="G1574" s="246">
        <f t="shared" si="347"/>
        <v>0</v>
      </c>
      <c r="H1574" s="246">
        <f t="shared" si="347"/>
        <v>0</v>
      </c>
      <c r="I1574" s="246">
        <f t="shared" si="347"/>
        <v>0</v>
      </c>
    </row>
    <row r="1575" spans="1:9" s="211" customFormat="1">
      <c r="A1575" s="215"/>
      <c r="B1575" s="217" t="s">
        <v>30</v>
      </c>
      <c r="C1575" s="246">
        <f t="shared" si="343"/>
        <v>117.6</v>
      </c>
      <c r="D1575" s="246">
        <f>D1577+D1579</f>
        <v>117.6</v>
      </c>
      <c r="E1575" s="246">
        <f t="shared" si="347"/>
        <v>0</v>
      </c>
      <c r="F1575" s="246">
        <f t="shared" si="347"/>
        <v>0</v>
      </c>
      <c r="G1575" s="246">
        <f t="shared" si="347"/>
        <v>0</v>
      </c>
      <c r="H1575" s="246">
        <f t="shared" si="347"/>
        <v>0</v>
      </c>
      <c r="I1575" s="246">
        <f t="shared" si="347"/>
        <v>0</v>
      </c>
    </row>
    <row r="1576" spans="1:9" s="212" customFormat="1" ht="27.75" customHeight="1">
      <c r="A1576" s="331" t="s">
        <v>617</v>
      </c>
      <c r="B1576" s="305" t="s">
        <v>29</v>
      </c>
      <c r="C1576" s="240">
        <f t="shared" si="343"/>
        <v>47.6</v>
      </c>
      <c r="D1576" s="240">
        <v>47.6</v>
      </c>
      <c r="E1576" s="240">
        <v>0</v>
      </c>
      <c r="F1576" s="240">
        <v>0</v>
      </c>
      <c r="G1576" s="240">
        <v>0</v>
      </c>
      <c r="H1576" s="240">
        <v>0</v>
      </c>
      <c r="I1576" s="240">
        <v>0</v>
      </c>
    </row>
    <row r="1577" spans="1:9" s="211" customFormat="1">
      <c r="A1577" s="215"/>
      <c r="B1577" s="217" t="s">
        <v>30</v>
      </c>
      <c r="C1577" s="246">
        <f t="shared" si="343"/>
        <v>47.6</v>
      </c>
      <c r="D1577" s="246">
        <v>47.6</v>
      </c>
      <c r="E1577" s="246">
        <v>0</v>
      </c>
      <c r="F1577" s="246">
        <v>0</v>
      </c>
      <c r="G1577" s="246">
        <v>0</v>
      </c>
      <c r="H1577" s="246">
        <v>0</v>
      </c>
      <c r="I1577" s="246">
        <v>0</v>
      </c>
    </row>
    <row r="1578" spans="1:9" s="212" customFormat="1" ht="28.5" customHeight="1">
      <c r="A1578" s="386" t="s">
        <v>618</v>
      </c>
      <c r="B1578" s="281" t="s">
        <v>29</v>
      </c>
      <c r="C1578" s="240">
        <f t="shared" si="343"/>
        <v>70</v>
      </c>
      <c r="D1578" s="240">
        <v>70</v>
      </c>
      <c r="E1578" s="240">
        <v>0</v>
      </c>
      <c r="F1578" s="240">
        <v>0</v>
      </c>
      <c r="G1578" s="240">
        <v>0</v>
      </c>
      <c r="H1578" s="240">
        <v>0</v>
      </c>
      <c r="I1578" s="240">
        <v>0</v>
      </c>
    </row>
    <row r="1579" spans="1:9" s="211" customFormat="1">
      <c r="A1579" s="215"/>
      <c r="B1579" s="217" t="s">
        <v>30</v>
      </c>
      <c r="C1579" s="246">
        <f t="shared" si="343"/>
        <v>70</v>
      </c>
      <c r="D1579" s="246">
        <v>70</v>
      </c>
      <c r="E1579" s="246">
        <v>0</v>
      </c>
      <c r="F1579" s="246">
        <v>0</v>
      </c>
      <c r="G1579" s="246">
        <v>0</v>
      </c>
      <c r="H1579" s="246">
        <v>0</v>
      </c>
      <c r="I1579" s="246">
        <v>0</v>
      </c>
    </row>
    <row r="1580" spans="1:9">
      <c r="A1580" s="341" t="s">
        <v>297</v>
      </c>
      <c r="B1580" s="342"/>
      <c r="C1580" s="342"/>
      <c r="D1580" s="342"/>
      <c r="E1580" s="342"/>
      <c r="F1580" s="342"/>
      <c r="G1580" s="342"/>
      <c r="H1580" s="342"/>
      <c r="I1580" s="343"/>
    </row>
    <row r="1581" spans="1:9">
      <c r="A1581" s="31" t="s">
        <v>54</v>
      </c>
      <c r="B1581" s="129" t="s">
        <v>29</v>
      </c>
      <c r="C1581" s="130">
        <f t="shared" ref="C1581:C1594" si="348">D1581+E1581+F1581+G1581+H1581+I1581</f>
        <v>20</v>
      </c>
      <c r="D1581" s="130">
        <f t="shared" ref="D1581:I1592" si="349">D1583</f>
        <v>20</v>
      </c>
      <c r="E1581" s="130">
        <f t="shared" si="349"/>
        <v>0</v>
      </c>
      <c r="F1581" s="130">
        <f t="shared" si="349"/>
        <v>0</v>
      </c>
      <c r="G1581" s="130">
        <f t="shared" si="349"/>
        <v>0</v>
      </c>
      <c r="H1581" s="130">
        <f t="shared" si="349"/>
        <v>0</v>
      </c>
      <c r="I1581" s="130">
        <f t="shared" si="349"/>
        <v>0</v>
      </c>
    </row>
    <row r="1582" spans="1:9">
      <c r="A1582" s="21" t="s">
        <v>87</v>
      </c>
      <c r="B1582" s="132" t="s">
        <v>30</v>
      </c>
      <c r="C1582" s="130">
        <f t="shared" si="348"/>
        <v>20</v>
      </c>
      <c r="D1582" s="130">
        <f t="shared" si="349"/>
        <v>20</v>
      </c>
      <c r="E1582" s="130">
        <f t="shared" si="349"/>
        <v>0</v>
      </c>
      <c r="F1582" s="130">
        <f t="shared" si="349"/>
        <v>0</v>
      </c>
      <c r="G1582" s="130">
        <f t="shared" si="349"/>
        <v>0</v>
      </c>
      <c r="H1582" s="130">
        <f t="shared" si="349"/>
        <v>0</v>
      </c>
      <c r="I1582" s="130">
        <f t="shared" si="349"/>
        <v>0</v>
      </c>
    </row>
    <row r="1583" spans="1:9">
      <c r="A1583" s="307" t="s">
        <v>60</v>
      </c>
      <c r="B1583" s="24" t="s">
        <v>29</v>
      </c>
      <c r="C1583" s="52">
        <f t="shared" si="348"/>
        <v>20</v>
      </c>
      <c r="D1583" s="52">
        <f t="shared" si="349"/>
        <v>20</v>
      </c>
      <c r="E1583" s="52">
        <f t="shared" si="349"/>
        <v>0</v>
      </c>
      <c r="F1583" s="52">
        <f t="shared" si="349"/>
        <v>0</v>
      </c>
      <c r="G1583" s="52">
        <f t="shared" si="349"/>
        <v>0</v>
      </c>
      <c r="H1583" s="52">
        <f t="shared" si="349"/>
        <v>0</v>
      </c>
      <c r="I1583" s="52">
        <f t="shared" si="349"/>
        <v>0</v>
      </c>
    </row>
    <row r="1584" spans="1:9">
      <c r="A1584" s="10" t="s">
        <v>32</v>
      </c>
      <c r="B1584" s="26" t="s">
        <v>30</v>
      </c>
      <c r="C1584" s="52">
        <f t="shared" si="348"/>
        <v>20</v>
      </c>
      <c r="D1584" s="52">
        <f t="shared" si="349"/>
        <v>20</v>
      </c>
      <c r="E1584" s="52">
        <f t="shared" si="349"/>
        <v>0</v>
      </c>
      <c r="F1584" s="52">
        <f t="shared" si="349"/>
        <v>0</v>
      </c>
      <c r="G1584" s="52">
        <f t="shared" si="349"/>
        <v>0</v>
      </c>
      <c r="H1584" s="52">
        <f t="shared" si="349"/>
        <v>0</v>
      </c>
      <c r="I1584" s="52">
        <f t="shared" si="349"/>
        <v>0</v>
      </c>
    </row>
    <row r="1585" spans="1:9" ht="12.95">
      <c r="A1585" s="19" t="s">
        <v>37</v>
      </c>
      <c r="B1585" s="3" t="s">
        <v>29</v>
      </c>
      <c r="C1585" s="52">
        <f t="shared" si="348"/>
        <v>20</v>
      </c>
      <c r="D1585" s="52">
        <f t="shared" si="349"/>
        <v>20</v>
      </c>
      <c r="E1585" s="52">
        <f t="shared" si="349"/>
        <v>0</v>
      </c>
      <c r="F1585" s="52">
        <f t="shared" si="349"/>
        <v>0</v>
      </c>
      <c r="G1585" s="52">
        <f t="shared" si="349"/>
        <v>0</v>
      </c>
      <c r="H1585" s="52">
        <f t="shared" si="349"/>
        <v>0</v>
      </c>
      <c r="I1585" s="52">
        <f t="shared" si="349"/>
        <v>0</v>
      </c>
    </row>
    <row r="1586" spans="1:9" ht="12.95">
      <c r="A1586" s="16"/>
      <c r="B1586" s="4" t="s">
        <v>30</v>
      </c>
      <c r="C1586" s="52">
        <f t="shared" si="348"/>
        <v>20</v>
      </c>
      <c r="D1586" s="52">
        <f t="shared" si="349"/>
        <v>20</v>
      </c>
      <c r="E1586" s="52">
        <f t="shared" si="349"/>
        <v>0</v>
      </c>
      <c r="F1586" s="52">
        <f t="shared" si="349"/>
        <v>0</v>
      </c>
      <c r="G1586" s="52">
        <f t="shared" si="349"/>
        <v>0</v>
      </c>
      <c r="H1586" s="52">
        <f t="shared" si="349"/>
        <v>0</v>
      </c>
      <c r="I1586" s="52">
        <f t="shared" si="349"/>
        <v>0</v>
      </c>
    </row>
    <row r="1587" spans="1:9" ht="12.95">
      <c r="A1587" s="18" t="s">
        <v>38</v>
      </c>
      <c r="B1587" s="3" t="s">
        <v>29</v>
      </c>
      <c r="C1587" s="52">
        <f t="shared" si="348"/>
        <v>20</v>
      </c>
      <c r="D1587" s="52">
        <f t="shared" si="349"/>
        <v>20</v>
      </c>
      <c r="E1587" s="52">
        <f t="shared" si="349"/>
        <v>0</v>
      </c>
      <c r="F1587" s="52">
        <f t="shared" si="349"/>
        <v>0</v>
      </c>
      <c r="G1587" s="52">
        <f t="shared" si="349"/>
        <v>0</v>
      </c>
      <c r="H1587" s="52">
        <f t="shared" si="349"/>
        <v>0</v>
      </c>
      <c r="I1587" s="52">
        <f t="shared" si="349"/>
        <v>0</v>
      </c>
    </row>
    <row r="1588" spans="1:9">
      <c r="A1588" s="12"/>
      <c r="B1588" s="4" t="s">
        <v>30</v>
      </c>
      <c r="C1588" s="52">
        <f t="shared" si="348"/>
        <v>20</v>
      </c>
      <c r="D1588" s="52">
        <f t="shared" si="349"/>
        <v>20</v>
      </c>
      <c r="E1588" s="52">
        <f t="shared" si="349"/>
        <v>0</v>
      </c>
      <c r="F1588" s="52">
        <f t="shared" si="349"/>
        <v>0</v>
      </c>
      <c r="G1588" s="52">
        <f t="shared" si="349"/>
        <v>0</v>
      </c>
      <c r="H1588" s="52">
        <f t="shared" si="349"/>
        <v>0</v>
      </c>
      <c r="I1588" s="52">
        <f t="shared" si="349"/>
        <v>0</v>
      </c>
    </row>
    <row r="1589" spans="1:9" s="95" customFormat="1">
      <c r="A1589" s="58" t="s">
        <v>42</v>
      </c>
      <c r="B1589" s="129" t="s">
        <v>29</v>
      </c>
      <c r="C1589" s="130">
        <f t="shared" si="348"/>
        <v>20</v>
      </c>
      <c r="D1589" s="130">
        <f t="shared" si="349"/>
        <v>20</v>
      </c>
      <c r="E1589" s="130">
        <f t="shared" si="349"/>
        <v>0</v>
      </c>
      <c r="F1589" s="130">
        <f t="shared" si="349"/>
        <v>0</v>
      </c>
      <c r="G1589" s="130">
        <f t="shared" si="349"/>
        <v>0</v>
      </c>
      <c r="H1589" s="130">
        <f t="shared" si="349"/>
        <v>0</v>
      </c>
      <c r="I1589" s="130">
        <f t="shared" si="349"/>
        <v>0</v>
      </c>
    </row>
    <row r="1590" spans="1:9" s="95" customFormat="1">
      <c r="A1590" s="134"/>
      <c r="B1590" s="127" t="s">
        <v>30</v>
      </c>
      <c r="C1590" s="125">
        <f t="shared" si="348"/>
        <v>20</v>
      </c>
      <c r="D1590" s="130">
        <f t="shared" si="349"/>
        <v>20</v>
      </c>
      <c r="E1590" s="130">
        <f t="shared" si="349"/>
        <v>0</v>
      </c>
      <c r="F1590" s="130">
        <f t="shared" si="349"/>
        <v>0</v>
      </c>
      <c r="G1590" s="130">
        <f t="shared" si="349"/>
        <v>0</v>
      </c>
      <c r="H1590" s="130">
        <f t="shared" si="349"/>
        <v>0</v>
      </c>
      <c r="I1590" s="130">
        <f t="shared" si="349"/>
        <v>0</v>
      </c>
    </row>
    <row r="1591" spans="1:9" s="126" customFormat="1" ht="28.35">
      <c r="A1591" s="383" t="s">
        <v>619</v>
      </c>
      <c r="B1591" s="124" t="s">
        <v>29</v>
      </c>
      <c r="C1591" s="125">
        <f t="shared" si="348"/>
        <v>20</v>
      </c>
      <c r="D1591" s="125">
        <f>D1593</f>
        <v>20</v>
      </c>
      <c r="E1591" s="125">
        <f t="shared" si="349"/>
        <v>0</v>
      </c>
      <c r="F1591" s="125">
        <f t="shared" si="349"/>
        <v>0</v>
      </c>
      <c r="G1591" s="125">
        <f t="shared" si="349"/>
        <v>0</v>
      </c>
      <c r="H1591" s="125">
        <f t="shared" si="349"/>
        <v>0</v>
      </c>
      <c r="I1591" s="125">
        <f t="shared" si="349"/>
        <v>0</v>
      </c>
    </row>
    <row r="1592" spans="1:9" s="126" customFormat="1">
      <c r="A1592" s="134"/>
      <c r="B1592" s="127" t="s">
        <v>30</v>
      </c>
      <c r="C1592" s="125">
        <f t="shared" si="348"/>
        <v>20</v>
      </c>
      <c r="D1592" s="125">
        <f>D1594</f>
        <v>20</v>
      </c>
      <c r="E1592" s="125">
        <f t="shared" si="349"/>
        <v>0</v>
      </c>
      <c r="F1592" s="125">
        <f t="shared" si="349"/>
        <v>0</v>
      </c>
      <c r="G1592" s="125">
        <f t="shared" si="349"/>
        <v>0</v>
      </c>
      <c r="H1592" s="125">
        <f t="shared" si="349"/>
        <v>0</v>
      </c>
      <c r="I1592" s="125">
        <f t="shared" si="349"/>
        <v>0</v>
      </c>
    </row>
    <row r="1593" spans="1:9" s="213" customFormat="1" ht="15" customHeight="1">
      <c r="A1593" s="526" t="s">
        <v>620</v>
      </c>
      <c r="B1593" s="237" t="s">
        <v>29</v>
      </c>
      <c r="C1593" s="240">
        <f t="shared" si="348"/>
        <v>20</v>
      </c>
      <c r="D1593" s="240">
        <v>20</v>
      </c>
      <c r="E1593" s="240">
        <v>0</v>
      </c>
      <c r="F1593" s="240">
        <v>0</v>
      </c>
      <c r="G1593" s="240">
        <v>0</v>
      </c>
      <c r="H1593" s="240">
        <v>0</v>
      </c>
      <c r="I1593" s="240">
        <v>0</v>
      </c>
    </row>
    <row r="1594" spans="1:9" s="102" customFormat="1">
      <c r="A1594" s="88"/>
      <c r="B1594" s="123" t="s">
        <v>30</v>
      </c>
      <c r="C1594" s="78">
        <f t="shared" si="348"/>
        <v>20</v>
      </c>
      <c r="D1594" s="78">
        <v>20</v>
      </c>
      <c r="E1594" s="78">
        <v>0</v>
      </c>
      <c r="F1594" s="78">
        <v>0</v>
      </c>
      <c r="G1594" s="78">
        <v>0</v>
      </c>
      <c r="H1594" s="78">
        <v>0</v>
      </c>
      <c r="I1594" s="78">
        <v>0</v>
      </c>
    </row>
    <row r="1595" spans="1:9">
      <c r="A1595" s="662" t="s">
        <v>86</v>
      </c>
      <c r="B1595" s="645"/>
      <c r="C1595" s="645"/>
      <c r="D1595" s="645"/>
      <c r="E1595" s="645"/>
      <c r="F1595" s="645"/>
      <c r="G1595" s="645"/>
      <c r="H1595" s="645"/>
      <c r="I1595" s="646"/>
    </row>
    <row r="1596" spans="1:9">
      <c r="A1596" s="31" t="s">
        <v>54</v>
      </c>
      <c r="B1596" s="129" t="s">
        <v>29</v>
      </c>
      <c r="C1596" s="130">
        <f t="shared" ref="C1596:C1695" si="350">D1596+E1596+F1596+G1596+H1596+I1596</f>
        <v>4862.9669999999996</v>
      </c>
      <c r="D1596" s="130">
        <f t="shared" ref="D1596:I1603" si="351">D1598</f>
        <v>3115.7469999999998</v>
      </c>
      <c r="E1596" s="130">
        <f t="shared" si="351"/>
        <v>754</v>
      </c>
      <c r="F1596" s="130">
        <f t="shared" si="351"/>
        <v>0</v>
      </c>
      <c r="G1596" s="130">
        <f t="shared" si="351"/>
        <v>0</v>
      </c>
      <c r="H1596" s="130">
        <f t="shared" si="351"/>
        <v>0</v>
      </c>
      <c r="I1596" s="130">
        <f t="shared" si="351"/>
        <v>993.22</v>
      </c>
    </row>
    <row r="1597" spans="1:9">
      <c r="A1597" s="21" t="s">
        <v>87</v>
      </c>
      <c r="B1597" s="132" t="s">
        <v>30</v>
      </c>
      <c r="C1597" s="130">
        <f t="shared" si="350"/>
        <v>4862.9669999999996</v>
      </c>
      <c r="D1597" s="130">
        <f t="shared" si="351"/>
        <v>3115.7469999999998</v>
      </c>
      <c r="E1597" s="130">
        <f t="shared" si="351"/>
        <v>754</v>
      </c>
      <c r="F1597" s="130">
        <f t="shared" si="351"/>
        <v>0</v>
      </c>
      <c r="G1597" s="130">
        <f t="shared" si="351"/>
        <v>0</v>
      </c>
      <c r="H1597" s="130">
        <f t="shared" si="351"/>
        <v>0</v>
      </c>
      <c r="I1597" s="130">
        <f t="shared" si="351"/>
        <v>993.22</v>
      </c>
    </row>
    <row r="1598" spans="1:9">
      <c r="A1598" s="14" t="s">
        <v>478</v>
      </c>
      <c r="B1598" s="24" t="s">
        <v>29</v>
      </c>
      <c r="C1598" s="52">
        <f t="shared" si="350"/>
        <v>4862.9669999999996</v>
      </c>
      <c r="D1598" s="52">
        <f t="shared" si="351"/>
        <v>3115.7469999999998</v>
      </c>
      <c r="E1598" s="52">
        <f t="shared" si="351"/>
        <v>754</v>
      </c>
      <c r="F1598" s="52">
        <f t="shared" si="351"/>
        <v>0</v>
      </c>
      <c r="G1598" s="52">
        <f t="shared" si="351"/>
        <v>0</v>
      </c>
      <c r="H1598" s="52">
        <f t="shared" si="351"/>
        <v>0</v>
      </c>
      <c r="I1598" s="52">
        <f t="shared" si="351"/>
        <v>993.22</v>
      </c>
    </row>
    <row r="1599" spans="1:9">
      <c r="A1599" s="10" t="s">
        <v>32</v>
      </c>
      <c r="B1599" s="26" t="s">
        <v>30</v>
      </c>
      <c r="C1599" s="52">
        <f t="shared" si="350"/>
        <v>4862.9669999999996</v>
      </c>
      <c r="D1599" s="52">
        <f t="shared" si="351"/>
        <v>3115.7469999999998</v>
      </c>
      <c r="E1599" s="52">
        <f t="shared" si="351"/>
        <v>754</v>
      </c>
      <c r="F1599" s="52">
        <f t="shared" si="351"/>
        <v>0</v>
      </c>
      <c r="G1599" s="52">
        <f t="shared" si="351"/>
        <v>0</v>
      </c>
      <c r="H1599" s="52">
        <f t="shared" si="351"/>
        <v>0</v>
      </c>
      <c r="I1599" s="52">
        <f t="shared" si="351"/>
        <v>993.22</v>
      </c>
    </row>
    <row r="1600" spans="1:9" ht="12.95">
      <c r="A1600" s="19" t="s">
        <v>37</v>
      </c>
      <c r="B1600" s="3" t="s">
        <v>29</v>
      </c>
      <c r="C1600" s="52">
        <f t="shared" si="350"/>
        <v>4862.9669999999996</v>
      </c>
      <c r="D1600" s="52">
        <f t="shared" si="351"/>
        <v>3115.7469999999998</v>
      </c>
      <c r="E1600" s="52">
        <f t="shared" si="351"/>
        <v>754</v>
      </c>
      <c r="F1600" s="52">
        <f t="shared" si="351"/>
        <v>0</v>
      </c>
      <c r="G1600" s="52">
        <f t="shared" si="351"/>
        <v>0</v>
      </c>
      <c r="H1600" s="52">
        <f t="shared" si="351"/>
        <v>0</v>
      </c>
      <c r="I1600" s="52">
        <f t="shared" si="351"/>
        <v>993.22</v>
      </c>
    </row>
    <row r="1601" spans="1:9" ht="12.95">
      <c r="A1601" s="16"/>
      <c r="B1601" s="4" t="s">
        <v>30</v>
      </c>
      <c r="C1601" s="52">
        <f t="shared" si="350"/>
        <v>4862.9669999999996</v>
      </c>
      <c r="D1601" s="52">
        <f t="shared" si="351"/>
        <v>3115.7469999999998</v>
      </c>
      <c r="E1601" s="52">
        <f t="shared" si="351"/>
        <v>754</v>
      </c>
      <c r="F1601" s="52">
        <f t="shared" si="351"/>
        <v>0</v>
      </c>
      <c r="G1601" s="52">
        <f t="shared" si="351"/>
        <v>0</v>
      </c>
      <c r="H1601" s="52">
        <f t="shared" si="351"/>
        <v>0</v>
      </c>
      <c r="I1601" s="52">
        <f t="shared" si="351"/>
        <v>993.22</v>
      </c>
    </row>
    <row r="1602" spans="1:9" ht="12.95">
      <c r="A1602" s="18" t="s">
        <v>38</v>
      </c>
      <c r="B1602" s="3" t="s">
        <v>29</v>
      </c>
      <c r="C1602" s="52">
        <f t="shared" si="350"/>
        <v>4862.9669999999996</v>
      </c>
      <c r="D1602" s="52">
        <f t="shared" si="351"/>
        <v>3115.7469999999998</v>
      </c>
      <c r="E1602" s="52">
        <f t="shared" si="351"/>
        <v>754</v>
      </c>
      <c r="F1602" s="52">
        <f t="shared" si="351"/>
        <v>0</v>
      </c>
      <c r="G1602" s="52">
        <f t="shared" si="351"/>
        <v>0</v>
      </c>
      <c r="H1602" s="52">
        <f t="shared" si="351"/>
        <v>0</v>
      </c>
      <c r="I1602" s="52">
        <f t="shared" si="351"/>
        <v>993.22</v>
      </c>
    </row>
    <row r="1603" spans="1:9">
      <c r="A1603" s="12"/>
      <c r="B1603" s="4" t="s">
        <v>30</v>
      </c>
      <c r="C1603" s="52">
        <f t="shared" si="350"/>
        <v>4862.9669999999996</v>
      </c>
      <c r="D1603" s="52">
        <f t="shared" si="351"/>
        <v>3115.7469999999998</v>
      </c>
      <c r="E1603" s="52">
        <f t="shared" si="351"/>
        <v>754</v>
      </c>
      <c r="F1603" s="52">
        <f t="shared" si="351"/>
        <v>0</v>
      </c>
      <c r="G1603" s="52">
        <f t="shared" si="351"/>
        <v>0</v>
      </c>
      <c r="H1603" s="52">
        <f t="shared" si="351"/>
        <v>0</v>
      </c>
      <c r="I1603" s="52">
        <f t="shared" si="351"/>
        <v>993.22</v>
      </c>
    </row>
    <row r="1604" spans="1:9" s="95" customFormat="1">
      <c r="A1604" s="58" t="s">
        <v>42</v>
      </c>
      <c r="B1604" s="129" t="s">
        <v>29</v>
      </c>
      <c r="C1604" s="130">
        <f t="shared" si="350"/>
        <v>4862.9669999999996</v>
      </c>
      <c r="D1604" s="130">
        <f t="shared" ref="D1604:I1605" si="352">D1606+D1654+D1678+D1694+D1702+D1714+D1724+D1730+D1734</f>
        <v>3115.7469999999998</v>
      </c>
      <c r="E1604" s="130">
        <f t="shared" si="352"/>
        <v>754</v>
      </c>
      <c r="F1604" s="130">
        <f t="shared" si="352"/>
        <v>0</v>
      </c>
      <c r="G1604" s="130">
        <f t="shared" si="352"/>
        <v>0</v>
      </c>
      <c r="H1604" s="130">
        <f t="shared" si="352"/>
        <v>0</v>
      </c>
      <c r="I1604" s="130">
        <f t="shared" si="352"/>
        <v>993.22</v>
      </c>
    </row>
    <row r="1605" spans="1:9" s="95" customFormat="1">
      <c r="A1605" s="134"/>
      <c r="B1605" s="127" t="s">
        <v>30</v>
      </c>
      <c r="C1605" s="125">
        <f t="shared" si="350"/>
        <v>4862.9669999999996</v>
      </c>
      <c r="D1605" s="130">
        <f t="shared" si="352"/>
        <v>3115.7469999999998</v>
      </c>
      <c r="E1605" s="130">
        <f t="shared" si="352"/>
        <v>754</v>
      </c>
      <c r="F1605" s="130">
        <f t="shared" si="352"/>
        <v>0</v>
      </c>
      <c r="G1605" s="130">
        <f t="shared" si="352"/>
        <v>0</v>
      </c>
      <c r="H1605" s="130">
        <f t="shared" si="352"/>
        <v>0</v>
      </c>
      <c r="I1605" s="130">
        <f t="shared" si="352"/>
        <v>993.22</v>
      </c>
    </row>
    <row r="1606" spans="1:9" s="126" customFormat="1">
      <c r="A1606" s="141" t="s">
        <v>307</v>
      </c>
      <c r="B1606" s="124" t="s">
        <v>29</v>
      </c>
      <c r="C1606" s="125">
        <f t="shared" si="350"/>
        <v>2300.152</v>
      </c>
      <c r="D1606" s="125">
        <f>D1610+D1612+D1614+D1616+D1618+D1620+D1622+D1624+D1626+D1628+D1630+D1632+D1634+D1636+D1638+D1640+D1642+D1644+D1646+D1648+D1650+D1652</f>
        <v>1104.732</v>
      </c>
      <c r="E1606" s="125">
        <f t="shared" ref="E1606:I1606" si="353">E1610+E1612+E1614+E1616+E1618+E1620+E1622+E1624+E1626+E1628+E1630+E1632+E1634+E1636+E1638+E1640+E1642+E1644+E1646+E1648+E1650+E1652</f>
        <v>260</v>
      </c>
      <c r="F1606" s="125">
        <f t="shared" si="353"/>
        <v>0</v>
      </c>
      <c r="G1606" s="125">
        <f t="shared" si="353"/>
        <v>0</v>
      </c>
      <c r="H1606" s="125">
        <f t="shared" si="353"/>
        <v>0</v>
      </c>
      <c r="I1606" s="125">
        <f t="shared" si="353"/>
        <v>935.42</v>
      </c>
    </row>
    <row r="1607" spans="1:9" s="126" customFormat="1">
      <c r="A1607" s="134"/>
      <c r="B1607" s="127" t="s">
        <v>30</v>
      </c>
      <c r="C1607" s="125">
        <f t="shared" si="350"/>
        <v>2300.152</v>
      </c>
      <c r="D1607" s="125">
        <f>D1611+D1613+D1615+D1617+D1619+D1621+D1623+D1625+D1627+D1629+D1631+D1633+D1635+D1637+D1639+D1641+D1643+D1645+D1647+D1649+D1651+D1653</f>
        <v>1104.732</v>
      </c>
      <c r="E1607" s="125">
        <f t="shared" ref="E1607:I1607" si="354">E1611+E1613+E1615+E1617+E1619+E1621+E1623+E1625+E1627+E1629+E1631+E1633+E1635+E1637+E1639+E1641+E1643+E1645+E1647+E1649+E1651+E1653</f>
        <v>260</v>
      </c>
      <c r="F1607" s="125">
        <f t="shared" si="354"/>
        <v>0</v>
      </c>
      <c r="G1607" s="125">
        <f t="shared" si="354"/>
        <v>0</v>
      </c>
      <c r="H1607" s="125">
        <f t="shared" si="354"/>
        <v>0</v>
      </c>
      <c r="I1607" s="125">
        <f t="shared" si="354"/>
        <v>935.42</v>
      </c>
    </row>
    <row r="1608" spans="1:9" hidden="1">
      <c r="A1608" s="176"/>
      <c r="B1608" s="24"/>
      <c r="C1608" s="52"/>
      <c r="D1608" s="52"/>
      <c r="E1608" s="52"/>
      <c r="F1608" s="52"/>
      <c r="G1608" s="52"/>
      <c r="H1608" s="52"/>
      <c r="I1608" s="52"/>
    </row>
    <row r="1609" spans="1:9" hidden="1">
      <c r="A1609" s="12"/>
      <c r="B1609" s="26"/>
      <c r="C1609" s="52"/>
      <c r="D1609" s="52"/>
      <c r="E1609" s="52"/>
      <c r="F1609" s="52"/>
      <c r="G1609" s="52"/>
      <c r="H1609" s="52"/>
      <c r="I1609" s="52"/>
    </row>
    <row r="1610" spans="1:9" ht="37.35">
      <c r="A1610" s="66" t="s">
        <v>621</v>
      </c>
      <c r="B1610" s="24" t="s">
        <v>29</v>
      </c>
      <c r="C1610" s="52">
        <f t="shared" si="350"/>
        <v>460</v>
      </c>
      <c r="D1610" s="52">
        <f>D1611</f>
        <v>41.42</v>
      </c>
      <c r="E1610" s="52">
        <f>E1611</f>
        <v>0</v>
      </c>
      <c r="F1610" s="52">
        <v>0</v>
      </c>
      <c r="G1610" s="52">
        <v>0</v>
      </c>
      <c r="H1610" s="52">
        <v>0</v>
      </c>
      <c r="I1610" s="52">
        <f>I1611</f>
        <v>418.58</v>
      </c>
    </row>
    <row r="1611" spans="1:9">
      <c r="A1611" s="12"/>
      <c r="B1611" s="26" t="s">
        <v>30</v>
      </c>
      <c r="C1611" s="52">
        <f t="shared" si="350"/>
        <v>460</v>
      </c>
      <c r="D1611" s="52">
        <v>41.42</v>
      </c>
      <c r="E1611" s="52">
        <v>0</v>
      </c>
      <c r="F1611" s="52">
        <v>0</v>
      </c>
      <c r="G1611" s="52">
        <v>0</v>
      </c>
      <c r="H1611" s="52">
        <v>0</v>
      </c>
      <c r="I1611" s="52">
        <v>418.58</v>
      </c>
    </row>
    <row r="1612" spans="1:9" s="20" customFormat="1">
      <c r="A1612" s="109" t="s">
        <v>622</v>
      </c>
      <c r="B1612" s="63" t="s">
        <v>29</v>
      </c>
      <c r="C1612" s="64">
        <f t="shared" si="350"/>
        <v>10</v>
      </c>
      <c r="D1612" s="64">
        <v>10</v>
      </c>
      <c r="E1612" s="64">
        <v>0</v>
      </c>
      <c r="F1612" s="64">
        <v>0</v>
      </c>
      <c r="G1612" s="64">
        <v>0</v>
      </c>
      <c r="H1612" s="64">
        <v>0</v>
      </c>
      <c r="I1612" s="64">
        <v>0</v>
      </c>
    </row>
    <row r="1613" spans="1:9" s="20" customFormat="1">
      <c r="A1613" s="88"/>
      <c r="B1613" s="26" t="s">
        <v>30</v>
      </c>
      <c r="C1613" s="64">
        <f t="shared" si="350"/>
        <v>10</v>
      </c>
      <c r="D1613" s="64">
        <v>10</v>
      </c>
      <c r="E1613" s="64">
        <v>0</v>
      </c>
      <c r="F1613" s="64">
        <v>0</v>
      </c>
      <c r="G1613" s="64">
        <v>0</v>
      </c>
      <c r="H1613" s="64">
        <v>0</v>
      </c>
      <c r="I1613" s="64">
        <v>0</v>
      </c>
    </row>
    <row r="1614" spans="1:9" s="20" customFormat="1">
      <c r="A1614" s="109" t="s">
        <v>623</v>
      </c>
      <c r="B1614" s="63" t="s">
        <v>29</v>
      </c>
      <c r="C1614" s="64">
        <f t="shared" si="350"/>
        <v>71.400000000000006</v>
      </c>
      <c r="D1614" s="64">
        <v>71.400000000000006</v>
      </c>
      <c r="E1614" s="64">
        <v>0</v>
      </c>
      <c r="F1614" s="64">
        <v>0</v>
      </c>
      <c r="G1614" s="64">
        <v>0</v>
      </c>
      <c r="H1614" s="64">
        <v>0</v>
      </c>
      <c r="I1614" s="64">
        <v>0</v>
      </c>
    </row>
    <row r="1615" spans="1:9" s="20" customFormat="1">
      <c r="A1615" s="88"/>
      <c r="B1615" s="26" t="s">
        <v>30</v>
      </c>
      <c r="C1615" s="64">
        <f t="shared" si="350"/>
        <v>71.400000000000006</v>
      </c>
      <c r="D1615" s="64">
        <v>71.400000000000006</v>
      </c>
      <c r="E1615" s="64">
        <v>0</v>
      </c>
      <c r="F1615" s="64">
        <v>0</v>
      </c>
      <c r="G1615" s="64">
        <v>0</v>
      </c>
      <c r="H1615" s="64">
        <v>0</v>
      </c>
      <c r="I1615" s="64">
        <v>0</v>
      </c>
    </row>
    <row r="1616" spans="1:9" s="20" customFormat="1">
      <c r="A1616" s="109" t="s">
        <v>624</v>
      </c>
      <c r="B1616" s="63" t="s">
        <v>29</v>
      </c>
      <c r="C1616" s="64">
        <f t="shared" si="350"/>
        <v>244.00200000000001</v>
      </c>
      <c r="D1616" s="64">
        <v>41.411999999999999</v>
      </c>
      <c r="E1616" s="64">
        <v>0</v>
      </c>
      <c r="F1616" s="64">
        <v>0</v>
      </c>
      <c r="G1616" s="64">
        <v>0</v>
      </c>
      <c r="H1616" s="64">
        <v>0</v>
      </c>
      <c r="I1616" s="64">
        <f>244-41.41</f>
        <v>202.59</v>
      </c>
    </row>
    <row r="1617" spans="1:9" s="20" customFormat="1">
      <c r="A1617" s="88"/>
      <c r="B1617" s="26" t="s">
        <v>30</v>
      </c>
      <c r="C1617" s="64">
        <f t="shared" si="350"/>
        <v>244.00200000000001</v>
      </c>
      <c r="D1617" s="64">
        <v>41.411999999999999</v>
      </c>
      <c r="E1617" s="64">
        <v>0</v>
      </c>
      <c r="F1617" s="64">
        <v>0</v>
      </c>
      <c r="G1617" s="64">
        <v>0</v>
      </c>
      <c r="H1617" s="64">
        <v>0</v>
      </c>
      <c r="I1617" s="64">
        <f>244-41.41</f>
        <v>202.59</v>
      </c>
    </row>
    <row r="1618" spans="1:9" s="101" customFormat="1">
      <c r="A1618" s="221" t="s">
        <v>625</v>
      </c>
      <c r="B1618" s="216" t="s">
        <v>29</v>
      </c>
      <c r="C1618" s="83">
        <f t="shared" si="350"/>
        <v>118</v>
      </c>
      <c r="D1618" s="83">
        <v>118</v>
      </c>
      <c r="E1618" s="52">
        <v>0</v>
      </c>
      <c r="F1618" s="83">
        <v>0</v>
      </c>
      <c r="G1618" s="83">
        <v>0</v>
      </c>
      <c r="H1618" s="83">
        <v>0</v>
      </c>
      <c r="I1618" s="83">
        <v>0</v>
      </c>
    </row>
    <row r="1619" spans="1:9" s="101" customFormat="1">
      <c r="A1619" s="215"/>
      <c r="B1619" s="217" t="s">
        <v>30</v>
      </c>
      <c r="C1619" s="83">
        <f t="shared" si="350"/>
        <v>118</v>
      </c>
      <c r="D1619" s="83">
        <v>118</v>
      </c>
      <c r="E1619" s="52">
        <v>0</v>
      </c>
      <c r="F1619" s="83">
        <v>0</v>
      </c>
      <c r="G1619" s="83">
        <v>0</v>
      </c>
      <c r="H1619" s="83">
        <v>0</v>
      </c>
      <c r="I1619" s="83">
        <v>0</v>
      </c>
    </row>
    <row r="1620" spans="1:9" s="213" customFormat="1">
      <c r="A1620" s="221" t="s">
        <v>626</v>
      </c>
      <c r="B1620" s="237" t="s">
        <v>29</v>
      </c>
      <c r="C1620" s="240">
        <f t="shared" si="350"/>
        <v>37</v>
      </c>
      <c r="D1620" s="240">
        <v>37</v>
      </c>
      <c r="E1620" s="240">
        <v>0</v>
      </c>
      <c r="F1620" s="240">
        <v>0</v>
      </c>
      <c r="G1620" s="240">
        <v>0</v>
      </c>
      <c r="H1620" s="240">
        <v>0</v>
      </c>
      <c r="I1620" s="240">
        <v>0</v>
      </c>
    </row>
    <row r="1621" spans="1:9" s="20" customFormat="1">
      <c r="A1621" s="88"/>
      <c r="B1621" s="26" t="s">
        <v>30</v>
      </c>
      <c r="C1621" s="64">
        <f t="shared" si="350"/>
        <v>37</v>
      </c>
      <c r="D1621" s="64">
        <v>37</v>
      </c>
      <c r="E1621" s="64">
        <v>0</v>
      </c>
      <c r="F1621" s="64">
        <v>0</v>
      </c>
      <c r="G1621" s="64">
        <v>0</v>
      </c>
      <c r="H1621" s="64">
        <v>0</v>
      </c>
      <c r="I1621" s="64">
        <v>0</v>
      </c>
    </row>
    <row r="1622" spans="1:9" s="20" customFormat="1" ht="24.95">
      <c r="A1622" s="280" t="s">
        <v>627</v>
      </c>
      <c r="B1622" s="63" t="s">
        <v>29</v>
      </c>
      <c r="C1622" s="64">
        <f t="shared" si="350"/>
        <v>380</v>
      </c>
      <c r="D1622" s="64">
        <v>163</v>
      </c>
      <c r="E1622" s="64">
        <v>0</v>
      </c>
      <c r="F1622" s="64">
        <v>0</v>
      </c>
      <c r="G1622" s="64">
        <v>0</v>
      </c>
      <c r="H1622" s="64">
        <v>0</v>
      </c>
      <c r="I1622" s="64">
        <f>380-163</f>
        <v>217</v>
      </c>
    </row>
    <row r="1623" spans="1:9" s="20" customFormat="1">
      <c r="A1623" s="88"/>
      <c r="B1623" s="26" t="s">
        <v>30</v>
      </c>
      <c r="C1623" s="64">
        <f t="shared" si="350"/>
        <v>380</v>
      </c>
      <c r="D1623" s="64">
        <v>163</v>
      </c>
      <c r="E1623" s="64">
        <v>0</v>
      </c>
      <c r="F1623" s="64">
        <v>0</v>
      </c>
      <c r="G1623" s="64">
        <v>0</v>
      </c>
      <c r="H1623" s="64">
        <v>0</v>
      </c>
      <c r="I1623" s="64">
        <f>380-163</f>
        <v>217</v>
      </c>
    </row>
    <row r="1624" spans="1:9" s="20" customFormat="1" ht="29.25" customHeight="1">
      <c r="A1624" s="333" t="s">
        <v>628</v>
      </c>
      <c r="B1624" s="24" t="s">
        <v>29</v>
      </c>
      <c r="C1624" s="64">
        <f t="shared" si="350"/>
        <v>17</v>
      </c>
      <c r="D1624" s="64">
        <v>5</v>
      </c>
      <c r="E1624" s="64">
        <v>0</v>
      </c>
      <c r="F1624" s="64">
        <v>0</v>
      </c>
      <c r="G1624" s="64">
        <v>0</v>
      </c>
      <c r="H1624" s="64">
        <v>0</v>
      </c>
      <c r="I1624" s="64">
        <f>17-5</f>
        <v>12</v>
      </c>
    </row>
    <row r="1625" spans="1:9" s="20" customFormat="1">
      <c r="A1625" s="88"/>
      <c r="B1625" s="26" t="s">
        <v>30</v>
      </c>
      <c r="C1625" s="64">
        <f t="shared" si="350"/>
        <v>17</v>
      </c>
      <c r="D1625" s="64">
        <v>5</v>
      </c>
      <c r="E1625" s="64">
        <v>0</v>
      </c>
      <c r="F1625" s="64">
        <v>0</v>
      </c>
      <c r="G1625" s="64">
        <v>0</v>
      </c>
      <c r="H1625" s="64">
        <v>0</v>
      </c>
      <c r="I1625" s="64">
        <f>17-5</f>
        <v>12</v>
      </c>
    </row>
    <row r="1626" spans="1:9" s="20" customFormat="1" ht="24.95">
      <c r="A1626" s="525" t="s">
        <v>629</v>
      </c>
      <c r="B1626" s="24" t="s">
        <v>29</v>
      </c>
      <c r="C1626" s="64">
        <f t="shared" si="350"/>
        <v>4.5</v>
      </c>
      <c r="D1626" s="64">
        <v>4.5</v>
      </c>
      <c r="E1626" s="64">
        <v>0</v>
      </c>
      <c r="F1626" s="64">
        <v>0</v>
      </c>
      <c r="G1626" s="64">
        <v>0</v>
      </c>
      <c r="H1626" s="64">
        <v>0</v>
      </c>
      <c r="I1626" s="64">
        <v>0</v>
      </c>
    </row>
    <row r="1627" spans="1:9" s="20" customFormat="1">
      <c r="A1627" s="88"/>
      <c r="B1627" s="26" t="s">
        <v>30</v>
      </c>
      <c r="C1627" s="64">
        <f t="shared" si="350"/>
        <v>4.5</v>
      </c>
      <c r="D1627" s="64">
        <v>4.5</v>
      </c>
      <c r="E1627" s="64">
        <v>0</v>
      </c>
      <c r="F1627" s="64">
        <v>0</v>
      </c>
      <c r="G1627" s="64">
        <v>0</v>
      </c>
      <c r="H1627" s="64">
        <v>0</v>
      </c>
      <c r="I1627" s="64">
        <v>0</v>
      </c>
    </row>
    <row r="1628" spans="1:9" s="102" customFormat="1" ht="24.95">
      <c r="A1628" s="332" t="s">
        <v>630</v>
      </c>
      <c r="B1628" s="237" t="s">
        <v>29</v>
      </c>
      <c r="C1628" s="78">
        <f t="shared" si="350"/>
        <v>208</v>
      </c>
      <c r="D1628" s="78">
        <v>208</v>
      </c>
      <c r="E1628" s="64">
        <v>0</v>
      </c>
      <c r="F1628" s="78">
        <v>0</v>
      </c>
      <c r="G1628" s="78">
        <v>0</v>
      </c>
      <c r="H1628" s="78">
        <v>0</v>
      </c>
      <c r="I1628" s="78">
        <v>0</v>
      </c>
    </row>
    <row r="1629" spans="1:9" s="102" customFormat="1">
      <c r="A1629" s="215"/>
      <c r="B1629" s="226" t="s">
        <v>30</v>
      </c>
      <c r="C1629" s="78">
        <f t="shared" si="350"/>
        <v>208</v>
      </c>
      <c r="D1629" s="78">
        <v>208</v>
      </c>
      <c r="E1629" s="64">
        <v>0</v>
      </c>
      <c r="F1629" s="78">
        <v>0</v>
      </c>
      <c r="G1629" s="78">
        <v>0</v>
      </c>
      <c r="H1629" s="78">
        <v>0</v>
      </c>
      <c r="I1629" s="78">
        <v>0</v>
      </c>
    </row>
    <row r="1630" spans="1:9" s="213" customFormat="1">
      <c r="A1630" s="221" t="s">
        <v>631</v>
      </c>
      <c r="B1630" s="237" t="s">
        <v>29</v>
      </c>
      <c r="C1630" s="240">
        <f t="shared" si="350"/>
        <v>11</v>
      </c>
      <c r="D1630" s="240">
        <v>11</v>
      </c>
      <c r="E1630" s="240">
        <v>0</v>
      </c>
      <c r="F1630" s="240">
        <v>0</v>
      </c>
      <c r="G1630" s="240">
        <v>0</v>
      </c>
      <c r="H1630" s="240">
        <v>0</v>
      </c>
      <c r="I1630" s="240">
        <v>0</v>
      </c>
    </row>
    <row r="1631" spans="1:9" s="102" customFormat="1">
      <c r="A1631" s="215"/>
      <c r="B1631" s="226" t="s">
        <v>30</v>
      </c>
      <c r="C1631" s="78">
        <f t="shared" si="350"/>
        <v>11</v>
      </c>
      <c r="D1631" s="78">
        <v>11</v>
      </c>
      <c r="E1631" s="64">
        <v>0</v>
      </c>
      <c r="F1631" s="78">
        <v>0</v>
      </c>
      <c r="G1631" s="78">
        <v>0</v>
      </c>
      <c r="H1631" s="78">
        <v>0</v>
      </c>
      <c r="I1631" s="78">
        <v>0</v>
      </c>
    </row>
    <row r="1632" spans="1:9" s="206" customFormat="1">
      <c r="A1632" s="221" t="s">
        <v>632</v>
      </c>
      <c r="B1632" s="237" t="s">
        <v>29</v>
      </c>
      <c r="C1632" s="78">
        <f t="shared" si="350"/>
        <v>150</v>
      </c>
      <c r="D1632" s="78">
        <v>150</v>
      </c>
      <c r="E1632" s="64">
        <v>0</v>
      </c>
      <c r="F1632" s="78">
        <v>0</v>
      </c>
      <c r="G1632" s="78">
        <v>0</v>
      </c>
      <c r="H1632" s="78">
        <v>0</v>
      </c>
      <c r="I1632" s="78">
        <v>0</v>
      </c>
    </row>
    <row r="1633" spans="1:17" s="206" customFormat="1">
      <c r="A1633" s="215"/>
      <c r="B1633" s="226" t="s">
        <v>30</v>
      </c>
      <c r="C1633" s="78">
        <f t="shared" si="350"/>
        <v>150</v>
      </c>
      <c r="D1633" s="78">
        <v>150</v>
      </c>
      <c r="E1633" s="64">
        <v>0</v>
      </c>
      <c r="F1633" s="78">
        <v>0</v>
      </c>
      <c r="G1633" s="78">
        <v>0</v>
      </c>
      <c r="H1633" s="78">
        <v>0</v>
      </c>
      <c r="I1633" s="78">
        <v>0</v>
      </c>
    </row>
    <row r="1634" spans="1:17" s="206" customFormat="1" ht="27" customHeight="1">
      <c r="A1634" s="524" t="s">
        <v>633</v>
      </c>
      <c r="B1634" s="63" t="s">
        <v>29</v>
      </c>
      <c r="C1634" s="78">
        <f t="shared" si="350"/>
        <v>14.25</v>
      </c>
      <c r="D1634" s="78">
        <v>14.25</v>
      </c>
      <c r="E1634" s="64">
        <v>0</v>
      </c>
      <c r="F1634" s="78">
        <v>0</v>
      </c>
      <c r="G1634" s="78">
        <v>0</v>
      </c>
      <c r="H1634" s="78">
        <v>0</v>
      </c>
      <c r="I1634" s="205">
        <v>0</v>
      </c>
      <c r="J1634" s="665" t="s">
        <v>634</v>
      </c>
      <c r="K1634" s="666"/>
      <c r="L1634" s="666"/>
      <c r="M1634" s="666"/>
      <c r="N1634" s="666"/>
    </row>
    <row r="1635" spans="1:17" s="102" customFormat="1">
      <c r="A1635" s="12"/>
      <c r="B1635" s="62" t="s">
        <v>30</v>
      </c>
      <c r="C1635" s="78">
        <f t="shared" si="350"/>
        <v>14.25</v>
      </c>
      <c r="D1635" s="78">
        <v>14.25</v>
      </c>
      <c r="E1635" s="64">
        <v>0</v>
      </c>
      <c r="F1635" s="78">
        <v>0</v>
      </c>
      <c r="G1635" s="78">
        <v>0</v>
      </c>
      <c r="H1635" s="78">
        <v>0</v>
      </c>
      <c r="I1635" s="78">
        <v>0</v>
      </c>
      <c r="J1635" s="667"/>
      <c r="K1635" s="668"/>
      <c r="L1635" s="668"/>
      <c r="M1635" s="668"/>
      <c r="N1635" s="668"/>
    </row>
    <row r="1636" spans="1:17" s="212" customFormat="1" ht="27" customHeight="1">
      <c r="A1636" s="332" t="s">
        <v>635</v>
      </c>
      <c r="B1636" s="237" t="s">
        <v>29</v>
      </c>
      <c r="C1636" s="240">
        <f t="shared" si="350"/>
        <v>78</v>
      </c>
      <c r="D1636" s="240">
        <v>52.5</v>
      </c>
      <c r="E1636" s="240">
        <v>0</v>
      </c>
      <c r="F1636" s="240">
        <v>0</v>
      </c>
      <c r="G1636" s="240">
        <v>0</v>
      </c>
      <c r="H1636" s="240">
        <v>0</v>
      </c>
      <c r="I1636" s="240">
        <f>78-52.5</f>
        <v>25.5</v>
      </c>
    </row>
    <row r="1637" spans="1:17" s="213" customFormat="1">
      <c r="A1637" s="215"/>
      <c r="B1637" s="226" t="s">
        <v>30</v>
      </c>
      <c r="C1637" s="240">
        <f t="shared" si="350"/>
        <v>78</v>
      </c>
      <c r="D1637" s="240">
        <v>52.5</v>
      </c>
      <c r="E1637" s="240">
        <v>0</v>
      </c>
      <c r="F1637" s="240">
        <v>0</v>
      </c>
      <c r="G1637" s="240">
        <v>0</v>
      </c>
      <c r="H1637" s="240">
        <v>0</v>
      </c>
      <c r="I1637" s="240">
        <f>78-52.5</f>
        <v>25.5</v>
      </c>
    </row>
    <row r="1638" spans="1:17" s="213" customFormat="1" ht="27" customHeight="1">
      <c r="A1638" s="325" t="s">
        <v>636</v>
      </c>
      <c r="B1638" s="237" t="s">
        <v>29</v>
      </c>
      <c r="C1638" s="240">
        <f t="shared" si="350"/>
        <v>11</v>
      </c>
      <c r="D1638" s="240">
        <v>11</v>
      </c>
      <c r="E1638" s="240">
        <v>0</v>
      </c>
      <c r="F1638" s="240">
        <v>0</v>
      </c>
      <c r="G1638" s="240">
        <v>0</v>
      </c>
      <c r="H1638" s="240">
        <v>0</v>
      </c>
      <c r="I1638" s="240">
        <v>0</v>
      </c>
    </row>
    <row r="1639" spans="1:17" s="213" customFormat="1">
      <c r="A1639" s="215"/>
      <c r="B1639" s="226" t="s">
        <v>30</v>
      </c>
      <c r="C1639" s="240">
        <f t="shared" si="350"/>
        <v>11</v>
      </c>
      <c r="D1639" s="240">
        <v>11</v>
      </c>
      <c r="E1639" s="240">
        <v>0</v>
      </c>
      <c r="F1639" s="240">
        <v>0</v>
      </c>
      <c r="G1639" s="240">
        <v>0</v>
      </c>
      <c r="H1639" s="240">
        <v>0</v>
      </c>
      <c r="I1639" s="240">
        <v>0</v>
      </c>
    </row>
    <row r="1640" spans="1:17" s="213" customFormat="1" ht="26.25" customHeight="1">
      <c r="A1640" s="325" t="s">
        <v>637</v>
      </c>
      <c r="B1640" s="237" t="s">
        <v>29</v>
      </c>
      <c r="C1640" s="240">
        <f t="shared" si="350"/>
        <v>5</v>
      </c>
      <c r="D1640" s="240">
        <v>5</v>
      </c>
      <c r="E1640" s="240">
        <v>0</v>
      </c>
      <c r="F1640" s="240">
        <v>0</v>
      </c>
      <c r="G1640" s="240">
        <v>0</v>
      </c>
      <c r="H1640" s="240">
        <v>0</v>
      </c>
      <c r="I1640" s="240">
        <v>0</v>
      </c>
    </row>
    <row r="1641" spans="1:17" s="213" customFormat="1">
      <c r="A1641" s="215"/>
      <c r="B1641" s="226" t="s">
        <v>30</v>
      </c>
      <c r="C1641" s="240">
        <f t="shared" si="350"/>
        <v>5</v>
      </c>
      <c r="D1641" s="240">
        <v>5</v>
      </c>
      <c r="E1641" s="240">
        <v>0</v>
      </c>
      <c r="F1641" s="240">
        <v>0</v>
      </c>
      <c r="G1641" s="240">
        <v>0</v>
      </c>
      <c r="H1641" s="240">
        <v>0</v>
      </c>
      <c r="I1641" s="240">
        <v>0</v>
      </c>
    </row>
    <row r="1642" spans="1:17" s="213" customFormat="1" ht="26.25" customHeight="1">
      <c r="A1642" s="325" t="s">
        <v>638</v>
      </c>
      <c r="B1642" s="237" t="s">
        <v>29</v>
      </c>
      <c r="C1642" s="240">
        <f t="shared" si="350"/>
        <v>10</v>
      </c>
      <c r="D1642" s="240">
        <v>10</v>
      </c>
      <c r="E1642" s="240">
        <v>0</v>
      </c>
      <c r="F1642" s="240">
        <v>0</v>
      </c>
      <c r="G1642" s="240">
        <v>0</v>
      </c>
      <c r="H1642" s="240">
        <v>0</v>
      </c>
      <c r="I1642" s="240">
        <v>0</v>
      </c>
    </row>
    <row r="1643" spans="1:17" s="102" customFormat="1">
      <c r="A1643" s="12"/>
      <c r="B1643" s="62" t="s">
        <v>30</v>
      </c>
      <c r="C1643" s="78">
        <f t="shared" si="350"/>
        <v>10</v>
      </c>
      <c r="D1643" s="78">
        <v>10</v>
      </c>
      <c r="E1643" s="64">
        <v>0</v>
      </c>
      <c r="F1643" s="78">
        <v>0</v>
      </c>
      <c r="G1643" s="78">
        <v>0</v>
      </c>
      <c r="H1643" s="78">
        <v>0</v>
      </c>
      <c r="I1643" s="78">
        <v>0</v>
      </c>
    </row>
    <row r="1644" spans="1:17" s="212" customFormat="1" ht="27" customHeight="1">
      <c r="A1644" s="325" t="s">
        <v>639</v>
      </c>
      <c r="B1644" s="237" t="s">
        <v>29</v>
      </c>
      <c r="C1644" s="240">
        <f t="shared" si="350"/>
        <v>90</v>
      </c>
      <c r="D1644" s="240">
        <v>30.25</v>
      </c>
      <c r="E1644" s="240">
        <v>0</v>
      </c>
      <c r="F1644" s="240">
        <v>0</v>
      </c>
      <c r="G1644" s="240">
        <v>0</v>
      </c>
      <c r="H1644" s="240">
        <v>0</v>
      </c>
      <c r="I1644" s="240">
        <f>90-30.25</f>
        <v>59.75</v>
      </c>
      <c r="J1644" s="550" t="s">
        <v>640</v>
      </c>
      <c r="K1644" s="627"/>
      <c r="L1644" s="627"/>
      <c r="M1644" s="627"/>
      <c r="N1644" s="627"/>
      <c r="O1644" s="627"/>
      <c r="P1644" s="627"/>
      <c r="Q1644" s="627"/>
    </row>
    <row r="1645" spans="1:17" s="213" customFormat="1">
      <c r="A1645" s="215"/>
      <c r="B1645" s="226" t="s">
        <v>30</v>
      </c>
      <c r="C1645" s="240">
        <f t="shared" si="350"/>
        <v>90</v>
      </c>
      <c r="D1645" s="240">
        <v>30.25</v>
      </c>
      <c r="E1645" s="240">
        <v>0</v>
      </c>
      <c r="F1645" s="240">
        <v>0</v>
      </c>
      <c r="G1645" s="240">
        <v>0</v>
      </c>
      <c r="H1645" s="240">
        <v>0</v>
      </c>
      <c r="I1645" s="240">
        <f>90-30.25</f>
        <v>59.75</v>
      </c>
      <c r="J1645" s="669"/>
      <c r="K1645" s="627"/>
      <c r="L1645" s="627"/>
      <c r="M1645" s="627"/>
      <c r="N1645" s="627"/>
      <c r="O1645" s="627"/>
      <c r="P1645" s="627"/>
      <c r="Q1645" s="627"/>
    </row>
    <row r="1646" spans="1:17" s="212" customFormat="1" ht="27" customHeight="1">
      <c r="A1646" s="415" t="s">
        <v>641</v>
      </c>
      <c r="B1646" s="237" t="s">
        <v>29</v>
      </c>
      <c r="C1646" s="240">
        <f t="shared" si="350"/>
        <v>121</v>
      </c>
      <c r="D1646" s="240">
        <v>121</v>
      </c>
      <c r="E1646" s="240">
        <v>0</v>
      </c>
      <c r="F1646" s="240">
        <v>0</v>
      </c>
      <c r="G1646" s="240">
        <v>0</v>
      </c>
      <c r="H1646" s="240">
        <v>0</v>
      </c>
      <c r="I1646" s="240">
        <v>0</v>
      </c>
    </row>
    <row r="1647" spans="1:17" s="102" customFormat="1">
      <c r="A1647" s="12"/>
      <c r="B1647" s="62" t="s">
        <v>30</v>
      </c>
      <c r="C1647" s="78">
        <f t="shared" si="350"/>
        <v>121</v>
      </c>
      <c r="D1647" s="78">
        <v>121</v>
      </c>
      <c r="E1647" s="64">
        <v>0</v>
      </c>
      <c r="F1647" s="78">
        <v>0</v>
      </c>
      <c r="G1647" s="78">
        <v>0</v>
      </c>
      <c r="H1647" s="78">
        <v>0</v>
      </c>
      <c r="I1647" s="78">
        <v>0</v>
      </c>
    </row>
    <row r="1648" spans="1:17" s="213" customFormat="1" ht="53.25" customHeight="1">
      <c r="A1648" s="523" t="s">
        <v>642</v>
      </c>
      <c r="B1648" s="237" t="s">
        <v>29</v>
      </c>
      <c r="C1648" s="240">
        <f t="shared" si="350"/>
        <v>55</v>
      </c>
      <c r="D1648" s="240">
        <v>0</v>
      </c>
      <c r="E1648" s="240">
        <v>55</v>
      </c>
      <c r="F1648" s="240">
        <v>0</v>
      </c>
      <c r="G1648" s="240">
        <v>0</v>
      </c>
      <c r="H1648" s="240">
        <v>0</v>
      </c>
      <c r="I1648" s="240">
        <v>0</v>
      </c>
    </row>
    <row r="1649" spans="1:9" s="213" customFormat="1">
      <c r="A1649" s="215"/>
      <c r="B1649" s="226" t="s">
        <v>30</v>
      </c>
      <c r="C1649" s="240">
        <f t="shared" si="350"/>
        <v>55</v>
      </c>
      <c r="D1649" s="240">
        <v>0</v>
      </c>
      <c r="E1649" s="240">
        <v>55</v>
      </c>
      <c r="F1649" s="240">
        <v>0</v>
      </c>
      <c r="G1649" s="240">
        <v>0</v>
      </c>
      <c r="H1649" s="240">
        <v>0</v>
      </c>
      <c r="I1649" s="240">
        <v>0</v>
      </c>
    </row>
    <row r="1650" spans="1:9" s="213" customFormat="1" ht="65.25" customHeight="1">
      <c r="A1650" s="523" t="s">
        <v>643</v>
      </c>
      <c r="B1650" s="237" t="s">
        <v>29</v>
      </c>
      <c r="C1650" s="240">
        <f t="shared" si="350"/>
        <v>55</v>
      </c>
      <c r="D1650" s="240">
        <v>0</v>
      </c>
      <c r="E1650" s="240">
        <v>55</v>
      </c>
      <c r="F1650" s="240">
        <v>0</v>
      </c>
      <c r="G1650" s="240">
        <v>0</v>
      </c>
      <c r="H1650" s="240">
        <v>0</v>
      </c>
      <c r="I1650" s="240">
        <v>0</v>
      </c>
    </row>
    <row r="1651" spans="1:9" s="102" customFormat="1" ht="14.25" customHeight="1">
      <c r="A1651" s="12"/>
      <c r="B1651" s="62" t="s">
        <v>30</v>
      </c>
      <c r="C1651" s="78">
        <f t="shared" si="350"/>
        <v>55</v>
      </c>
      <c r="D1651" s="78">
        <v>0</v>
      </c>
      <c r="E1651" s="64">
        <v>55</v>
      </c>
      <c r="F1651" s="78">
        <v>0</v>
      </c>
      <c r="G1651" s="78">
        <v>0</v>
      </c>
      <c r="H1651" s="78">
        <v>0</v>
      </c>
      <c r="I1651" s="78">
        <v>0</v>
      </c>
    </row>
    <row r="1652" spans="1:9" s="213" customFormat="1" ht="40.5" customHeight="1">
      <c r="A1652" s="541" t="s">
        <v>644</v>
      </c>
      <c r="B1652" s="237" t="s">
        <v>29</v>
      </c>
      <c r="C1652" s="240">
        <f t="shared" ref="C1652:C1653" si="355">D1652+E1652+F1652+G1652+H1652+I1652</f>
        <v>150</v>
      </c>
      <c r="D1652" s="240">
        <v>0</v>
      </c>
      <c r="E1652" s="240">
        <v>150</v>
      </c>
      <c r="F1652" s="240">
        <v>0</v>
      </c>
      <c r="G1652" s="240">
        <v>0</v>
      </c>
      <c r="H1652" s="240">
        <v>0</v>
      </c>
      <c r="I1652" s="240">
        <v>0</v>
      </c>
    </row>
    <row r="1653" spans="1:9" s="102" customFormat="1" ht="14.25" customHeight="1">
      <c r="A1653" s="12"/>
      <c r="B1653" s="62" t="s">
        <v>30</v>
      </c>
      <c r="C1653" s="78">
        <f t="shared" si="355"/>
        <v>150</v>
      </c>
      <c r="D1653" s="78">
        <v>0</v>
      </c>
      <c r="E1653" s="64">
        <v>150</v>
      </c>
      <c r="F1653" s="78">
        <v>0</v>
      </c>
      <c r="G1653" s="78">
        <v>0</v>
      </c>
      <c r="H1653" s="78">
        <v>0</v>
      </c>
      <c r="I1653" s="78">
        <v>0</v>
      </c>
    </row>
    <row r="1654" spans="1:9" s="126" customFormat="1">
      <c r="A1654" s="141" t="s">
        <v>371</v>
      </c>
      <c r="B1654" s="124" t="s">
        <v>29</v>
      </c>
      <c r="C1654" s="125">
        <f t="shared" si="350"/>
        <v>804.90499999999997</v>
      </c>
      <c r="D1654" s="125">
        <f>D1656+D1658+D1660+D1662+D1664+D1666+D1668+D1670+D1672+D1674+D1676</f>
        <v>495.43499999999995</v>
      </c>
      <c r="E1654" s="125">
        <f t="shared" ref="E1654:I1655" si="356">E1656+E1658+E1660+E1662+E1664+E1666+E1668+E1670+E1672+E1674+E1676</f>
        <v>291</v>
      </c>
      <c r="F1654" s="125">
        <f t="shared" si="356"/>
        <v>0</v>
      </c>
      <c r="G1654" s="125">
        <f t="shared" si="356"/>
        <v>0</v>
      </c>
      <c r="H1654" s="125">
        <f t="shared" si="356"/>
        <v>0</v>
      </c>
      <c r="I1654" s="125">
        <f t="shared" si="356"/>
        <v>18.47</v>
      </c>
    </row>
    <row r="1655" spans="1:9" s="126" customFormat="1">
      <c r="A1655" s="134"/>
      <c r="B1655" s="127" t="s">
        <v>30</v>
      </c>
      <c r="C1655" s="125">
        <f t="shared" si="350"/>
        <v>804.90499999999997</v>
      </c>
      <c r="D1655" s="125">
        <f>D1657+D1659+D1661+D1663+D1665+D1667+D1669+D1671+D1673+D1675+D1677</f>
        <v>495.43499999999995</v>
      </c>
      <c r="E1655" s="125">
        <f t="shared" si="356"/>
        <v>291</v>
      </c>
      <c r="F1655" s="125">
        <f t="shared" si="356"/>
        <v>0</v>
      </c>
      <c r="G1655" s="125">
        <f t="shared" si="356"/>
        <v>0</v>
      </c>
      <c r="H1655" s="125">
        <f t="shared" si="356"/>
        <v>0</v>
      </c>
      <c r="I1655" s="125">
        <f t="shared" si="356"/>
        <v>18.47</v>
      </c>
    </row>
    <row r="1656" spans="1:9" s="101" customFormat="1" ht="24.95">
      <c r="A1656" s="280" t="s">
        <v>645</v>
      </c>
      <c r="B1656" s="82" t="s">
        <v>29</v>
      </c>
      <c r="C1656" s="83">
        <f t="shared" si="350"/>
        <v>74.995000000000005</v>
      </c>
      <c r="D1656" s="83">
        <f>D1657</f>
        <v>56.524999999999999</v>
      </c>
      <c r="E1656" s="83">
        <v>0</v>
      </c>
      <c r="F1656" s="83">
        <v>0</v>
      </c>
      <c r="G1656" s="83">
        <v>0</v>
      </c>
      <c r="H1656" s="83">
        <v>0</v>
      </c>
      <c r="I1656" s="83">
        <f>I1657</f>
        <v>18.47</v>
      </c>
    </row>
    <row r="1657" spans="1:9" s="101" customFormat="1">
      <c r="A1657" s="88"/>
      <c r="B1657" s="86" t="s">
        <v>30</v>
      </c>
      <c r="C1657" s="83">
        <f t="shared" si="350"/>
        <v>74.995000000000005</v>
      </c>
      <c r="D1657" s="83">
        <v>56.524999999999999</v>
      </c>
      <c r="E1657" s="83">
        <v>0</v>
      </c>
      <c r="F1657" s="83">
        <v>0</v>
      </c>
      <c r="G1657" s="83">
        <v>0</v>
      </c>
      <c r="H1657" s="83">
        <v>0</v>
      </c>
      <c r="I1657" s="83">
        <v>18.47</v>
      </c>
    </row>
    <row r="1658" spans="1:9" s="101" customFormat="1" ht="24.95" hidden="1">
      <c r="A1658" s="175" t="s">
        <v>646</v>
      </c>
      <c r="B1658" s="82" t="s">
        <v>29</v>
      </c>
      <c r="C1658" s="83">
        <f>C1659</f>
        <v>15</v>
      </c>
      <c r="D1658" s="83">
        <v>0</v>
      </c>
      <c r="E1658" s="83">
        <v>0</v>
      </c>
      <c r="F1658" s="83">
        <v>0</v>
      </c>
      <c r="G1658" s="83">
        <v>0</v>
      </c>
      <c r="H1658" s="83">
        <v>0</v>
      </c>
      <c r="I1658" s="83">
        <v>0</v>
      </c>
    </row>
    <row r="1659" spans="1:9" s="101" customFormat="1" hidden="1">
      <c r="A1659" s="88"/>
      <c r="B1659" s="86" t="s">
        <v>30</v>
      </c>
      <c r="C1659" s="83">
        <v>15</v>
      </c>
      <c r="D1659" s="83">
        <v>0</v>
      </c>
      <c r="E1659" s="83">
        <v>0</v>
      </c>
      <c r="F1659" s="83">
        <v>0</v>
      </c>
      <c r="G1659" s="83">
        <v>0</v>
      </c>
      <c r="H1659" s="83">
        <v>0</v>
      </c>
      <c r="I1659" s="83">
        <v>0</v>
      </c>
    </row>
    <row r="1660" spans="1:9" s="102" customFormat="1" ht="39.75" customHeight="1">
      <c r="A1660" s="333" t="s">
        <v>647</v>
      </c>
      <c r="B1660" s="237" t="s">
        <v>29</v>
      </c>
      <c r="C1660" s="78">
        <f>D1660+E1660+F1660+G1660+H1660+I1660</f>
        <v>20</v>
      </c>
      <c r="D1660" s="78">
        <v>20</v>
      </c>
      <c r="E1660" s="64">
        <v>0</v>
      </c>
      <c r="F1660" s="78">
        <v>0</v>
      </c>
      <c r="G1660" s="78">
        <v>0</v>
      </c>
      <c r="H1660" s="78">
        <v>0</v>
      </c>
      <c r="I1660" s="78">
        <v>0</v>
      </c>
    </row>
    <row r="1661" spans="1:9" s="102" customFormat="1">
      <c r="A1661" s="215"/>
      <c r="B1661" s="226" t="s">
        <v>30</v>
      </c>
      <c r="C1661" s="78">
        <f>D1661+E1661+F1661+G1661+H1661+I1661</f>
        <v>20</v>
      </c>
      <c r="D1661" s="78">
        <v>20</v>
      </c>
      <c r="E1661" s="64">
        <v>0</v>
      </c>
      <c r="F1661" s="78">
        <v>0</v>
      </c>
      <c r="G1661" s="78">
        <v>0</v>
      </c>
      <c r="H1661" s="78">
        <v>0</v>
      </c>
      <c r="I1661" s="78">
        <v>0</v>
      </c>
    </row>
    <row r="1662" spans="1:9" s="212" customFormat="1" ht="15" customHeight="1">
      <c r="A1662" s="331" t="s">
        <v>648</v>
      </c>
      <c r="B1662" s="237" t="s">
        <v>29</v>
      </c>
      <c r="C1662" s="240">
        <f t="shared" ref="C1662:C1677" si="357">D1662+E1662+F1662+G1662+H1662+I1662</f>
        <v>69</v>
      </c>
      <c r="D1662" s="240">
        <v>69</v>
      </c>
      <c r="E1662" s="240">
        <v>0</v>
      </c>
      <c r="F1662" s="240">
        <v>0</v>
      </c>
      <c r="G1662" s="240">
        <v>0</v>
      </c>
      <c r="H1662" s="240">
        <v>0</v>
      </c>
      <c r="I1662" s="240">
        <v>0</v>
      </c>
    </row>
    <row r="1663" spans="1:9" s="213" customFormat="1" ht="15" customHeight="1">
      <c r="A1663" s="215"/>
      <c r="B1663" s="226" t="s">
        <v>30</v>
      </c>
      <c r="C1663" s="240">
        <f t="shared" si="357"/>
        <v>69</v>
      </c>
      <c r="D1663" s="240">
        <v>69</v>
      </c>
      <c r="E1663" s="240">
        <v>0</v>
      </c>
      <c r="F1663" s="240">
        <v>0</v>
      </c>
      <c r="G1663" s="240">
        <v>0</v>
      </c>
      <c r="H1663" s="240">
        <v>0</v>
      </c>
      <c r="I1663" s="240">
        <v>0</v>
      </c>
    </row>
    <row r="1664" spans="1:9" s="212" customFormat="1" ht="15" customHeight="1">
      <c r="A1664" s="331" t="s">
        <v>649</v>
      </c>
      <c r="B1664" s="237" t="s">
        <v>29</v>
      </c>
      <c r="C1664" s="240">
        <f t="shared" si="357"/>
        <v>71</v>
      </c>
      <c r="D1664" s="240">
        <v>71</v>
      </c>
      <c r="E1664" s="240">
        <v>0</v>
      </c>
      <c r="F1664" s="240">
        <v>0</v>
      </c>
      <c r="G1664" s="240">
        <v>0</v>
      </c>
      <c r="H1664" s="240">
        <v>0</v>
      </c>
      <c r="I1664" s="240">
        <v>0</v>
      </c>
    </row>
    <row r="1665" spans="1:10" s="213" customFormat="1" ht="15" customHeight="1">
      <c r="A1665" s="215"/>
      <c r="B1665" s="226" t="s">
        <v>30</v>
      </c>
      <c r="C1665" s="240">
        <f t="shared" si="357"/>
        <v>71</v>
      </c>
      <c r="D1665" s="240">
        <v>71</v>
      </c>
      <c r="E1665" s="240">
        <v>0</v>
      </c>
      <c r="F1665" s="240">
        <v>0</v>
      </c>
      <c r="G1665" s="240">
        <v>0</v>
      </c>
      <c r="H1665" s="240">
        <v>0</v>
      </c>
      <c r="I1665" s="240">
        <v>0</v>
      </c>
    </row>
    <row r="1666" spans="1:10" s="212" customFormat="1" ht="15" customHeight="1">
      <c r="A1666" s="325" t="s">
        <v>650</v>
      </c>
      <c r="B1666" s="237" t="s">
        <v>29</v>
      </c>
      <c r="C1666" s="240">
        <f t="shared" si="357"/>
        <v>140.36000000000001</v>
      </c>
      <c r="D1666" s="240">
        <v>140.36000000000001</v>
      </c>
      <c r="E1666" s="240">
        <v>0</v>
      </c>
      <c r="F1666" s="240">
        <v>0</v>
      </c>
      <c r="G1666" s="240">
        <v>0</v>
      </c>
      <c r="H1666" s="240">
        <v>0</v>
      </c>
      <c r="I1666" s="240">
        <v>0</v>
      </c>
    </row>
    <row r="1667" spans="1:10" s="213" customFormat="1" ht="14.25" customHeight="1">
      <c r="A1667" s="215"/>
      <c r="B1667" s="226" t="s">
        <v>30</v>
      </c>
      <c r="C1667" s="240">
        <f t="shared" si="357"/>
        <v>140.36000000000001</v>
      </c>
      <c r="D1667" s="240">
        <v>140.36000000000001</v>
      </c>
      <c r="E1667" s="240">
        <v>0</v>
      </c>
      <c r="F1667" s="240">
        <v>0</v>
      </c>
      <c r="G1667" s="240">
        <v>0</v>
      </c>
      <c r="H1667" s="240">
        <v>0</v>
      </c>
      <c r="I1667" s="240">
        <v>0</v>
      </c>
    </row>
    <row r="1668" spans="1:10" s="212" customFormat="1" ht="15" customHeight="1">
      <c r="A1668" s="325" t="s">
        <v>651</v>
      </c>
      <c r="B1668" s="237" t="s">
        <v>29</v>
      </c>
      <c r="C1668" s="240">
        <f t="shared" si="357"/>
        <v>97</v>
      </c>
      <c r="D1668" s="240">
        <v>0</v>
      </c>
      <c r="E1668" s="240">
        <v>97</v>
      </c>
      <c r="F1668" s="240">
        <v>0</v>
      </c>
      <c r="G1668" s="240">
        <v>0</v>
      </c>
      <c r="H1668" s="240">
        <v>0</v>
      </c>
      <c r="I1668" s="240">
        <v>0</v>
      </c>
    </row>
    <row r="1669" spans="1:10" s="213" customFormat="1" ht="14.25" customHeight="1">
      <c r="A1669" s="215"/>
      <c r="B1669" s="226" t="s">
        <v>30</v>
      </c>
      <c r="C1669" s="240">
        <f t="shared" si="357"/>
        <v>97</v>
      </c>
      <c r="D1669" s="240">
        <v>0</v>
      </c>
      <c r="E1669" s="240">
        <v>97</v>
      </c>
      <c r="F1669" s="240">
        <v>0</v>
      </c>
      <c r="G1669" s="240">
        <v>0</v>
      </c>
      <c r="H1669" s="240">
        <v>0</v>
      </c>
      <c r="I1669" s="240">
        <v>0</v>
      </c>
    </row>
    <row r="1670" spans="1:10" s="212" customFormat="1" ht="15" customHeight="1">
      <c r="A1670" s="325" t="s">
        <v>652</v>
      </c>
      <c r="B1670" s="237" t="s">
        <v>29</v>
      </c>
      <c r="C1670" s="240">
        <f t="shared" si="357"/>
        <v>97</v>
      </c>
      <c r="D1670" s="240">
        <v>0</v>
      </c>
      <c r="E1670" s="240">
        <v>97</v>
      </c>
      <c r="F1670" s="240">
        <v>0</v>
      </c>
      <c r="G1670" s="240">
        <v>0</v>
      </c>
      <c r="H1670" s="240">
        <v>0</v>
      </c>
      <c r="I1670" s="240">
        <v>0</v>
      </c>
    </row>
    <row r="1671" spans="1:10" s="213" customFormat="1" ht="14.25" customHeight="1">
      <c r="A1671" s="215"/>
      <c r="B1671" s="226" t="s">
        <v>30</v>
      </c>
      <c r="C1671" s="240">
        <f t="shared" si="357"/>
        <v>97</v>
      </c>
      <c r="D1671" s="240">
        <v>0</v>
      </c>
      <c r="E1671" s="240">
        <v>97</v>
      </c>
      <c r="F1671" s="240">
        <v>0</v>
      </c>
      <c r="G1671" s="240">
        <v>0</v>
      </c>
      <c r="H1671" s="240">
        <v>0</v>
      </c>
      <c r="I1671" s="240">
        <v>0</v>
      </c>
    </row>
    <row r="1672" spans="1:10" s="212" customFormat="1" ht="15" customHeight="1">
      <c r="A1672" s="325" t="s">
        <v>653</v>
      </c>
      <c r="B1672" s="237" t="s">
        <v>29</v>
      </c>
      <c r="C1672" s="240">
        <f t="shared" si="357"/>
        <v>97</v>
      </c>
      <c r="D1672" s="240">
        <v>0</v>
      </c>
      <c r="E1672" s="240">
        <v>97</v>
      </c>
      <c r="F1672" s="240">
        <v>0</v>
      </c>
      <c r="G1672" s="240">
        <v>0</v>
      </c>
      <c r="H1672" s="240">
        <v>0</v>
      </c>
      <c r="I1672" s="240">
        <v>0</v>
      </c>
    </row>
    <row r="1673" spans="1:10" s="213" customFormat="1" ht="14.25" customHeight="1">
      <c r="A1673" s="215"/>
      <c r="B1673" s="226" t="s">
        <v>30</v>
      </c>
      <c r="C1673" s="240">
        <f t="shared" si="357"/>
        <v>97</v>
      </c>
      <c r="D1673" s="240">
        <v>0</v>
      </c>
      <c r="E1673" s="240">
        <v>97</v>
      </c>
      <c r="F1673" s="240">
        <v>0</v>
      </c>
      <c r="G1673" s="240">
        <v>0</v>
      </c>
      <c r="H1673" s="240">
        <v>0</v>
      </c>
      <c r="I1673" s="240">
        <v>0</v>
      </c>
    </row>
    <row r="1674" spans="1:10" s="212" customFormat="1" ht="15" customHeight="1">
      <c r="A1674" s="325" t="s">
        <v>654</v>
      </c>
      <c r="B1674" s="237" t="s">
        <v>29</v>
      </c>
      <c r="C1674" s="240">
        <f t="shared" si="357"/>
        <v>48.28</v>
      </c>
      <c r="D1674" s="240">
        <v>48.28</v>
      </c>
      <c r="E1674" s="240">
        <v>0</v>
      </c>
      <c r="F1674" s="240">
        <v>0</v>
      </c>
      <c r="G1674" s="240">
        <v>0</v>
      </c>
      <c r="H1674" s="240">
        <v>0</v>
      </c>
      <c r="I1674" s="240">
        <v>0</v>
      </c>
    </row>
    <row r="1675" spans="1:10" s="213" customFormat="1" ht="14.25" customHeight="1">
      <c r="A1675" s="215"/>
      <c r="B1675" s="226" t="s">
        <v>30</v>
      </c>
      <c r="C1675" s="240">
        <f t="shared" si="357"/>
        <v>48.28</v>
      </c>
      <c r="D1675" s="240">
        <v>48.28</v>
      </c>
      <c r="E1675" s="240">
        <v>0</v>
      </c>
      <c r="F1675" s="240">
        <v>0</v>
      </c>
      <c r="G1675" s="240">
        <v>0</v>
      </c>
      <c r="H1675" s="240">
        <v>0</v>
      </c>
      <c r="I1675" s="240">
        <v>0</v>
      </c>
    </row>
    <row r="1676" spans="1:10" s="212" customFormat="1" ht="15" customHeight="1">
      <c r="A1676" s="453" t="s">
        <v>655</v>
      </c>
      <c r="B1676" s="237" t="s">
        <v>29</v>
      </c>
      <c r="C1676" s="240">
        <f t="shared" si="357"/>
        <v>90.27</v>
      </c>
      <c r="D1676" s="240">
        <v>90.27</v>
      </c>
      <c r="E1676" s="240">
        <v>0</v>
      </c>
      <c r="F1676" s="240">
        <v>0</v>
      </c>
      <c r="G1676" s="240">
        <v>0</v>
      </c>
      <c r="H1676" s="240">
        <v>0</v>
      </c>
      <c r="I1676" s="240">
        <v>0</v>
      </c>
    </row>
    <row r="1677" spans="1:10" s="213" customFormat="1" ht="14.25" customHeight="1">
      <c r="A1677" s="215"/>
      <c r="B1677" s="226" t="s">
        <v>30</v>
      </c>
      <c r="C1677" s="240">
        <f t="shared" si="357"/>
        <v>90.27</v>
      </c>
      <c r="D1677" s="240">
        <v>90.27</v>
      </c>
      <c r="E1677" s="240">
        <v>0</v>
      </c>
      <c r="F1677" s="240">
        <v>0</v>
      </c>
      <c r="G1677" s="240">
        <v>0</v>
      </c>
      <c r="H1677" s="240">
        <v>0</v>
      </c>
      <c r="I1677" s="240">
        <v>0</v>
      </c>
    </row>
    <row r="1678" spans="1:10" s="247" customFormat="1">
      <c r="A1678" s="227" t="s">
        <v>656</v>
      </c>
      <c r="B1678" s="365" t="s">
        <v>29</v>
      </c>
      <c r="C1678" s="291">
        <f t="shared" si="350"/>
        <v>286.45</v>
      </c>
      <c r="D1678" s="291">
        <f>D1680+D1682+D1684+D1686+D1688+D1690+D1692</f>
        <v>120.24000000000001</v>
      </c>
      <c r="E1678" s="291">
        <f t="shared" ref="E1678:I1679" si="358">E1680+E1682+E1684+E1686+E1688+E1690+E1692</f>
        <v>163</v>
      </c>
      <c r="F1678" s="291">
        <f t="shared" si="358"/>
        <v>0</v>
      </c>
      <c r="G1678" s="291">
        <f t="shared" si="358"/>
        <v>0</v>
      </c>
      <c r="H1678" s="291">
        <f t="shared" si="358"/>
        <v>0</v>
      </c>
      <c r="I1678" s="291">
        <f t="shared" si="358"/>
        <v>3.21</v>
      </c>
    </row>
    <row r="1679" spans="1:10" s="247" customFormat="1">
      <c r="A1679" s="313"/>
      <c r="B1679" s="289" t="s">
        <v>30</v>
      </c>
      <c r="C1679" s="291">
        <f t="shared" si="350"/>
        <v>286.45</v>
      </c>
      <c r="D1679" s="291">
        <f>D1681+D1683+D1685+D1687+D1689+D1691+D1693</f>
        <v>120.24000000000001</v>
      </c>
      <c r="E1679" s="291">
        <f t="shared" si="358"/>
        <v>163</v>
      </c>
      <c r="F1679" s="291">
        <f t="shared" si="358"/>
        <v>0</v>
      </c>
      <c r="G1679" s="291">
        <f t="shared" si="358"/>
        <v>0</v>
      </c>
      <c r="H1679" s="291">
        <f t="shared" si="358"/>
        <v>0</v>
      </c>
      <c r="I1679" s="291">
        <f t="shared" si="358"/>
        <v>3.21</v>
      </c>
    </row>
    <row r="1680" spans="1:10" s="213" customFormat="1" ht="24.95">
      <c r="A1680" s="339" t="s">
        <v>657</v>
      </c>
      <c r="B1680" s="237" t="s">
        <v>29</v>
      </c>
      <c r="C1680" s="240">
        <f t="shared" si="350"/>
        <v>83.210000000000008</v>
      </c>
      <c r="D1680" s="240">
        <f>5.86+1.43+3.92</f>
        <v>11.21</v>
      </c>
      <c r="E1680" s="240">
        <v>72</v>
      </c>
      <c r="F1680" s="240">
        <v>0</v>
      </c>
      <c r="G1680" s="240">
        <v>0</v>
      </c>
      <c r="H1680" s="240">
        <v>0</v>
      </c>
      <c r="I1680" s="240">
        <v>0</v>
      </c>
      <c r="J1680" s="654"/>
    </row>
    <row r="1681" spans="1:10" s="213" customFormat="1">
      <c r="A1681" s="215"/>
      <c r="B1681" s="226" t="s">
        <v>30</v>
      </c>
      <c r="C1681" s="240">
        <f t="shared" si="350"/>
        <v>83.210000000000008</v>
      </c>
      <c r="D1681" s="240">
        <f>5.86+1.43+3.92</f>
        <v>11.21</v>
      </c>
      <c r="E1681" s="240">
        <v>72</v>
      </c>
      <c r="F1681" s="240">
        <v>0</v>
      </c>
      <c r="G1681" s="240">
        <v>0</v>
      </c>
      <c r="H1681" s="240">
        <v>0</v>
      </c>
      <c r="I1681" s="240">
        <v>0</v>
      </c>
      <c r="J1681" s="654"/>
    </row>
    <row r="1682" spans="1:10" s="213" customFormat="1" ht="24.95">
      <c r="A1682" s="339" t="s">
        <v>658</v>
      </c>
      <c r="B1682" s="237" t="s">
        <v>29</v>
      </c>
      <c r="C1682" s="240">
        <f t="shared" si="350"/>
        <v>106.5</v>
      </c>
      <c r="D1682" s="240">
        <v>52.5</v>
      </c>
      <c r="E1682" s="240">
        <v>54</v>
      </c>
      <c r="F1682" s="240">
        <v>0</v>
      </c>
      <c r="G1682" s="240">
        <v>0</v>
      </c>
      <c r="H1682" s="240">
        <v>0</v>
      </c>
      <c r="I1682" s="240">
        <v>0</v>
      </c>
      <c r="J1682" s="654"/>
    </row>
    <row r="1683" spans="1:10" s="213" customFormat="1">
      <c r="A1683" s="215"/>
      <c r="B1683" s="226" t="s">
        <v>30</v>
      </c>
      <c r="C1683" s="240">
        <f t="shared" si="350"/>
        <v>106.5</v>
      </c>
      <c r="D1683" s="240">
        <v>52.5</v>
      </c>
      <c r="E1683" s="240">
        <v>54</v>
      </c>
      <c r="F1683" s="240">
        <v>0</v>
      </c>
      <c r="G1683" s="240">
        <v>0</v>
      </c>
      <c r="H1683" s="240">
        <v>0</v>
      </c>
      <c r="I1683" s="240">
        <v>0</v>
      </c>
      <c r="J1683" s="654"/>
    </row>
    <row r="1684" spans="1:10" s="213" customFormat="1" ht="37.700000000000003">
      <c r="A1684" s="339" t="s">
        <v>659</v>
      </c>
      <c r="B1684" s="224" t="s">
        <v>29</v>
      </c>
      <c r="C1684" s="240">
        <f t="shared" si="350"/>
        <v>49.5</v>
      </c>
      <c r="D1684" s="78">
        <f>13.8+35.7</f>
        <v>49.5</v>
      </c>
      <c r="E1684" s="240">
        <v>0</v>
      </c>
      <c r="F1684" s="240">
        <v>0</v>
      </c>
      <c r="G1684" s="240">
        <v>0</v>
      </c>
      <c r="H1684" s="240">
        <v>0</v>
      </c>
      <c r="I1684" s="240">
        <v>0</v>
      </c>
      <c r="J1684" s="654"/>
    </row>
    <row r="1685" spans="1:10" s="102" customFormat="1">
      <c r="A1685" s="215"/>
      <c r="B1685" s="226" t="s">
        <v>30</v>
      </c>
      <c r="C1685" s="78">
        <f t="shared" si="350"/>
        <v>49.5</v>
      </c>
      <c r="D1685" s="78">
        <f>13.8+35.7</f>
        <v>49.5</v>
      </c>
      <c r="E1685" s="64">
        <v>0</v>
      </c>
      <c r="F1685" s="78">
        <v>0</v>
      </c>
      <c r="G1685" s="78">
        <v>0</v>
      </c>
      <c r="H1685" s="78">
        <v>0</v>
      </c>
      <c r="I1685" s="78">
        <v>0</v>
      </c>
      <c r="J1685" s="654"/>
    </row>
    <row r="1686" spans="1:10" s="206" customFormat="1" ht="28.35">
      <c r="A1686" s="377" t="s">
        <v>660</v>
      </c>
      <c r="B1686" s="237" t="s">
        <v>29</v>
      </c>
      <c r="C1686" s="78">
        <f t="shared" si="350"/>
        <v>1.67</v>
      </c>
      <c r="D1686" s="78">
        <v>1.67</v>
      </c>
      <c r="E1686" s="64">
        <v>0</v>
      </c>
      <c r="F1686" s="78">
        <v>0</v>
      </c>
      <c r="G1686" s="78">
        <v>0</v>
      </c>
      <c r="H1686" s="78">
        <v>0</v>
      </c>
      <c r="I1686" s="78">
        <v>0</v>
      </c>
      <c r="J1686" s="293"/>
    </row>
    <row r="1687" spans="1:10" s="102" customFormat="1">
      <c r="A1687" s="215"/>
      <c r="B1687" s="226" t="s">
        <v>30</v>
      </c>
      <c r="C1687" s="78">
        <f t="shared" si="350"/>
        <v>1.67</v>
      </c>
      <c r="D1687" s="78">
        <v>1.67</v>
      </c>
      <c r="E1687" s="64">
        <v>0</v>
      </c>
      <c r="F1687" s="78">
        <v>0</v>
      </c>
      <c r="G1687" s="78">
        <v>0</v>
      </c>
      <c r="H1687" s="78">
        <v>0</v>
      </c>
      <c r="I1687" s="78">
        <v>0</v>
      </c>
      <c r="J1687" s="284"/>
    </row>
    <row r="1688" spans="1:10" s="206" customFormat="1" ht="27" customHeight="1">
      <c r="A1688" s="325" t="s">
        <v>661</v>
      </c>
      <c r="B1688" s="237" t="s">
        <v>29</v>
      </c>
      <c r="C1688" s="78">
        <f t="shared" si="350"/>
        <v>3.57</v>
      </c>
      <c r="D1688" s="78">
        <v>3.57</v>
      </c>
      <c r="E1688" s="64">
        <v>0</v>
      </c>
      <c r="F1688" s="78">
        <v>0</v>
      </c>
      <c r="G1688" s="78">
        <v>0</v>
      </c>
      <c r="H1688" s="78">
        <v>0</v>
      </c>
      <c r="I1688" s="78">
        <v>0</v>
      </c>
      <c r="J1688" s="293"/>
    </row>
    <row r="1689" spans="1:10" s="102" customFormat="1">
      <c r="A1689" s="215"/>
      <c r="B1689" s="226" t="s">
        <v>30</v>
      </c>
      <c r="C1689" s="78">
        <f t="shared" si="350"/>
        <v>3.57</v>
      </c>
      <c r="D1689" s="78">
        <v>3.57</v>
      </c>
      <c r="E1689" s="64">
        <v>0</v>
      </c>
      <c r="F1689" s="78">
        <v>0</v>
      </c>
      <c r="G1689" s="78">
        <v>0</v>
      </c>
      <c r="H1689" s="78">
        <v>0</v>
      </c>
      <c r="I1689" s="78">
        <v>0</v>
      </c>
      <c r="J1689" s="284"/>
    </row>
    <row r="1690" spans="1:10" s="213" customFormat="1" ht="30" customHeight="1">
      <c r="A1690" s="362" t="s">
        <v>662</v>
      </c>
      <c r="B1690" s="237" t="s">
        <v>29</v>
      </c>
      <c r="C1690" s="240">
        <f t="shared" si="350"/>
        <v>5</v>
      </c>
      <c r="D1690" s="240">
        <v>1.79</v>
      </c>
      <c r="E1690" s="240">
        <v>0</v>
      </c>
      <c r="F1690" s="240">
        <v>0</v>
      </c>
      <c r="G1690" s="240">
        <v>0</v>
      </c>
      <c r="H1690" s="240">
        <v>0</v>
      </c>
      <c r="I1690" s="240">
        <f>5-1.79</f>
        <v>3.21</v>
      </c>
      <c r="J1690" s="284"/>
    </row>
    <row r="1691" spans="1:10" s="102" customFormat="1">
      <c r="A1691" s="215"/>
      <c r="B1691" s="226" t="s">
        <v>30</v>
      </c>
      <c r="C1691" s="78">
        <f t="shared" si="350"/>
        <v>5</v>
      </c>
      <c r="D1691" s="78">
        <v>1.79</v>
      </c>
      <c r="E1691" s="64">
        <v>0</v>
      </c>
      <c r="F1691" s="78">
        <v>0</v>
      </c>
      <c r="G1691" s="78">
        <v>0</v>
      </c>
      <c r="H1691" s="78">
        <v>0</v>
      </c>
      <c r="I1691" s="78">
        <f>5-1.79</f>
        <v>3.21</v>
      </c>
      <c r="J1691" s="284"/>
    </row>
    <row r="1692" spans="1:10" s="213" customFormat="1" ht="42.4">
      <c r="A1692" s="411" t="s">
        <v>663</v>
      </c>
      <c r="B1692" s="224" t="s">
        <v>29</v>
      </c>
      <c r="C1692" s="240">
        <f t="shared" si="350"/>
        <v>37</v>
      </c>
      <c r="D1692" s="240">
        <v>0</v>
      </c>
      <c r="E1692" s="240">
        <v>37</v>
      </c>
      <c r="F1692" s="240">
        <v>0</v>
      </c>
      <c r="G1692" s="240">
        <v>0</v>
      </c>
      <c r="H1692" s="240">
        <v>0</v>
      </c>
      <c r="I1692" s="240">
        <v>0</v>
      </c>
      <c r="J1692" s="284"/>
    </row>
    <row r="1693" spans="1:10" s="102" customFormat="1">
      <c r="A1693" s="215"/>
      <c r="B1693" s="226" t="s">
        <v>30</v>
      </c>
      <c r="C1693" s="78">
        <f t="shared" si="350"/>
        <v>37</v>
      </c>
      <c r="D1693" s="78">
        <v>0</v>
      </c>
      <c r="E1693" s="64">
        <v>37</v>
      </c>
      <c r="F1693" s="78">
        <v>0</v>
      </c>
      <c r="G1693" s="78">
        <v>0</v>
      </c>
      <c r="H1693" s="78">
        <v>0</v>
      </c>
      <c r="I1693" s="78">
        <v>0</v>
      </c>
      <c r="J1693" s="284"/>
    </row>
    <row r="1694" spans="1:10" s="126" customFormat="1" ht="24.95">
      <c r="A1694" s="147" t="s">
        <v>664</v>
      </c>
      <c r="B1694" s="124" t="s">
        <v>29</v>
      </c>
      <c r="C1694" s="125">
        <f t="shared" si="350"/>
        <v>257.01</v>
      </c>
      <c r="D1694" s="125">
        <f>D1696+D1698+D1700</f>
        <v>257.01</v>
      </c>
      <c r="E1694" s="125">
        <f t="shared" ref="E1694:I1695" si="359">E1696+E1698+E1700</f>
        <v>0</v>
      </c>
      <c r="F1694" s="125">
        <f t="shared" si="359"/>
        <v>0</v>
      </c>
      <c r="G1694" s="125">
        <f t="shared" si="359"/>
        <v>0</v>
      </c>
      <c r="H1694" s="125">
        <f t="shared" si="359"/>
        <v>0</v>
      </c>
      <c r="I1694" s="125">
        <f t="shared" si="359"/>
        <v>0</v>
      </c>
    </row>
    <row r="1695" spans="1:10" s="126" customFormat="1">
      <c r="A1695" s="134"/>
      <c r="B1695" s="127" t="s">
        <v>30</v>
      </c>
      <c r="C1695" s="125">
        <f t="shared" si="350"/>
        <v>257.01</v>
      </c>
      <c r="D1695" s="125">
        <f>D1697+D1699+D1701</f>
        <v>257.01</v>
      </c>
      <c r="E1695" s="125">
        <f t="shared" si="359"/>
        <v>0</v>
      </c>
      <c r="F1695" s="125">
        <f t="shared" si="359"/>
        <v>0</v>
      </c>
      <c r="G1695" s="125">
        <f t="shared" si="359"/>
        <v>0</v>
      </c>
      <c r="H1695" s="125">
        <f t="shared" si="359"/>
        <v>0</v>
      </c>
      <c r="I1695" s="125">
        <f t="shared" si="359"/>
        <v>0</v>
      </c>
    </row>
    <row r="1696" spans="1:10" s="213" customFormat="1" ht="24.95">
      <c r="A1696" s="361" t="s">
        <v>665</v>
      </c>
      <c r="B1696" s="237" t="s">
        <v>29</v>
      </c>
      <c r="C1696" s="240">
        <f t="shared" ref="C1696:C1737" si="360">D1696+E1696+F1696+G1696+H1696+I1696</f>
        <v>17</v>
      </c>
      <c r="D1696" s="240">
        <v>17</v>
      </c>
      <c r="E1696" s="240">
        <v>0</v>
      </c>
      <c r="F1696" s="240">
        <v>0</v>
      </c>
      <c r="G1696" s="240">
        <v>0</v>
      </c>
      <c r="H1696" s="240">
        <v>0</v>
      </c>
      <c r="I1696" s="240">
        <v>0</v>
      </c>
    </row>
    <row r="1697" spans="1:9" s="213" customFormat="1">
      <c r="A1697" s="215"/>
      <c r="B1697" s="226" t="s">
        <v>30</v>
      </c>
      <c r="C1697" s="240">
        <f t="shared" si="360"/>
        <v>17</v>
      </c>
      <c r="D1697" s="240">
        <v>17</v>
      </c>
      <c r="E1697" s="240">
        <v>0</v>
      </c>
      <c r="F1697" s="240">
        <v>0</v>
      </c>
      <c r="G1697" s="240">
        <v>0</v>
      </c>
      <c r="H1697" s="240">
        <v>0</v>
      </c>
      <c r="I1697" s="240">
        <v>0</v>
      </c>
    </row>
    <row r="1698" spans="1:9" s="213" customFormat="1" ht="27" customHeight="1">
      <c r="A1698" s="325" t="s">
        <v>666</v>
      </c>
      <c r="B1698" s="237" t="s">
        <v>29</v>
      </c>
      <c r="C1698" s="240">
        <f t="shared" si="360"/>
        <v>63</v>
      </c>
      <c r="D1698" s="240">
        <v>63</v>
      </c>
      <c r="E1698" s="240">
        <v>0</v>
      </c>
      <c r="F1698" s="240">
        <v>0</v>
      </c>
      <c r="G1698" s="240">
        <v>0</v>
      </c>
      <c r="H1698" s="240">
        <v>0</v>
      </c>
      <c r="I1698" s="240">
        <v>0</v>
      </c>
    </row>
    <row r="1699" spans="1:9" s="213" customFormat="1" ht="14.25" customHeight="1">
      <c r="A1699" s="215"/>
      <c r="B1699" s="226" t="s">
        <v>30</v>
      </c>
      <c r="C1699" s="240">
        <f t="shared" si="360"/>
        <v>63</v>
      </c>
      <c r="D1699" s="240">
        <v>63</v>
      </c>
      <c r="E1699" s="240">
        <v>0</v>
      </c>
      <c r="F1699" s="240">
        <v>0</v>
      </c>
      <c r="G1699" s="240">
        <v>0</v>
      </c>
      <c r="H1699" s="240">
        <v>0</v>
      </c>
      <c r="I1699" s="240">
        <v>0</v>
      </c>
    </row>
    <row r="1700" spans="1:9" s="213" customFormat="1" ht="78" customHeight="1">
      <c r="A1700" s="321" t="s">
        <v>667</v>
      </c>
      <c r="B1700" s="237" t="s">
        <v>29</v>
      </c>
      <c r="C1700" s="240">
        <f t="shared" si="360"/>
        <v>177.01</v>
      </c>
      <c r="D1700" s="240">
        <v>177.01</v>
      </c>
      <c r="E1700" s="240">
        <v>0</v>
      </c>
      <c r="F1700" s="240">
        <v>0</v>
      </c>
      <c r="G1700" s="240">
        <v>0</v>
      </c>
      <c r="H1700" s="240">
        <v>0</v>
      </c>
      <c r="I1700" s="240">
        <v>0</v>
      </c>
    </row>
    <row r="1701" spans="1:9" s="213" customFormat="1" ht="14.25" customHeight="1">
      <c r="A1701" s="215"/>
      <c r="B1701" s="226" t="s">
        <v>30</v>
      </c>
      <c r="C1701" s="240">
        <f t="shared" si="360"/>
        <v>177.01</v>
      </c>
      <c r="D1701" s="240">
        <v>177.01</v>
      </c>
      <c r="E1701" s="240">
        <v>0</v>
      </c>
      <c r="F1701" s="240">
        <v>0</v>
      </c>
      <c r="G1701" s="240">
        <v>0</v>
      </c>
      <c r="H1701" s="240">
        <v>0</v>
      </c>
      <c r="I1701" s="240">
        <v>0</v>
      </c>
    </row>
    <row r="1702" spans="1:9" s="95" customFormat="1">
      <c r="A1702" s="58" t="s">
        <v>668</v>
      </c>
      <c r="B1702" s="129" t="s">
        <v>29</v>
      </c>
      <c r="C1702" s="130">
        <f t="shared" si="360"/>
        <v>84.88</v>
      </c>
      <c r="D1702" s="130">
        <f>D1704+D1706+D1708+D1710+D1712</f>
        <v>81.88</v>
      </c>
      <c r="E1702" s="130">
        <f t="shared" ref="E1702:I1703" si="361">E1704+E1706+E1708+E1710+E1712</f>
        <v>3</v>
      </c>
      <c r="F1702" s="130">
        <f t="shared" si="361"/>
        <v>0</v>
      </c>
      <c r="G1702" s="130">
        <f t="shared" si="361"/>
        <v>0</v>
      </c>
      <c r="H1702" s="130">
        <f t="shared" si="361"/>
        <v>0</v>
      </c>
      <c r="I1702" s="130">
        <f t="shared" si="361"/>
        <v>0</v>
      </c>
    </row>
    <row r="1703" spans="1:9" s="95" customFormat="1">
      <c r="A1703" s="131"/>
      <c r="B1703" s="132" t="s">
        <v>30</v>
      </c>
      <c r="C1703" s="130">
        <f t="shared" si="360"/>
        <v>84.88</v>
      </c>
      <c r="D1703" s="130">
        <f>D1705+D1707+D1709+D1711+D1713</f>
        <v>81.88</v>
      </c>
      <c r="E1703" s="130">
        <f t="shared" si="361"/>
        <v>3</v>
      </c>
      <c r="F1703" s="130">
        <f t="shared" si="361"/>
        <v>0</v>
      </c>
      <c r="G1703" s="130">
        <f t="shared" si="361"/>
        <v>0</v>
      </c>
      <c r="H1703" s="130">
        <f t="shared" si="361"/>
        <v>0</v>
      </c>
      <c r="I1703" s="130">
        <f t="shared" si="361"/>
        <v>0</v>
      </c>
    </row>
    <row r="1704" spans="1:9" s="213" customFormat="1" ht="24.95">
      <c r="A1704" s="321" t="s">
        <v>669</v>
      </c>
      <c r="B1704" s="237" t="s">
        <v>29</v>
      </c>
      <c r="C1704" s="240">
        <f t="shared" si="360"/>
        <v>48.88</v>
      </c>
      <c r="D1704" s="240">
        <v>48.88</v>
      </c>
      <c r="E1704" s="240">
        <v>0</v>
      </c>
      <c r="F1704" s="240">
        <v>0</v>
      </c>
      <c r="G1704" s="240">
        <v>0</v>
      </c>
      <c r="H1704" s="240">
        <v>0</v>
      </c>
      <c r="I1704" s="240">
        <v>0</v>
      </c>
    </row>
    <row r="1705" spans="1:9" s="213" customFormat="1">
      <c r="A1705" s="215"/>
      <c r="B1705" s="226" t="s">
        <v>30</v>
      </c>
      <c r="C1705" s="240">
        <f t="shared" si="360"/>
        <v>48.88</v>
      </c>
      <c r="D1705" s="240">
        <v>48.88</v>
      </c>
      <c r="E1705" s="240">
        <v>0</v>
      </c>
      <c r="F1705" s="240">
        <v>0</v>
      </c>
      <c r="G1705" s="240">
        <v>0</v>
      </c>
      <c r="H1705" s="240">
        <v>0</v>
      </c>
      <c r="I1705" s="240">
        <v>0</v>
      </c>
    </row>
    <row r="1706" spans="1:9" s="213" customFormat="1">
      <c r="A1706" s="321" t="s">
        <v>670</v>
      </c>
      <c r="B1706" s="237" t="s">
        <v>29</v>
      </c>
      <c r="C1706" s="240">
        <f t="shared" si="360"/>
        <v>9</v>
      </c>
      <c r="D1706" s="240">
        <v>9</v>
      </c>
      <c r="E1706" s="240">
        <v>0</v>
      </c>
      <c r="F1706" s="240">
        <v>0</v>
      </c>
      <c r="G1706" s="240">
        <v>0</v>
      </c>
      <c r="H1706" s="240">
        <v>0</v>
      </c>
      <c r="I1706" s="240">
        <v>0</v>
      </c>
    </row>
    <row r="1707" spans="1:9" s="213" customFormat="1">
      <c r="A1707" s="215"/>
      <c r="B1707" s="226" t="s">
        <v>30</v>
      </c>
      <c r="C1707" s="240">
        <f t="shared" si="360"/>
        <v>9</v>
      </c>
      <c r="D1707" s="240">
        <v>9</v>
      </c>
      <c r="E1707" s="240">
        <v>0</v>
      </c>
      <c r="F1707" s="240">
        <v>0</v>
      </c>
      <c r="G1707" s="240">
        <v>0</v>
      </c>
      <c r="H1707" s="240">
        <v>0</v>
      </c>
      <c r="I1707" s="240">
        <v>0</v>
      </c>
    </row>
    <row r="1708" spans="1:9" s="213" customFormat="1">
      <c r="A1708" s="321" t="s">
        <v>671</v>
      </c>
      <c r="B1708" s="237" t="s">
        <v>29</v>
      </c>
      <c r="C1708" s="240">
        <f t="shared" si="360"/>
        <v>15</v>
      </c>
      <c r="D1708" s="240">
        <v>15</v>
      </c>
      <c r="E1708" s="240">
        <v>0</v>
      </c>
      <c r="F1708" s="240">
        <v>0</v>
      </c>
      <c r="G1708" s="240">
        <v>0</v>
      </c>
      <c r="H1708" s="240">
        <v>0</v>
      </c>
      <c r="I1708" s="240">
        <v>0</v>
      </c>
    </row>
    <row r="1709" spans="1:9" s="213" customFormat="1">
      <c r="A1709" s="215"/>
      <c r="B1709" s="226" t="s">
        <v>30</v>
      </c>
      <c r="C1709" s="240">
        <f t="shared" si="360"/>
        <v>15</v>
      </c>
      <c r="D1709" s="240">
        <v>15</v>
      </c>
      <c r="E1709" s="240">
        <v>0</v>
      </c>
      <c r="F1709" s="240">
        <v>0</v>
      </c>
      <c r="G1709" s="240">
        <v>0</v>
      </c>
      <c r="H1709" s="240">
        <v>0</v>
      </c>
      <c r="I1709" s="240">
        <v>0</v>
      </c>
    </row>
    <row r="1710" spans="1:9" s="213" customFormat="1">
      <c r="A1710" s="321" t="s">
        <v>672</v>
      </c>
      <c r="B1710" s="237" t="s">
        <v>29</v>
      </c>
      <c r="C1710" s="240">
        <f t="shared" si="360"/>
        <v>9</v>
      </c>
      <c r="D1710" s="240">
        <v>9</v>
      </c>
      <c r="E1710" s="240">
        <v>0</v>
      </c>
      <c r="F1710" s="240">
        <v>0</v>
      </c>
      <c r="G1710" s="240">
        <v>0</v>
      </c>
      <c r="H1710" s="240">
        <v>0</v>
      </c>
      <c r="I1710" s="240">
        <v>0</v>
      </c>
    </row>
    <row r="1711" spans="1:9" s="213" customFormat="1">
      <c r="A1711" s="215"/>
      <c r="B1711" s="226" t="s">
        <v>30</v>
      </c>
      <c r="C1711" s="240">
        <f t="shared" si="360"/>
        <v>9</v>
      </c>
      <c r="D1711" s="240">
        <v>9</v>
      </c>
      <c r="E1711" s="240">
        <v>0</v>
      </c>
      <c r="F1711" s="240">
        <v>0</v>
      </c>
      <c r="G1711" s="240">
        <v>0</v>
      </c>
      <c r="H1711" s="240">
        <v>0</v>
      </c>
      <c r="I1711" s="240">
        <v>0</v>
      </c>
    </row>
    <row r="1712" spans="1:9" s="213" customFormat="1">
      <c r="A1712" s="332" t="s">
        <v>673</v>
      </c>
      <c r="B1712" s="237" t="s">
        <v>29</v>
      </c>
      <c r="C1712" s="240">
        <f t="shared" si="360"/>
        <v>3</v>
      </c>
      <c r="D1712" s="240">
        <v>0</v>
      </c>
      <c r="E1712" s="240">
        <v>3</v>
      </c>
      <c r="F1712" s="240">
        <v>0</v>
      </c>
      <c r="G1712" s="240">
        <v>0</v>
      </c>
      <c r="H1712" s="240">
        <v>0</v>
      </c>
      <c r="I1712" s="240">
        <v>0</v>
      </c>
    </row>
    <row r="1713" spans="1:9" s="20" customFormat="1">
      <c r="A1713" s="12"/>
      <c r="B1713" s="62" t="s">
        <v>30</v>
      </c>
      <c r="C1713" s="64">
        <f t="shared" si="360"/>
        <v>3</v>
      </c>
      <c r="D1713" s="64">
        <v>0</v>
      </c>
      <c r="E1713" s="64">
        <v>3</v>
      </c>
      <c r="F1713" s="64">
        <v>0</v>
      </c>
      <c r="G1713" s="64">
        <v>0</v>
      </c>
      <c r="H1713" s="64">
        <v>0</v>
      </c>
      <c r="I1713" s="64">
        <v>0</v>
      </c>
    </row>
    <row r="1714" spans="1:9" s="126" customFormat="1">
      <c r="A1714" s="133" t="s">
        <v>674</v>
      </c>
      <c r="B1714" s="124" t="s">
        <v>29</v>
      </c>
      <c r="C1714" s="125">
        <f t="shared" si="360"/>
        <v>888.65</v>
      </c>
      <c r="D1714" s="125">
        <f>D1716+D1718+D1720+D1722</f>
        <v>858.65</v>
      </c>
      <c r="E1714" s="125">
        <f t="shared" ref="E1714:I1715" si="362">E1716+E1718+E1720+E1722</f>
        <v>0</v>
      </c>
      <c r="F1714" s="125">
        <f t="shared" si="362"/>
        <v>0</v>
      </c>
      <c r="G1714" s="125">
        <f t="shared" si="362"/>
        <v>0</v>
      </c>
      <c r="H1714" s="125">
        <f t="shared" si="362"/>
        <v>0</v>
      </c>
      <c r="I1714" s="125">
        <f t="shared" si="362"/>
        <v>30</v>
      </c>
    </row>
    <row r="1715" spans="1:9" s="126" customFormat="1">
      <c r="A1715" s="134"/>
      <c r="B1715" s="127" t="s">
        <v>30</v>
      </c>
      <c r="C1715" s="125">
        <f t="shared" si="360"/>
        <v>888.65</v>
      </c>
      <c r="D1715" s="125">
        <f>D1717+D1719+D1721+D1723</f>
        <v>858.65</v>
      </c>
      <c r="E1715" s="125">
        <f t="shared" si="362"/>
        <v>0</v>
      </c>
      <c r="F1715" s="125">
        <f t="shared" si="362"/>
        <v>0</v>
      </c>
      <c r="G1715" s="125">
        <f t="shared" si="362"/>
        <v>0</v>
      </c>
      <c r="H1715" s="125">
        <f t="shared" si="362"/>
        <v>0</v>
      </c>
      <c r="I1715" s="125">
        <f t="shared" si="362"/>
        <v>30</v>
      </c>
    </row>
    <row r="1716" spans="1:9" s="102" customFormat="1" ht="62.1">
      <c r="A1716" s="339" t="s">
        <v>675</v>
      </c>
      <c r="B1716" s="224" t="s">
        <v>29</v>
      </c>
      <c r="C1716" s="78">
        <f t="shared" si="360"/>
        <v>300</v>
      </c>
      <c r="D1716" s="78">
        <v>270</v>
      </c>
      <c r="E1716" s="64">
        <v>0</v>
      </c>
      <c r="F1716" s="78">
        <v>0</v>
      </c>
      <c r="G1716" s="78">
        <v>0</v>
      </c>
      <c r="H1716" s="78">
        <v>0</v>
      </c>
      <c r="I1716" s="78">
        <f>300-270</f>
        <v>30</v>
      </c>
    </row>
    <row r="1717" spans="1:9" s="102" customFormat="1">
      <c r="A1717" s="215"/>
      <c r="B1717" s="226" t="s">
        <v>30</v>
      </c>
      <c r="C1717" s="78">
        <f t="shared" si="360"/>
        <v>300</v>
      </c>
      <c r="D1717" s="78">
        <v>270</v>
      </c>
      <c r="E1717" s="64">
        <v>0</v>
      </c>
      <c r="F1717" s="78">
        <v>0</v>
      </c>
      <c r="G1717" s="78">
        <v>0</v>
      </c>
      <c r="H1717" s="78">
        <v>0</v>
      </c>
      <c r="I1717" s="78">
        <f>300-270</f>
        <v>30</v>
      </c>
    </row>
    <row r="1718" spans="1:9" s="206" customFormat="1" ht="37.35">
      <c r="A1718" s="331" t="s">
        <v>676</v>
      </c>
      <c r="B1718" s="237" t="s">
        <v>29</v>
      </c>
      <c r="C1718" s="78">
        <f t="shared" si="360"/>
        <v>68</v>
      </c>
      <c r="D1718" s="78">
        <v>68</v>
      </c>
      <c r="E1718" s="64">
        <v>0</v>
      </c>
      <c r="F1718" s="78">
        <v>0</v>
      </c>
      <c r="G1718" s="78">
        <v>0</v>
      </c>
      <c r="H1718" s="78">
        <v>0</v>
      </c>
      <c r="I1718" s="78">
        <v>0</v>
      </c>
    </row>
    <row r="1719" spans="1:9" s="102" customFormat="1">
      <c r="A1719" s="215"/>
      <c r="B1719" s="226" t="s">
        <v>30</v>
      </c>
      <c r="C1719" s="78">
        <f t="shared" si="360"/>
        <v>68</v>
      </c>
      <c r="D1719" s="78">
        <v>68</v>
      </c>
      <c r="E1719" s="64">
        <v>0</v>
      </c>
      <c r="F1719" s="78">
        <v>0</v>
      </c>
      <c r="G1719" s="78">
        <v>0</v>
      </c>
      <c r="H1719" s="78">
        <v>0</v>
      </c>
      <c r="I1719" s="78">
        <v>0</v>
      </c>
    </row>
    <row r="1720" spans="1:9" s="213" customFormat="1" ht="65.25" customHeight="1">
      <c r="A1720" s="421" t="s">
        <v>677</v>
      </c>
      <c r="B1720" s="237" t="s">
        <v>29</v>
      </c>
      <c r="C1720" s="240">
        <f t="shared" si="360"/>
        <v>241</v>
      </c>
      <c r="D1720" s="240">
        <v>241</v>
      </c>
      <c r="E1720" s="240">
        <v>0</v>
      </c>
      <c r="F1720" s="240">
        <v>0</v>
      </c>
      <c r="G1720" s="240">
        <v>0</v>
      </c>
      <c r="H1720" s="240">
        <v>0</v>
      </c>
      <c r="I1720" s="240">
        <v>0</v>
      </c>
    </row>
    <row r="1721" spans="1:9" s="102" customFormat="1">
      <c r="A1721" s="215"/>
      <c r="B1721" s="226" t="s">
        <v>30</v>
      </c>
      <c r="C1721" s="78">
        <f t="shared" si="360"/>
        <v>241</v>
      </c>
      <c r="D1721" s="78">
        <v>241</v>
      </c>
      <c r="E1721" s="64">
        <v>0</v>
      </c>
      <c r="F1721" s="78">
        <v>0</v>
      </c>
      <c r="G1721" s="78">
        <v>0</v>
      </c>
      <c r="H1721" s="78">
        <v>0</v>
      </c>
      <c r="I1721" s="78">
        <v>0</v>
      </c>
    </row>
    <row r="1722" spans="1:9" s="213" customFormat="1" ht="40.5" customHeight="1">
      <c r="A1722" s="325" t="s">
        <v>678</v>
      </c>
      <c r="B1722" s="237" t="s">
        <v>29</v>
      </c>
      <c r="C1722" s="240">
        <f t="shared" si="360"/>
        <v>279.64999999999998</v>
      </c>
      <c r="D1722" s="240">
        <v>279.64999999999998</v>
      </c>
      <c r="E1722" s="240">
        <v>0</v>
      </c>
      <c r="F1722" s="240">
        <v>0</v>
      </c>
      <c r="G1722" s="240">
        <v>0</v>
      </c>
      <c r="H1722" s="240">
        <v>0</v>
      </c>
      <c r="I1722" s="240">
        <v>0</v>
      </c>
    </row>
    <row r="1723" spans="1:9" s="102" customFormat="1">
      <c r="A1723" s="215"/>
      <c r="B1723" s="226" t="s">
        <v>30</v>
      </c>
      <c r="C1723" s="78">
        <f t="shared" si="360"/>
        <v>279.64999999999998</v>
      </c>
      <c r="D1723" s="78">
        <v>279.64999999999998</v>
      </c>
      <c r="E1723" s="64">
        <v>0</v>
      </c>
      <c r="F1723" s="78">
        <v>0</v>
      </c>
      <c r="G1723" s="78">
        <v>0</v>
      </c>
      <c r="H1723" s="78">
        <v>0</v>
      </c>
      <c r="I1723" s="78">
        <v>0</v>
      </c>
    </row>
    <row r="1724" spans="1:9" s="126" customFormat="1" ht="14.1">
      <c r="A1724" s="414" t="s">
        <v>679</v>
      </c>
      <c r="B1724" s="124" t="s">
        <v>29</v>
      </c>
      <c r="C1724" s="125">
        <f t="shared" si="360"/>
        <v>9.2199999999999989</v>
      </c>
      <c r="D1724" s="125">
        <f>D1726+D1728</f>
        <v>9.2199999999999989</v>
      </c>
      <c r="E1724" s="125">
        <f t="shared" ref="E1724:I1725" si="363">E1726+E1728</f>
        <v>0</v>
      </c>
      <c r="F1724" s="125">
        <f t="shared" si="363"/>
        <v>0</v>
      </c>
      <c r="G1724" s="125">
        <f t="shared" si="363"/>
        <v>0</v>
      </c>
      <c r="H1724" s="125">
        <f t="shared" si="363"/>
        <v>0</v>
      </c>
      <c r="I1724" s="125">
        <f t="shared" si="363"/>
        <v>0</v>
      </c>
    </row>
    <row r="1725" spans="1:9" s="126" customFormat="1">
      <c r="A1725" s="134"/>
      <c r="B1725" s="127" t="s">
        <v>30</v>
      </c>
      <c r="C1725" s="125">
        <f t="shared" si="360"/>
        <v>9.2199999999999989</v>
      </c>
      <c r="D1725" s="125">
        <f>D1727+D1729</f>
        <v>9.2199999999999989</v>
      </c>
      <c r="E1725" s="125">
        <f t="shared" si="363"/>
        <v>0</v>
      </c>
      <c r="F1725" s="125">
        <f t="shared" si="363"/>
        <v>0</v>
      </c>
      <c r="G1725" s="125">
        <f t="shared" si="363"/>
        <v>0</v>
      </c>
      <c r="H1725" s="125">
        <f t="shared" si="363"/>
        <v>0</v>
      </c>
      <c r="I1725" s="125">
        <f t="shared" si="363"/>
        <v>0</v>
      </c>
    </row>
    <row r="1726" spans="1:9" s="206" customFormat="1">
      <c r="A1726" s="655" t="s">
        <v>680</v>
      </c>
      <c r="B1726" s="122" t="s">
        <v>29</v>
      </c>
      <c r="C1726" s="78">
        <f t="shared" si="360"/>
        <v>4.46</v>
      </c>
      <c r="D1726" s="78">
        <v>4.46</v>
      </c>
      <c r="E1726" s="64">
        <v>0</v>
      </c>
      <c r="F1726" s="78">
        <v>0</v>
      </c>
      <c r="G1726" s="78">
        <v>0</v>
      </c>
      <c r="H1726" s="78">
        <v>0</v>
      </c>
      <c r="I1726" s="78">
        <v>0</v>
      </c>
    </row>
    <row r="1727" spans="1:9" s="102" customFormat="1">
      <c r="A1727" s="656"/>
      <c r="B1727" s="123" t="s">
        <v>30</v>
      </c>
      <c r="C1727" s="78">
        <f t="shared" si="360"/>
        <v>4.46</v>
      </c>
      <c r="D1727" s="78">
        <v>4.46</v>
      </c>
      <c r="E1727" s="64">
        <v>0</v>
      </c>
      <c r="F1727" s="78">
        <v>0</v>
      </c>
      <c r="G1727" s="78">
        <v>0</v>
      </c>
      <c r="H1727" s="78">
        <v>0</v>
      </c>
      <c r="I1727" s="78">
        <v>0</v>
      </c>
    </row>
    <row r="1728" spans="1:9" s="213" customFormat="1">
      <c r="A1728" s="655" t="s">
        <v>681</v>
      </c>
      <c r="B1728" s="237" t="s">
        <v>29</v>
      </c>
      <c r="C1728" s="240">
        <f t="shared" si="360"/>
        <v>4.76</v>
      </c>
      <c r="D1728" s="240">
        <v>4.76</v>
      </c>
      <c r="E1728" s="240">
        <v>0</v>
      </c>
      <c r="F1728" s="240">
        <v>0</v>
      </c>
      <c r="G1728" s="240">
        <v>0</v>
      </c>
      <c r="H1728" s="240">
        <v>0</v>
      </c>
      <c r="I1728" s="240">
        <v>0</v>
      </c>
    </row>
    <row r="1729" spans="1:9" s="213" customFormat="1">
      <c r="A1729" s="656"/>
      <c r="B1729" s="226" t="s">
        <v>30</v>
      </c>
      <c r="C1729" s="240">
        <f t="shared" si="360"/>
        <v>4.76</v>
      </c>
      <c r="D1729" s="240">
        <v>4.76</v>
      </c>
      <c r="E1729" s="240">
        <v>0</v>
      </c>
      <c r="F1729" s="240">
        <v>0</v>
      </c>
      <c r="G1729" s="240">
        <v>0</v>
      </c>
      <c r="H1729" s="240">
        <v>0</v>
      </c>
      <c r="I1729" s="240">
        <v>0</v>
      </c>
    </row>
    <row r="1730" spans="1:9" s="247" customFormat="1" ht="14.1">
      <c r="A1730" s="384" t="s">
        <v>682</v>
      </c>
      <c r="B1730" s="365" t="s">
        <v>29</v>
      </c>
      <c r="C1730" s="291">
        <f t="shared" si="360"/>
        <v>40</v>
      </c>
      <c r="D1730" s="291">
        <f>D1732</f>
        <v>33.880000000000003</v>
      </c>
      <c r="E1730" s="291">
        <f t="shared" ref="E1730:I1731" si="364">E1732</f>
        <v>0</v>
      </c>
      <c r="F1730" s="291">
        <f t="shared" si="364"/>
        <v>0</v>
      </c>
      <c r="G1730" s="291">
        <f t="shared" si="364"/>
        <v>0</v>
      </c>
      <c r="H1730" s="291">
        <f t="shared" si="364"/>
        <v>0</v>
      </c>
      <c r="I1730" s="291">
        <f t="shared" si="364"/>
        <v>6.1199999999999974</v>
      </c>
    </row>
    <row r="1731" spans="1:9" s="247" customFormat="1">
      <c r="A1731" s="313"/>
      <c r="B1731" s="289" t="s">
        <v>30</v>
      </c>
      <c r="C1731" s="291">
        <f t="shared" si="360"/>
        <v>40</v>
      </c>
      <c r="D1731" s="291">
        <f>D1733</f>
        <v>33.880000000000003</v>
      </c>
      <c r="E1731" s="291">
        <f t="shared" si="364"/>
        <v>0</v>
      </c>
      <c r="F1731" s="291">
        <f t="shared" si="364"/>
        <v>0</v>
      </c>
      <c r="G1731" s="291">
        <f t="shared" si="364"/>
        <v>0</v>
      </c>
      <c r="H1731" s="291">
        <f t="shared" si="364"/>
        <v>0</v>
      </c>
      <c r="I1731" s="291">
        <f t="shared" si="364"/>
        <v>6.1199999999999974</v>
      </c>
    </row>
    <row r="1732" spans="1:9" s="213" customFormat="1" ht="54" customHeight="1">
      <c r="A1732" s="325" t="s">
        <v>683</v>
      </c>
      <c r="B1732" s="237" t="s">
        <v>29</v>
      </c>
      <c r="C1732" s="240">
        <f t="shared" si="360"/>
        <v>40</v>
      </c>
      <c r="D1732" s="78">
        <v>33.880000000000003</v>
      </c>
      <c r="E1732" s="240">
        <v>0</v>
      </c>
      <c r="F1732" s="240">
        <v>0</v>
      </c>
      <c r="G1732" s="240">
        <v>0</v>
      </c>
      <c r="H1732" s="240">
        <v>0</v>
      </c>
      <c r="I1732" s="78">
        <f>40-33.88</f>
        <v>6.1199999999999974</v>
      </c>
    </row>
    <row r="1733" spans="1:9" s="102" customFormat="1" ht="14.1">
      <c r="A1733" s="316"/>
      <c r="B1733" s="86" t="s">
        <v>30</v>
      </c>
      <c r="C1733" s="78">
        <f t="shared" si="360"/>
        <v>40</v>
      </c>
      <c r="D1733" s="78">
        <v>33.880000000000003</v>
      </c>
      <c r="E1733" s="64">
        <v>0</v>
      </c>
      <c r="F1733" s="78">
        <v>0</v>
      </c>
      <c r="G1733" s="78">
        <v>0</v>
      </c>
      <c r="H1733" s="78">
        <v>0</v>
      </c>
      <c r="I1733" s="78">
        <f>40-33.88</f>
        <v>6.1199999999999974</v>
      </c>
    </row>
    <row r="1734" spans="1:9" s="126" customFormat="1" ht="14.1">
      <c r="A1734" s="385" t="s">
        <v>449</v>
      </c>
      <c r="B1734" s="124" t="s">
        <v>29</v>
      </c>
      <c r="C1734" s="125">
        <f t="shared" si="360"/>
        <v>191.7</v>
      </c>
      <c r="D1734" s="125">
        <f>D1736+D1738</f>
        <v>154.69999999999999</v>
      </c>
      <c r="E1734" s="125">
        <f t="shared" ref="E1734:I1734" si="365">E1736+E1738</f>
        <v>37</v>
      </c>
      <c r="F1734" s="125">
        <f t="shared" si="365"/>
        <v>0</v>
      </c>
      <c r="G1734" s="125">
        <f t="shared" si="365"/>
        <v>0</v>
      </c>
      <c r="H1734" s="125">
        <f t="shared" si="365"/>
        <v>0</v>
      </c>
      <c r="I1734" s="125">
        <f t="shared" si="365"/>
        <v>0</v>
      </c>
    </row>
    <row r="1735" spans="1:9" s="126" customFormat="1">
      <c r="A1735" s="134"/>
      <c r="B1735" s="127" t="s">
        <v>30</v>
      </c>
      <c r="C1735" s="125">
        <f t="shared" si="360"/>
        <v>191.7</v>
      </c>
      <c r="D1735" s="125">
        <f>D1737+D1739</f>
        <v>154.69999999999999</v>
      </c>
      <c r="E1735" s="125">
        <f t="shared" ref="E1735:I1735" si="366">E1737+E1739</f>
        <v>37</v>
      </c>
      <c r="F1735" s="125">
        <f t="shared" si="366"/>
        <v>0</v>
      </c>
      <c r="G1735" s="125">
        <f t="shared" si="366"/>
        <v>0</v>
      </c>
      <c r="H1735" s="125">
        <f t="shared" si="366"/>
        <v>0</v>
      </c>
      <c r="I1735" s="125">
        <f t="shared" si="366"/>
        <v>0</v>
      </c>
    </row>
    <row r="1736" spans="1:9" s="213" customFormat="1" ht="78" customHeight="1">
      <c r="A1736" s="503" t="s">
        <v>684</v>
      </c>
      <c r="B1736" s="237" t="s">
        <v>29</v>
      </c>
      <c r="C1736" s="240">
        <f t="shared" si="360"/>
        <v>154.69999999999999</v>
      </c>
      <c r="D1736" s="240">
        <v>154.69999999999999</v>
      </c>
      <c r="E1736" s="64">
        <v>0</v>
      </c>
      <c r="F1736" s="240">
        <v>0</v>
      </c>
      <c r="G1736" s="240">
        <v>0</v>
      </c>
      <c r="H1736" s="240">
        <v>0</v>
      </c>
      <c r="I1736" s="240">
        <v>0</v>
      </c>
    </row>
    <row r="1737" spans="1:9" s="102" customFormat="1" ht="14.1">
      <c r="A1737" s="316"/>
      <c r="B1737" s="86" t="s">
        <v>30</v>
      </c>
      <c r="C1737" s="78">
        <f t="shared" si="360"/>
        <v>154.69999999999999</v>
      </c>
      <c r="D1737" s="78">
        <v>154.69999999999999</v>
      </c>
      <c r="E1737" s="64">
        <v>0</v>
      </c>
      <c r="F1737" s="78">
        <v>0</v>
      </c>
      <c r="G1737" s="78">
        <v>0</v>
      </c>
      <c r="H1737" s="78">
        <v>0</v>
      </c>
      <c r="I1737" s="78">
        <v>0</v>
      </c>
    </row>
    <row r="1738" spans="1:9" s="213" customFormat="1" ht="26.25" customHeight="1">
      <c r="A1738" s="540" t="s">
        <v>685</v>
      </c>
      <c r="B1738" s="237" t="s">
        <v>29</v>
      </c>
      <c r="C1738" s="240">
        <f t="shared" ref="C1738:C1739" si="367">D1738+E1738+F1738+G1738+H1738+I1738</f>
        <v>37</v>
      </c>
      <c r="D1738" s="240">
        <v>0</v>
      </c>
      <c r="E1738" s="64">
        <v>37</v>
      </c>
      <c r="F1738" s="240">
        <v>0</v>
      </c>
      <c r="G1738" s="240">
        <v>0</v>
      </c>
      <c r="H1738" s="240">
        <v>0</v>
      </c>
      <c r="I1738" s="240">
        <v>0</v>
      </c>
    </row>
    <row r="1739" spans="1:9" s="102" customFormat="1" ht="14.1">
      <c r="A1739" s="316"/>
      <c r="B1739" s="86" t="s">
        <v>30</v>
      </c>
      <c r="C1739" s="78">
        <f t="shared" si="367"/>
        <v>37</v>
      </c>
      <c r="D1739" s="78">
        <v>0</v>
      </c>
      <c r="E1739" s="64">
        <v>37</v>
      </c>
      <c r="F1739" s="78">
        <v>0</v>
      </c>
      <c r="G1739" s="78">
        <v>0</v>
      </c>
      <c r="H1739" s="78">
        <v>0</v>
      </c>
      <c r="I1739" s="78">
        <v>0</v>
      </c>
    </row>
    <row r="1740" spans="1:9">
      <c r="A1740" s="657" t="s">
        <v>471</v>
      </c>
      <c r="B1740" s="658"/>
      <c r="C1740" s="659"/>
      <c r="D1740" s="659"/>
      <c r="E1740" s="659"/>
      <c r="F1740" s="659"/>
      <c r="G1740" s="659"/>
      <c r="H1740" s="659"/>
      <c r="I1740" s="660"/>
    </row>
    <row r="1741" spans="1:9">
      <c r="A1741" s="31" t="s">
        <v>54</v>
      </c>
      <c r="B1741" s="29" t="s">
        <v>29</v>
      </c>
      <c r="C1741" s="52">
        <f t="shared" ref="C1741:C1820" si="368">D1741+E1741+F1741+G1741+H1741+I1741</f>
        <v>6457.94</v>
      </c>
      <c r="D1741" s="52">
        <f t="shared" ref="D1741:I1742" si="369">D1743+D1755</f>
        <v>1985.5</v>
      </c>
      <c r="E1741" s="52">
        <f t="shared" si="369"/>
        <v>358</v>
      </c>
      <c r="F1741" s="52">
        <f t="shared" si="369"/>
        <v>0</v>
      </c>
      <c r="G1741" s="52">
        <f t="shared" si="369"/>
        <v>0</v>
      </c>
      <c r="H1741" s="52">
        <f t="shared" si="369"/>
        <v>0</v>
      </c>
      <c r="I1741" s="52">
        <f t="shared" si="369"/>
        <v>4114.4399999999996</v>
      </c>
    </row>
    <row r="1742" spans="1:9">
      <c r="A1742" s="21" t="s">
        <v>87</v>
      </c>
      <c r="B1742" s="26" t="s">
        <v>30</v>
      </c>
      <c r="C1742" s="52">
        <f t="shared" si="368"/>
        <v>6457.94</v>
      </c>
      <c r="D1742" s="52">
        <f t="shared" si="369"/>
        <v>1985.5</v>
      </c>
      <c r="E1742" s="52">
        <f t="shared" si="369"/>
        <v>358</v>
      </c>
      <c r="F1742" s="52">
        <f t="shared" si="369"/>
        <v>0</v>
      </c>
      <c r="G1742" s="52">
        <f t="shared" si="369"/>
        <v>0</v>
      </c>
      <c r="H1742" s="52">
        <f t="shared" si="369"/>
        <v>0</v>
      </c>
      <c r="I1742" s="52">
        <f t="shared" si="369"/>
        <v>4114.4399999999996</v>
      </c>
    </row>
    <row r="1743" spans="1:9">
      <c r="A1743" s="47" t="s">
        <v>60</v>
      </c>
      <c r="B1743" s="24" t="s">
        <v>29</v>
      </c>
      <c r="C1743" s="52">
        <f t="shared" si="368"/>
        <v>117</v>
      </c>
      <c r="D1743" s="52">
        <f t="shared" ref="D1743:I1752" si="370">D1745</f>
        <v>0</v>
      </c>
      <c r="E1743" s="52">
        <f t="shared" si="370"/>
        <v>117</v>
      </c>
      <c r="F1743" s="52">
        <f t="shared" si="370"/>
        <v>0</v>
      </c>
      <c r="G1743" s="52">
        <f t="shared" si="370"/>
        <v>0</v>
      </c>
      <c r="H1743" s="52">
        <f t="shared" si="370"/>
        <v>0</v>
      </c>
      <c r="I1743" s="52">
        <f t="shared" si="370"/>
        <v>0</v>
      </c>
    </row>
    <row r="1744" spans="1:9">
      <c r="A1744" s="12" t="s">
        <v>48</v>
      </c>
      <c r="B1744" s="26" t="s">
        <v>30</v>
      </c>
      <c r="C1744" s="52">
        <f t="shared" si="368"/>
        <v>117</v>
      </c>
      <c r="D1744" s="52">
        <f t="shared" si="370"/>
        <v>0</v>
      </c>
      <c r="E1744" s="52">
        <f t="shared" si="370"/>
        <v>117</v>
      </c>
      <c r="F1744" s="52">
        <f t="shared" si="370"/>
        <v>0</v>
      </c>
      <c r="G1744" s="52">
        <f t="shared" si="370"/>
        <v>0</v>
      </c>
      <c r="H1744" s="52">
        <f t="shared" si="370"/>
        <v>0</v>
      </c>
      <c r="I1744" s="52">
        <f t="shared" si="370"/>
        <v>0</v>
      </c>
    </row>
    <row r="1745" spans="1:9" ht="12.95">
      <c r="A1745" s="19" t="s">
        <v>37</v>
      </c>
      <c r="B1745" s="3" t="s">
        <v>29</v>
      </c>
      <c r="C1745" s="52">
        <f t="shared" si="368"/>
        <v>117</v>
      </c>
      <c r="D1745" s="52">
        <f t="shared" si="370"/>
        <v>0</v>
      </c>
      <c r="E1745" s="52">
        <f t="shared" si="370"/>
        <v>117</v>
      </c>
      <c r="F1745" s="52">
        <f t="shared" si="370"/>
        <v>0</v>
      </c>
      <c r="G1745" s="52">
        <f t="shared" si="370"/>
        <v>0</v>
      </c>
      <c r="H1745" s="52">
        <f t="shared" si="370"/>
        <v>0</v>
      </c>
      <c r="I1745" s="52">
        <f t="shared" si="370"/>
        <v>0</v>
      </c>
    </row>
    <row r="1746" spans="1:9" ht="12.95">
      <c r="A1746" s="16"/>
      <c r="B1746" s="4" t="s">
        <v>30</v>
      </c>
      <c r="C1746" s="52">
        <f t="shared" si="368"/>
        <v>117</v>
      </c>
      <c r="D1746" s="52">
        <f t="shared" si="370"/>
        <v>0</v>
      </c>
      <c r="E1746" s="52">
        <f t="shared" si="370"/>
        <v>117</v>
      </c>
      <c r="F1746" s="52">
        <f t="shared" si="370"/>
        <v>0</v>
      </c>
      <c r="G1746" s="52">
        <f t="shared" si="370"/>
        <v>0</v>
      </c>
      <c r="H1746" s="52">
        <f t="shared" si="370"/>
        <v>0</v>
      </c>
      <c r="I1746" s="52">
        <f t="shared" si="370"/>
        <v>0</v>
      </c>
    </row>
    <row r="1747" spans="1:9">
      <c r="A1747" s="28" t="s">
        <v>50</v>
      </c>
      <c r="B1747" s="24" t="s">
        <v>29</v>
      </c>
      <c r="C1747" s="52">
        <f t="shared" si="368"/>
        <v>117</v>
      </c>
      <c r="D1747" s="52">
        <f t="shared" si="370"/>
        <v>0</v>
      </c>
      <c r="E1747" s="52">
        <f t="shared" si="370"/>
        <v>117</v>
      </c>
      <c r="F1747" s="52">
        <f t="shared" si="370"/>
        <v>0</v>
      </c>
      <c r="G1747" s="52">
        <f t="shared" si="370"/>
        <v>0</v>
      </c>
      <c r="H1747" s="52">
        <f t="shared" si="370"/>
        <v>0</v>
      </c>
      <c r="I1747" s="52">
        <f t="shared" si="370"/>
        <v>0</v>
      </c>
    </row>
    <row r="1748" spans="1:9">
      <c r="A1748" s="12"/>
      <c r="B1748" s="26" t="s">
        <v>30</v>
      </c>
      <c r="C1748" s="52">
        <f t="shared" si="368"/>
        <v>117</v>
      </c>
      <c r="D1748" s="52">
        <f t="shared" si="370"/>
        <v>0</v>
      </c>
      <c r="E1748" s="52">
        <f t="shared" si="370"/>
        <v>117</v>
      </c>
      <c r="F1748" s="52">
        <f t="shared" si="370"/>
        <v>0</v>
      </c>
      <c r="G1748" s="52">
        <f t="shared" si="370"/>
        <v>0</v>
      </c>
      <c r="H1748" s="52">
        <f t="shared" si="370"/>
        <v>0</v>
      </c>
      <c r="I1748" s="52">
        <f t="shared" si="370"/>
        <v>0</v>
      </c>
    </row>
    <row r="1749" spans="1:9" s="95" customFormat="1">
      <c r="A1749" s="96" t="s">
        <v>42</v>
      </c>
      <c r="B1749" s="129" t="s">
        <v>29</v>
      </c>
      <c r="C1749" s="130">
        <f t="shared" si="368"/>
        <v>117</v>
      </c>
      <c r="D1749" s="130">
        <f t="shared" si="370"/>
        <v>0</v>
      </c>
      <c r="E1749" s="130">
        <f t="shared" si="370"/>
        <v>117</v>
      </c>
      <c r="F1749" s="130">
        <f t="shared" si="370"/>
        <v>0</v>
      </c>
      <c r="G1749" s="130">
        <f t="shared" si="370"/>
        <v>0</v>
      </c>
      <c r="H1749" s="130">
        <f t="shared" si="370"/>
        <v>0</v>
      </c>
      <c r="I1749" s="130">
        <f t="shared" si="370"/>
        <v>0</v>
      </c>
    </row>
    <row r="1750" spans="1:9" s="95" customFormat="1">
      <c r="A1750" s="131"/>
      <c r="B1750" s="132" t="s">
        <v>30</v>
      </c>
      <c r="C1750" s="130">
        <f t="shared" si="368"/>
        <v>117</v>
      </c>
      <c r="D1750" s="130">
        <f t="shared" si="370"/>
        <v>0</v>
      </c>
      <c r="E1750" s="130">
        <f t="shared" si="370"/>
        <v>117</v>
      </c>
      <c r="F1750" s="130">
        <f t="shared" si="370"/>
        <v>0</v>
      </c>
      <c r="G1750" s="130">
        <f t="shared" si="370"/>
        <v>0</v>
      </c>
      <c r="H1750" s="130">
        <f t="shared" si="370"/>
        <v>0</v>
      </c>
      <c r="I1750" s="130">
        <f t="shared" si="370"/>
        <v>0</v>
      </c>
    </row>
    <row r="1751" spans="1:9" s="102" customFormat="1">
      <c r="A1751" s="58" t="s">
        <v>475</v>
      </c>
      <c r="B1751" s="112" t="s">
        <v>29</v>
      </c>
      <c r="C1751" s="78">
        <f t="shared" si="368"/>
        <v>117</v>
      </c>
      <c r="D1751" s="78">
        <f>D1753</f>
        <v>0</v>
      </c>
      <c r="E1751" s="78">
        <f t="shared" si="370"/>
        <v>117</v>
      </c>
      <c r="F1751" s="78">
        <f t="shared" si="370"/>
        <v>0</v>
      </c>
      <c r="G1751" s="78">
        <f t="shared" si="370"/>
        <v>0</v>
      </c>
      <c r="H1751" s="78">
        <f t="shared" si="370"/>
        <v>0</v>
      </c>
      <c r="I1751" s="78">
        <f t="shared" si="370"/>
        <v>0</v>
      </c>
    </row>
    <row r="1752" spans="1:9" s="102" customFormat="1" ht="12.95">
      <c r="A1752" s="113"/>
      <c r="B1752" s="114" t="s">
        <v>30</v>
      </c>
      <c r="C1752" s="78">
        <f t="shared" si="368"/>
        <v>117</v>
      </c>
      <c r="D1752" s="78">
        <f>D1754</f>
        <v>0</v>
      </c>
      <c r="E1752" s="78">
        <f t="shared" si="370"/>
        <v>117</v>
      </c>
      <c r="F1752" s="78">
        <f t="shared" si="370"/>
        <v>0</v>
      </c>
      <c r="G1752" s="78">
        <f t="shared" si="370"/>
        <v>0</v>
      </c>
      <c r="H1752" s="78">
        <f t="shared" si="370"/>
        <v>0</v>
      </c>
      <c r="I1752" s="78">
        <f t="shared" si="370"/>
        <v>0</v>
      </c>
    </row>
    <row r="1753" spans="1:9" s="213" customFormat="1" ht="42" customHeight="1">
      <c r="A1753" s="478" t="s">
        <v>686</v>
      </c>
      <c r="B1753" s="312" t="s">
        <v>29</v>
      </c>
      <c r="C1753" s="240">
        <f t="shared" si="368"/>
        <v>117</v>
      </c>
      <c r="D1753" s="240">
        <v>0</v>
      </c>
      <c r="E1753" s="240">
        <v>117</v>
      </c>
      <c r="F1753" s="240">
        <v>0</v>
      </c>
      <c r="G1753" s="240">
        <v>0</v>
      </c>
      <c r="H1753" s="240">
        <v>0</v>
      </c>
      <c r="I1753" s="240">
        <v>0</v>
      </c>
    </row>
    <row r="1754" spans="1:9" s="213" customFormat="1" ht="12.95">
      <c r="A1754" s="297"/>
      <c r="B1754" s="373" t="s">
        <v>30</v>
      </c>
      <c r="C1754" s="240">
        <f t="shared" si="368"/>
        <v>117</v>
      </c>
      <c r="D1754" s="240">
        <v>0</v>
      </c>
      <c r="E1754" s="240">
        <v>117</v>
      </c>
      <c r="F1754" s="240">
        <v>0</v>
      </c>
      <c r="G1754" s="240">
        <v>0</v>
      </c>
      <c r="H1754" s="240">
        <v>0</v>
      </c>
      <c r="I1754" s="240">
        <v>0</v>
      </c>
    </row>
    <row r="1755" spans="1:9">
      <c r="A1755" s="47" t="s">
        <v>47</v>
      </c>
      <c r="B1755" s="24" t="s">
        <v>29</v>
      </c>
      <c r="C1755" s="52">
        <f t="shared" si="368"/>
        <v>6340.94</v>
      </c>
      <c r="D1755" s="52">
        <f t="shared" ref="D1755:I1760" si="371">D1757</f>
        <v>1985.5</v>
      </c>
      <c r="E1755" s="52">
        <f t="shared" si="371"/>
        <v>241</v>
      </c>
      <c r="F1755" s="52">
        <f t="shared" si="371"/>
        <v>0</v>
      </c>
      <c r="G1755" s="52">
        <f t="shared" si="371"/>
        <v>0</v>
      </c>
      <c r="H1755" s="52">
        <f t="shared" si="371"/>
        <v>0</v>
      </c>
      <c r="I1755" s="52">
        <f t="shared" si="371"/>
        <v>4114.4399999999996</v>
      </c>
    </row>
    <row r="1756" spans="1:9">
      <c r="A1756" s="12" t="s">
        <v>48</v>
      </c>
      <c r="B1756" s="26" t="s">
        <v>30</v>
      </c>
      <c r="C1756" s="52">
        <f t="shared" si="368"/>
        <v>6340.94</v>
      </c>
      <c r="D1756" s="52">
        <f t="shared" si="371"/>
        <v>1985.5</v>
      </c>
      <c r="E1756" s="52">
        <f t="shared" si="371"/>
        <v>241</v>
      </c>
      <c r="F1756" s="52">
        <f t="shared" si="371"/>
        <v>0</v>
      </c>
      <c r="G1756" s="52">
        <f t="shared" si="371"/>
        <v>0</v>
      </c>
      <c r="H1756" s="52">
        <f t="shared" si="371"/>
        <v>0</v>
      </c>
      <c r="I1756" s="52">
        <f t="shared" si="371"/>
        <v>4114.4399999999996</v>
      </c>
    </row>
    <row r="1757" spans="1:9" ht="12.95">
      <c r="A1757" s="19" t="s">
        <v>37</v>
      </c>
      <c r="B1757" s="3" t="s">
        <v>29</v>
      </c>
      <c r="C1757" s="52">
        <f t="shared" si="368"/>
        <v>6340.94</v>
      </c>
      <c r="D1757" s="52">
        <f t="shared" si="371"/>
        <v>1985.5</v>
      </c>
      <c r="E1757" s="52">
        <f t="shared" si="371"/>
        <v>241</v>
      </c>
      <c r="F1757" s="52">
        <f t="shared" si="371"/>
        <v>0</v>
      </c>
      <c r="G1757" s="52">
        <f t="shared" si="371"/>
        <v>0</v>
      </c>
      <c r="H1757" s="52">
        <f t="shared" si="371"/>
        <v>0</v>
      </c>
      <c r="I1757" s="52">
        <f t="shared" si="371"/>
        <v>4114.4399999999996</v>
      </c>
    </row>
    <row r="1758" spans="1:9" ht="12.95">
      <c r="A1758" s="16"/>
      <c r="B1758" s="4" t="s">
        <v>30</v>
      </c>
      <c r="C1758" s="52">
        <f t="shared" si="368"/>
        <v>6340.94</v>
      </c>
      <c r="D1758" s="52">
        <f t="shared" si="371"/>
        <v>1985.5</v>
      </c>
      <c r="E1758" s="52">
        <f t="shared" si="371"/>
        <v>241</v>
      </c>
      <c r="F1758" s="52">
        <f t="shared" si="371"/>
        <v>0</v>
      </c>
      <c r="G1758" s="52">
        <f t="shared" si="371"/>
        <v>0</v>
      </c>
      <c r="H1758" s="52">
        <f t="shared" si="371"/>
        <v>0</v>
      </c>
      <c r="I1758" s="52">
        <f t="shared" si="371"/>
        <v>4114.4399999999996</v>
      </c>
    </row>
    <row r="1759" spans="1:9">
      <c r="A1759" s="28" t="s">
        <v>50</v>
      </c>
      <c r="B1759" s="24" t="s">
        <v>29</v>
      </c>
      <c r="C1759" s="52">
        <f t="shared" si="368"/>
        <v>6340.94</v>
      </c>
      <c r="D1759" s="52">
        <f t="shared" si="371"/>
        <v>1985.5</v>
      </c>
      <c r="E1759" s="64">
        <f t="shared" si="371"/>
        <v>241</v>
      </c>
      <c r="F1759" s="52">
        <f t="shared" si="371"/>
        <v>0</v>
      </c>
      <c r="G1759" s="52">
        <f t="shared" si="371"/>
        <v>0</v>
      </c>
      <c r="H1759" s="52">
        <f t="shared" si="371"/>
        <v>0</v>
      </c>
      <c r="I1759" s="52">
        <f t="shared" si="371"/>
        <v>4114.4399999999996</v>
      </c>
    </row>
    <row r="1760" spans="1:9">
      <c r="A1760" s="12"/>
      <c r="B1760" s="26" t="s">
        <v>30</v>
      </c>
      <c r="C1760" s="52">
        <f t="shared" si="368"/>
        <v>6340.94</v>
      </c>
      <c r="D1760" s="52">
        <f t="shared" si="371"/>
        <v>1985.5</v>
      </c>
      <c r="E1760" s="64">
        <f t="shared" si="371"/>
        <v>241</v>
      </c>
      <c r="F1760" s="52">
        <f t="shared" si="371"/>
        <v>0</v>
      </c>
      <c r="G1760" s="52">
        <f t="shared" si="371"/>
        <v>0</v>
      </c>
      <c r="H1760" s="52">
        <f t="shared" si="371"/>
        <v>0</v>
      </c>
      <c r="I1760" s="52">
        <f t="shared" si="371"/>
        <v>4114.4399999999996</v>
      </c>
    </row>
    <row r="1761" spans="1:9" s="95" customFormat="1">
      <c r="A1761" s="96" t="s">
        <v>42</v>
      </c>
      <c r="B1761" s="129" t="s">
        <v>29</v>
      </c>
      <c r="C1761" s="130">
        <f t="shared" si="368"/>
        <v>6340.94</v>
      </c>
      <c r="D1761" s="130">
        <f t="shared" ref="D1761:I1762" si="372">D1763+D1789+D1805+D1811+D1815</f>
        <v>1985.5</v>
      </c>
      <c r="E1761" s="130">
        <f t="shared" si="372"/>
        <v>241</v>
      </c>
      <c r="F1761" s="130">
        <f t="shared" si="372"/>
        <v>0</v>
      </c>
      <c r="G1761" s="130">
        <f t="shared" si="372"/>
        <v>0</v>
      </c>
      <c r="H1761" s="130">
        <f t="shared" si="372"/>
        <v>0</v>
      </c>
      <c r="I1761" s="130">
        <f t="shared" si="372"/>
        <v>4114.4399999999996</v>
      </c>
    </row>
    <row r="1762" spans="1:9" s="95" customFormat="1">
      <c r="A1762" s="131"/>
      <c r="B1762" s="132" t="s">
        <v>30</v>
      </c>
      <c r="C1762" s="130">
        <f t="shared" si="368"/>
        <v>6340.94</v>
      </c>
      <c r="D1762" s="130">
        <f t="shared" si="372"/>
        <v>1985.5</v>
      </c>
      <c r="E1762" s="130">
        <f t="shared" si="372"/>
        <v>241</v>
      </c>
      <c r="F1762" s="130">
        <f t="shared" si="372"/>
        <v>0</v>
      </c>
      <c r="G1762" s="130">
        <f t="shared" si="372"/>
        <v>0</v>
      </c>
      <c r="H1762" s="130">
        <f t="shared" si="372"/>
        <v>0</v>
      </c>
      <c r="I1762" s="130">
        <f t="shared" si="372"/>
        <v>4114.4399999999996</v>
      </c>
    </row>
    <row r="1763" spans="1:9" s="126" customFormat="1">
      <c r="A1763" s="141" t="s">
        <v>479</v>
      </c>
      <c r="B1763" s="142" t="s">
        <v>29</v>
      </c>
      <c r="C1763" s="125">
        <f t="shared" si="368"/>
        <v>594.14</v>
      </c>
      <c r="D1763" s="125">
        <f>D1765+D1767+D1769+D1771+D1773+D1775+D1777+D1779+D1781+D1783+D1785+D1787</f>
        <v>594.14</v>
      </c>
      <c r="E1763" s="125">
        <f t="shared" ref="E1763:I1764" si="373">E1765+E1767+E1769+E1771+E1773+E1775+E1777+E1779+E1781+E1783+E1785+E1787</f>
        <v>0</v>
      </c>
      <c r="F1763" s="125">
        <f t="shared" si="373"/>
        <v>0</v>
      </c>
      <c r="G1763" s="125">
        <f t="shared" si="373"/>
        <v>0</v>
      </c>
      <c r="H1763" s="125">
        <f t="shared" si="373"/>
        <v>0</v>
      </c>
      <c r="I1763" s="125">
        <f t="shared" si="373"/>
        <v>0</v>
      </c>
    </row>
    <row r="1764" spans="1:9" s="126" customFormat="1">
      <c r="A1764" s="143"/>
      <c r="B1764" s="127" t="s">
        <v>30</v>
      </c>
      <c r="C1764" s="125">
        <f t="shared" si="368"/>
        <v>594.14</v>
      </c>
      <c r="D1764" s="125">
        <f>D1766+D1768+D1770+D1772+D1774+D1776+D1778+D1780+D1782+D1784+D1786+D1788</f>
        <v>594.14</v>
      </c>
      <c r="E1764" s="125">
        <f t="shared" si="373"/>
        <v>0</v>
      </c>
      <c r="F1764" s="125">
        <f t="shared" si="373"/>
        <v>0</v>
      </c>
      <c r="G1764" s="125">
        <f t="shared" si="373"/>
        <v>0</v>
      </c>
      <c r="H1764" s="125">
        <f t="shared" si="373"/>
        <v>0</v>
      </c>
      <c r="I1764" s="125">
        <f t="shared" si="373"/>
        <v>0</v>
      </c>
    </row>
    <row r="1765" spans="1:9" s="102" customFormat="1">
      <c r="A1765" s="510" t="s">
        <v>687</v>
      </c>
      <c r="B1765" s="112" t="s">
        <v>29</v>
      </c>
      <c r="C1765" s="78">
        <f t="shared" si="368"/>
        <v>54</v>
      </c>
      <c r="D1765" s="78">
        <v>54</v>
      </c>
      <c r="E1765" s="78">
        <v>0</v>
      </c>
      <c r="F1765" s="78">
        <v>0</v>
      </c>
      <c r="G1765" s="78">
        <v>0</v>
      </c>
      <c r="H1765" s="78">
        <v>0</v>
      </c>
      <c r="I1765" s="78">
        <v>0</v>
      </c>
    </row>
    <row r="1766" spans="1:9" s="102" customFormat="1" ht="12.95">
      <c r="A1766" s="113"/>
      <c r="B1766" s="114" t="s">
        <v>30</v>
      </c>
      <c r="C1766" s="78">
        <f t="shared" si="368"/>
        <v>54</v>
      </c>
      <c r="D1766" s="78">
        <v>54</v>
      </c>
      <c r="E1766" s="78">
        <v>0</v>
      </c>
      <c r="F1766" s="78">
        <v>0</v>
      </c>
      <c r="G1766" s="78">
        <v>0</v>
      </c>
      <c r="H1766" s="78">
        <v>0</v>
      </c>
      <c r="I1766" s="78">
        <v>0</v>
      </c>
    </row>
    <row r="1767" spans="1:9" s="102" customFormat="1" ht="24.95">
      <c r="A1767" s="510" t="s">
        <v>688</v>
      </c>
      <c r="B1767" s="112" t="s">
        <v>29</v>
      </c>
      <c r="C1767" s="78">
        <f t="shared" si="368"/>
        <v>24</v>
      </c>
      <c r="D1767" s="78">
        <v>24</v>
      </c>
      <c r="E1767" s="78">
        <v>0</v>
      </c>
      <c r="F1767" s="78">
        <v>0</v>
      </c>
      <c r="G1767" s="78">
        <v>0</v>
      </c>
      <c r="H1767" s="78">
        <v>0</v>
      </c>
      <c r="I1767" s="78">
        <v>0</v>
      </c>
    </row>
    <row r="1768" spans="1:9" s="102" customFormat="1" ht="12.95">
      <c r="A1768" s="113"/>
      <c r="B1768" s="114" t="s">
        <v>30</v>
      </c>
      <c r="C1768" s="78">
        <f t="shared" si="368"/>
        <v>24</v>
      </c>
      <c r="D1768" s="78">
        <v>24</v>
      </c>
      <c r="E1768" s="78">
        <v>0</v>
      </c>
      <c r="F1768" s="78">
        <v>0</v>
      </c>
      <c r="G1768" s="78">
        <v>0</v>
      </c>
      <c r="H1768" s="78">
        <v>0</v>
      </c>
      <c r="I1768" s="78">
        <v>0</v>
      </c>
    </row>
    <row r="1769" spans="1:9" s="102" customFormat="1" ht="41.25" customHeight="1">
      <c r="A1769" s="510" t="s">
        <v>689</v>
      </c>
      <c r="B1769" s="112" t="s">
        <v>29</v>
      </c>
      <c r="C1769" s="78">
        <f t="shared" si="368"/>
        <v>17</v>
      </c>
      <c r="D1769" s="78">
        <v>17</v>
      </c>
      <c r="E1769" s="78">
        <v>0</v>
      </c>
      <c r="F1769" s="78">
        <v>0</v>
      </c>
      <c r="G1769" s="78">
        <v>0</v>
      </c>
      <c r="H1769" s="78">
        <v>0</v>
      </c>
      <c r="I1769" s="78">
        <v>0</v>
      </c>
    </row>
    <row r="1770" spans="1:9" s="102" customFormat="1" ht="12.95">
      <c r="A1770" s="113"/>
      <c r="B1770" s="114" t="s">
        <v>30</v>
      </c>
      <c r="C1770" s="78">
        <f t="shared" si="368"/>
        <v>17</v>
      </c>
      <c r="D1770" s="78">
        <v>17</v>
      </c>
      <c r="E1770" s="78">
        <v>0</v>
      </c>
      <c r="F1770" s="78">
        <v>0</v>
      </c>
      <c r="G1770" s="78">
        <v>0</v>
      </c>
      <c r="H1770" s="78">
        <v>0</v>
      </c>
      <c r="I1770" s="78">
        <v>0</v>
      </c>
    </row>
    <row r="1771" spans="1:9" s="102" customFormat="1" ht="41.25" customHeight="1">
      <c r="A1771" s="510" t="s">
        <v>690</v>
      </c>
      <c r="B1771" s="112" t="s">
        <v>29</v>
      </c>
      <c r="C1771" s="78">
        <f t="shared" si="368"/>
        <v>31</v>
      </c>
      <c r="D1771" s="78">
        <v>31</v>
      </c>
      <c r="E1771" s="78">
        <v>0</v>
      </c>
      <c r="F1771" s="78">
        <v>0</v>
      </c>
      <c r="G1771" s="78">
        <v>0</v>
      </c>
      <c r="H1771" s="78">
        <v>0</v>
      </c>
      <c r="I1771" s="78">
        <v>0</v>
      </c>
    </row>
    <row r="1772" spans="1:9" s="102" customFormat="1" ht="12.95">
      <c r="A1772" s="113"/>
      <c r="B1772" s="114" t="s">
        <v>30</v>
      </c>
      <c r="C1772" s="78">
        <f t="shared" si="368"/>
        <v>31</v>
      </c>
      <c r="D1772" s="78">
        <v>31</v>
      </c>
      <c r="E1772" s="78">
        <v>0</v>
      </c>
      <c r="F1772" s="78">
        <v>0</v>
      </c>
      <c r="G1772" s="78">
        <v>0</v>
      </c>
      <c r="H1772" s="78">
        <v>0</v>
      </c>
      <c r="I1772" s="78">
        <v>0</v>
      </c>
    </row>
    <row r="1773" spans="1:9" s="102" customFormat="1" ht="24.95">
      <c r="A1773" s="280" t="s">
        <v>691</v>
      </c>
      <c r="B1773" s="112" t="s">
        <v>29</v>
      </c>
      <c r="C1773" s="78">
        <f t="shared" si="368"/>
        <v>7</v>
      </c>
      <c r="D1773" s="78">
        <v>7</v>
      </c>
      <c r="E1773" s="78">
        <v>0</v>
      </c>
      <c r="F1773" s="78">
        <v>0</v>
      </c>
      <c r="G1773" s="78">
        <v>0</v>
      </c>
      <c r="H1773" s="78">
        <v>0</v>
      </c>
      <c r="I1773" s="78">
        <v>0</v>
      </c>
    </row>
    <row r="1774" spans="1:9" s="102" customFormat="1" ht="12.95">
      <c r="A1774" s="113"/>
      <c r="B1774" s="114" t="s">
        <v>30</v>
      </c>
      <c r="C1774" s="78">
        <f t="shared" si="368"/>
        <v>7</v>
      </c>
      <c r="D1774" s="78">
        <v>7</v>
      </c>
      <c r="E1774" s="78">
        <v>0</v>
      </c>
      <c r="F1774" s="78">
        <v>0</v>
      </c>
      <c r="G1774" s="78">
        <v>0</v>
      </c>
      <c r="H1774" s="78">
        <v>0</v>
      </c>
      <c r="I1774" s="78">
        <v>0</v>
      </c>
    </row>
    <row r="1775" spans="1:9" s="102" customFormat="1" ht="24.95">
      <c r="A1775" s="280" t="s">
        <v>692</v>
      </c>
      <c r="B1775" s="112" t="s">
        <v>29</v>
      </c>
      <c r="C1775" s="78">
        <f t="shared" si="368"/>
        <v>21</v>
      </c>
      <c r="D1775" s="78">
        <v>21</v>
      </c>
      <c r="E1775" s="78">
        <v>0</v>
      </c>
      <c r="F1775" s="78">
        <v>0</v>
      </c>
      <c r="G1775" s="78">
        <v>0</v>
      </c>
      <c r="H1775" s="78">
        <v>0</v>
      </c>
      <c r="I1775" s="78">
        <v>0</v>
      </c>
    </row>
    <row r="1776" spans="1:9" s="102" customFormat="1" ht="12.95">
      <c r="A1776" s="113"/>
      <c r="B1776" s="114" t="s">
        <v>30</v>
      </c>
      <c r="C1776" s="78">
        <f t="shared" si="368"/>
        <v>21</v>
      </c>
      <c r="D1776" s="78">
        <v>21</v>
      </c>
      <c r="E1776" s="78">
        <v>0</v>
      </c>
      <c r="F1776" s="78">
        <v>0</v>
      </c>
      <c r="G1776" s="78">
        <v>0</v>
      </c>
      <c r="H1776" s="78">
        <v>0</v>
      </c>
      <c r="I1776" s="78">
        <v>0</v>
      </c>
    </row>
    <row r="1777" spans="1:10" s="102" customFormat="1" ht="24.95">
      <c r="A1777" s="280" t="s">
        <v>693</v>
      </c>
      <c r="B1777" s="112" t="s">
        <v>29</v>
      </c>
      <c r="C1777" s="78">
        <f t="shared" si="368"/>
        <v>7</v>
      </c>
      <c r="D1777" s="78">
        <v>7</v>
      </c>
      <c r="E1777" s="78">
        <v>0</v>
      </c>
      <c r="F1777" s="78">
        <v>0</v>
      </c>
      <c r="G1777" s="78">
        <v>0</v>
      </c>
      <c r="H1777" s="78">
        <v>0</v>
      </c>
      <c r="I1777" s="78">
        <v>0</v>
      </c>
    </row>
    <row r="1778" spans="1:10" s="102" customFormat="1" ht="12.95">
      <c r="A1778" s="113"/>
      <c r="B1778" s="114" t="s">
        <v>30</v>
      </c>
      <c r="C1778" s="78">
        <f t="shared" si="368"/>
        <v>7</v>
      </c>
      <c r="D1778" s="78">
        <v>7</v>
      </c>
      <c r="E1778" s="78">
        <v>0</v>
      </c>
      <c r="F1778" s="78">
        <v>0</v>
      </c>
      <c r="G1778" s="78">
        <v>0</v>
      </c>
      <c r="H1778" s="78">
        <v>0</v>
      </c>
      <c r="I1778" s="78">
        <v>0</v>
      </c>
    </row>
    <row r="1779" spans="1:10" s="102" customFormat="1" ht="24.95">
      <c r="A1779" s="280" t="s">
        <v>694</v>
      </c>
      <c r="B1779" s="112" t="s">
        <v>29</v>
      </c>
      <c r="C1779" s="78">
        <f t="shared" si="368"/>
        <v>21</v>
      </c>
      <c r="D1779" s="78">
        <v>21</v>
      </c>
      <c r="E1779" s="78">
        <v>0</v>
      </c>
      <c r="F1779" s="78">
        <v>0</v>
      </c>
      <c r="G1779" s="78">
        <v>0</v>
      </c>
      <c r="H1779" s="78">
        <v>0</v>
      </c>
      <c r="I1779" s="78">
        <v>0</v>
      </c>
    </row>
    <row r="1780" spans="1:10" s="102" customFormat="1" ht="12.95">
      <c r="A1780" s="113"/>
      <c r="B1780" s="114" t="s">
        <v>30</v>
      </c>
      <c r="C1780" s="78">
        <f t="shared" si="368"/>
        <v>21</v>
      </c>
      <c r="D1780" s="78">
        <v>21</v>
      </c>
      <c r="E1780" s="78">
        <v>0</v>
      </c>
      <c r="F1780" s="78">
        <v>0</v>
      </c>
      <c r="G1780" s="78">
        <v>0</v>
      </c>
      <c r="H1780" s="78">
        <v>0</v>
      </c>
      <c r="I1780" s="78">
        <v>0</v>
      </c>
    </row>
    <row r="1781" spans="1:10" s="206" customFormat="1" ht="40.5" customHeight="1">
      <c r="A1781" s="263" t="s">
        <v>695</v>
      </c>
      <c r="B1781" s="112" t="s">
        <v>29</v>
      </c>
      <c r="C1781" s="78">
        <f t="shared" si="368"/>
        <v>157</v>
      </c>
      <c r="D1781" s="78">
        <v>157</v>
      </c>
      <c r="E1781" s="78">
        <v>0</v>
      </c>
      <c r="F1781" s="78">
        <v>0</v>
      </c>
      <c r="G1781" s="78">
        <v>0</v>
      </c>
      <c r="H1781" s="78">
        <v>0</v>
      </c>
      <c r="I1781" s="78">
        <v>0</v>
      </c>
    </row>
    <row r="1782" spans="1:10" s="102" customFormat="1" ht="12.95">
      <c r="A1782" s="113"/>
      <c r="B1782" s="114" t="s">
        <v>30</v>
      </c>
      <c r="C1782" s="78">
        <f t="shared" si="368"/>
        <v>157</v>
      </c>
      <c r="D1782" s="78">
        <v>157</v>
      </c>
      <c r="E1782" s="78">
        <v>0</v>
      </c>
      <c r="F1782" s="78">
        <v>0</v>
      </c>
      <c r="G1782" s="78">
        <v>0</v>
      </c>
      <c r="H1782" s="78">
        <v>0</v>
      </c>
      <c r="I1782" s="78">
        <v>0</v>
      </c>
    </row>
    <row r="1783" spans="1:10" s="206" customFormat="1" ht="30.75" customHeight="1">
      <c r="A1783" s="511" t="s">
        <v>696</v>
      </c>
      <c r="B1783" s="112" t="s">
        <v>29</v>
      </c>
      <c r="C1783" s="78">
        <f t="shared" si="368"/>
        <v>100</v>
      </c>
      <c r="D1783" s="78">
        <v>100</v>
      </c>
      <c r="E1783" s="78">
        <v>0</v>
      </c>
      <c r="F1783" s="78">
        <v>0</v>
      </c>
      <c r="G1783" s="78">
        <v>0</v>
      </c>
      <c r="H1783" s="78">
        <v>0</v>
      </c>
      <c r="I1783" s="78">
        <v>0</v>
      </c>
    </row>
    <row r="1784" spans="1:10" s="102" customFormat="1" ht="12.95">
      <c r="A1784" s="113"/>
      <c r="B1784" s="114" t="s">
        <v>30</v>
      </c>
      <c r="C1784" s="78">
        <f t="shared" si="368"/>
        <v>100</v>
      </c>
      <c r="D1784" s="78">
        <v>100</v>
      </c>
      <c r="E1784" s="78">
        <v>0</v>
      </c>
      <c r="F1784" s="78">
        <v>0</v>
      </c>
      <c r="G1784" s="78">
        <v>0</v>
      </c>
      <c r="H1784" s="78">
        <v>0</v>
      </c>
      <c r="I1784" s="78">
        <v>0</v>
      </c>
    </row>
    <row r="1785" spans="1:10" s="206" customFormat="1" ht="26.25" customHeight="1">
      <c r="A1785" s="66" t="s">
        <v>697</v>
      </c>
      <c r="B1785" s="112" t="s">
        <v>29</v>
      </c>
      <c r="C1785" s="78">
        <f t="shared" si="368"/>
        <v>113.8</v>
      </c>
      <c r="D1785" s="78">
        <v>113.8</v>
      </c>
      <c r="E1785" s="78">
        <v>0</v>
      </c>
      <c r="F1785" s="78">
        <v>0</v>
      </c>
      <c r="G1785" s="78">
        <v>0</v>
      </c>
      <c r="H1785" s="78">
        <v>0</v>
      </c>
      <c r="I1785" s="78">
        <v>0</v>
      </c>
    </row>
    <row r="1786" spans="1:10" s="102" customFormat="1" ht="12.95">
      <c r="A1786" s="113"/>
      <c r="B1786" s="114" t="s">
        <v>30</v>
      </c>
      <c r="C1786" s="78">
        <f t="shared" si="368"/>
        <v>113.8</v>
      </c>
      <c r="D1786" s="78">
        <v>113.8</v>
      </c>
      <c r="E1786" s="78">
        <v>0</v>
      </c>
      <c r="F1786" s="78">
        <v>0</v>
      </c>
      <c r="G1786" s="78">
        <v>0</v>
      </c>
      <c r="H1786" s="78">
        <v>0</v>
      </c>
      <c r="I1786" s="78">
        <v>0</v>
      </c>
    </row>
    <row r="1787" spans="1:10" s="396" customFormat="1" ht="27.75" customHeight="1">
      <c r="A1787" s="511" t="s">
        <v>698</v>
      </c>
      <c r="B1787" s="476" t="s">
        <v>29</v>
      </c>
      <c r="C1787" s="477">
        <f t="shared" si="368"/>
        <v>41.34</v>
      </c>
      <c r="D1787" s="477">
        <v>41.34</v>
      </c>
      <c r="E1787" s="477">
        <v>0</v>
      </c>
      <c r="F1787" s="477">
        <v>0</v>
      </c>
      <c r="G1787" s="477">
        <v>0</v>
      </c>
      <c r="H1787" s="477">
        <v>0</v>
      </c>
      <c r="I1787" s="477">
        <v>0</v>
      </c>
    </row>
    <row r="1788" spans="1:10" s="102" customFormat="1" ht="12.95">
      <c r="A1788" s="113"/>
      <c r="B1788" s="114" t="s">
        <v>30</v>
      </c>
      <c r="C1788" s="78">
        <f t="shared" si="368"/>
        <v>41.34</v>
      </c>
      <c r="D1788" s="78">
        <v>41.34</v>
      </c>
      <c r="E1788" s="78">
        <v>0</v>
      </c>
      <c r="F1788" s="78">
        <v>0</v>
      </c>
      <c r="G1788" s="78">
        <v>0</v>
      </c>
      <c r="H1788" s="78">
        <v>0</v>
      </c>
      <c r="I1788" s="78">
        <v>0</v>
      </c>
    </row>
    <row r="1789" spans="1:10" s="126" customFormat="1">
      <c r="A1789" s="141" t="s">
        <v>500</v>
      </c>
      <c r="B1789" s="142" t="s">
        <v>29</v>
      </c>
      <c r="C1789" s="125">
        <f t="shared" si="368"/>
        <v>5237.6499999999996</v>
      </c>
      <c r="D1789" s="125">
        <f>D1791+D1793+D1795+D1797+D1799+D1801+D1803</f>
        <v>924.94999999999993</v>
      </c>
      <c r="E1789" s="125">
        <f t="shared" ref="E1789:I1790" si="374">E1791+E1793+E1795+E1797+E1799+E1801+E1803</f>
        <v>241</v>
      </c>
      <c r="F1789" s="125">
        <f t="shared" si="374"/>
        <v>0</v>
      </c>
      <c r="G1789" s="125">
        <f t="shared" si="374"/>
        <v>0</v>
      </c>
      <c r="H1789" s="125">
        <f t="shared" si="374"/>
        <v>0</v>
      </c>
      <c r="I1789" s="125">
        <f t="shared" si="374"/>
        <v>4071.7</v>
      </c>
    </row>
    <row r="1790" spans="1:10" s="126" customFormat="1">
      <c r="A1790" s="143"/>
      <c r="B1790" s="127" t="s">
        <v>30</v>
      </c>
      <c r="C1790" s="125">
        <f t="shared" si="368"/>
        <v>5237.6499999999996</v>
      </c>
      <c r="D1790" s="125">
        <f>D1792+D1794+D1796+D1798+D1800+D1802+D1804</f>
        <v>924.94999999999993</v>
      </c>
      <c r="E1790" s="125">
        <f t="shared" si="374"/>
        <v>241</v>
      </c>
      <c r="F1790" s="125">
        <f t="shared" si="374"/>
        <v>0</v>
      </c>
      <c r="G1790" s="125">
        <f t="shared" si="374"/>
        <v>0</v>
      </c>
      <c r="H1790" s="125">
        <f t="shared" si="374"/>
        <v>0</v>
      </c>
      <c r="I1790" s="125">
        <f t="shared" si="374"/>
        <v>4071.7</v>
      </c>
    </row>
    <row r="1791" spans="1:10" s="239" customFormat="1" ht="24.95">
      <c r="A1791" s="280" t="s">
        <v>699</v>
      </c>
      <c r="B1791" s="112" t="s">
        <v>29</v>
      </c>
      <c r="C1791" s="78">
        <f t="shared" si="368"/>
        <v>140</v>
      </c>
      <c r="D1791" s="78">
        <f>200-60</f>
        <v>140</v>
      </c>
      <c r="E1791" s="78">
        <v>0</v>
      </c>
      <c r="F1791" s="78">
        <v>0</v>
      </c>
      <c r="G1791" s="78">
        <v>0</v>
      </c>
      <c r="H1791" s="78">
        <v>0</v>
      </c>
      <c r="I1791" s="78">
        <v>0</v>
      </c>
    </row>
    <row r="1792" spans="1:10" s="239" customFormat="1" ht="12.95">
      <c r="A1792" s="113"/>
      <c r="B1792" s="114" t="s">
        <v>30</v>
      </c>
      <c r="C1792" s="78">
        <f t="shared" si="368"/>
        <v>140</v>
      </c>
      <c r="D1792" s="78">
        <f>200-60</f>
        <v>140</v>
      </c>
      <c r="E1792" s="78">
        <v>0</v>
      </c>
      <c r="F1792" s="78">
        <v>0</v>
      </c>
      <c r="G1792" s="78">
        <v>0</v>
      </c>
      <c r="H1792" s="78">
        <v>0</v>
      </c>
      <c r="I1792" s="78">
        <v>0</v>
      </c>
      <c r="J1792" s="239" t="s">
        <v>700</v>
      </c>
    </row>
    <row r="1793" spans="1:15" s="102" customFormat="1" ht="49.7">
      <c r="A1793" s="333" t="s">
        <v>701</v>
      </c>
      <c r="B1793" s="112" t="s">
        <v>29</v>
      </c>
      <c r="C1793" s="78">
        <f t="shared" si="368"/>
        <v>151</v>
      </c>
      <c r="D1793" s="78">
        <v>151</v>
      </c>
      <c r="E1793" s="78">
        <v>0</v>
      </c>
      <c r="F1793" s="78">
        <v>0</v>
      </c>
      <c r="G1793" s="78">
        <v>0</v>
      </c>
      <c r="H1793" s="78">
        <v>0</v>
      </c>
      <c r="I1793" s="78">
        <v>0</v>
      </c>
    </row>
    <row r="1794" spans="1:15" s="102" customFormat="1" ht="12.95">
      <c r="A1794" s="43"/>
      <c r="B1794" s="114" t="s">
        <v>30</v>
      </c>
      <c r="C1794" s="78">
        <f t="shared" si="368"/>
        <v>151</v>
      </c>
      <c r="D1794" s="78">
        <v>151</v>
      </c>
      <c r="E1794" s="78">
        <v>0</v>
      </c>
      <c r="F1794" s="78">
        <v>0</v>
      </c>
      <c r="G1794" s="78">
        <v>0</v>
      </c>
      <c r="H1794" s="78">
        <v>0</v>
      </c>
      <c r="I1794" s="78">
        <v>0</v>
      </c>
    </row>
    <row r="1795" spans="1:15" s="249" customFormat="1" ht="49.7">
      <c r="A1795" s="349" t="s">
        <v>702</v>
      </c>
      <c r="B1795" s="302" t="s">
        <v>29</v>
      </c>
      <c r="C1795" s="203">
        <f t="shared" si="368"/>
        <v>195.25</v>
      </c>
      <c r="D1795" s="203">
        <f>65.54+129.71</f>
        <v>195.25</v>
      </c>
      <c r="E1795" s="203">
        <v>0</v>
      </c>
      <c r="F1795" s="203">
        <v>0</v>
      </c>
      <c r="G1795" s="203">
        <v>0</v>
      </c>
      <c r="H1795" s="203">
        <v>0</v>
      </c>
      <c r="I1795" s="203">
        <v>0</v>
      </c>
    </row>
    <row r="1796" spans="1:15" s="102" customFormat="1" ht="12.95">
      <c r="A1796" s="329"/>
      <c r="B1796" s="244" t="s">
        <v>30</v>
      </c>
      <c r="C1796" s="84">
        <f t="shared" si="368"/>
        <v>195.25</v>
      </c>
      <c r="D1796" s="84">
        <f>65.54+129.71</f>
        <v>195.25</v>
      </c>
      <c r="E1796" s="84">
        <v>0</v>
      </c>
      <c r="F1796" s="84">
        <v>0</v>
      </c>
      <c r="G1796" s="84">
        <v>0</v>
      </c>
      <c r="H1796" s="84">
        <v>0</v>
      </c>
      <c r="I1796" s="84">
        <v>0</v>
      </c>
    </row>
    <row r="1797" spans="1:15" s="253" customFormat="1" ht="14.1">
      <c r="A1797" s="299" t="s">
        <v>703</v>
      </c>
      <c r="B1797" s="302" t="s">
        <v>29</v>
      </c>
      <c r="C1797" s="203">
        <f t="shared" si="368"/>
        <v>54</v>
      </c>
      <c r="D1797" s="203">
        <v>54</v>
      </c>
      <c r="E1797" s="203">
        <v>0</v>
      </c>
      <c r="F1797" s="203">
        <v>0</v>
      </c>
      <c r="G1797" s="203">
        <v>0</v>
      </c>
      <c r="H1797" s="203">
        <v>0</v>
      </c>
      <c r="I1797" s="203">
        <v>0</v>
      </c>
    </row>
    <row r="1798" spans="1:15" s="102" customFormat="1" ht="12.95">
      <c r="A1798" s="43"/>
      <c r="B1798" s="114" t="s">
        <v>30</v>
      </c>
      <c r="C1798" s="78">
        <f t="shared" si="368"/>
        <v>54</v>
      </c>
      <c r="D1798" s="78">
        <v>54</v>
      </c>
      <c r="E1798" s="78">
        <v>0</v>
      </c>
      <c r="F1798" s="78">
        <v>0</v>
      </c>
      <c r="G1798" s="78">
        <v>0</v>
      </c>
      <c r="H1798" s="78">
        <v>0</v>
      </c>
      <c r="I1798" s="78">
        <v>0</v>
      </c>
    </row>
    <row r="1799" spans="1:15" s="253" customFormat="1" ht="24.95">
      <c r="A1799" s="339" t="s">
        <v>704</v>
      </c>
      <c r="B1799" s="302" t="s">
        <v>29</v>
      </c>
      <c r="C1799" s="203">
        <f t="shared" si="368"/>
        <v>40</v>
      </c>
      <c r="D1799" s="203">
        <v>40</v>
      </c>
      <c r="E1799" s="203">
        <v>0</v>
      </c>
      <c r="F1799" s="203">
        <v>0</v>
      </c>
      <c r="G1799" s="203">
        <v>0</v>
      </c>
      <c r="H1799" s="203">
        <v>0</v>
      </c>
      <c r="I1799" s="203">
        <v>0</v>
      </c>
      <c r="J1799" s="661"/>
      <c r="K1799" s="616"/>
      <c r="L1799" s="616"/>
      <c r="M1799" s="616"/>
      <c r="N1799" s="616"/>
      <c r="O1799" s="616"/>
    </row>
    <row r="1800" spans="1:15" s="102" customFormat="1" ht="12.95">
      <c r="A1800" s="43"/>
      <c r="B1800" s="114" t="s">
        <v>30</v>
      </c>
      <c r="C1800" s="78">
        <f t="shared" si="368"/>
        <v>40</v>
      </c>
      <c r="D1800" s="78">
        <v>40</v>
      </c>
      <c r="E1800" s="78">
        <v>0</v>
      </c>
      <c r="F1800" s="78">
        <v>0</v>
      </c>
      <c r="G1800" s="78">
        <v>0</v>
      </c>
      <c r="H1800" s="78">
        <v>0</v>
      </c>
      <c r="I1800" s="78">
        <v>0</v>
      </c>
      <c r="J1800" s="616"/>
      <c r="K1800" s="616"/>
      <c r="L1800" s="616"/>
      <c r="M1800" s="616"/>
      <c r="N1800" s="616"/>
      <c r="O1800" s="616"/>
    </row>
    <row r="1801" spans="1:15" s="253" customFormat="1" ht="24.95">
      <c r="A1801" s="339" t="s">
        <v>705</v>
      </c>
      <c r="B1801" s="302" t="s">
        <v>29</v>
      </c>
      <c r="C1801" s="203">
        <f t="shared" si="368"/>
        <v>4393</v>
      </c>
      <c r="D1801" s="78">
        <v>321.3</v>
      </c>
      <c r="E1801" s="203">
        <v>0</v>
      </c>
      <c r="F1801" s="203">
        <v>0</v>
      </c>
      <c r="G1801" s="203">
        <v>0</v>
      </c>
      <c r="H1801" s="203">
        <v>0</v>
      </c>
      <c r="I1801" s="78">
        <f>4393-321.3</f>
        <v>4071.7</v>
      </c>
    </row>
    <row r="1802" spans="1:15" s="102" customFormat="1" ht="12.95">
      <c r="A1802" s="43"/>
      <c r="B1802" s="114" t="s">
        <v>30</v>
      </c>
      <c r="C1802" s="78">
        <f t="shared" si="368"/>
        <v>4393</v>
      </c>
      <c r="D1802" s="78">
        <v>321.3</v>
      </c>
      <c r="E1802" s="203">
        <v>0</v>
      </c>
      <c r="F1802" s="78">
        <v>0</v>
      </c>
      <c r="G1802" s="78">
        <v>0</v>
      </c>
      <c r="H1802" s="78">
        <v>0</v>
      </c>
      <c r="I1802" s="78">
        <f>4393-321.3</f>
        <v>4071.7</v>
      </c>
    </row>
    <row r="1803" spans="1:15" s="253" customFormat="1" ht="52.5" customHeight="1">
      <c r="A1803" s="349" t="s">
        <v>706</v>
      </c>
      <c r="B1803" s="302" t="s">
        <v>29</v>
      </c>
      <c r="C1803" s="203">
        <f t="shared" si="368"/>
        <v>264.39999999999998</v>
      </c>
      <c r="D1803" s="203">
        <v>23.4</v>
      </c>
      <c r="E1803" s="203">
        <v>241</v>
      </c>
      <c r="F1803" s="203">
        <v>0</v>
      </c>
      <c r="G1803" s="203">
        <v>0</v>
      </c>
      <c r="H1803" s="203">
        <v>0</v>
      </c>
      <c r="I1803" s="203">
        <v>0</v>
      </c>
    </row>
    <row r="1804" spans="1:15" s="102" customFormat="1" ht="12.95">
      <c r="A1804" s="329"/>
      <c r="B1804" s="244" t="s">
        <v>30</v>
      </c>
      <c r="C1804" s="84">
        <f t="shared" si="368"/>
        <v>264.39999999999998</v>
      </c>
      <c r="D1804" s="84">
        <v>23.4</v>
      </c>
      <c r="E1804" s="84">
        <v>241</v>
      </c>
      <c r="F1804" s="84">
        <v>0</v>
      </c>
      <c r="G1804" s="84">
        <v>0</v>
      </c>
      <c r="H1804" s="84">
        <v>0</v>
      </c>
      <c r="I1804" s="84">
        <v>0</v>
      </c>
    </row>
    <row r="1805" spans="1:15" s="126" customFormat="1" ht="14.1">
      <c r="A1805" s="400" t="s">
        <v>707</v>
      </c>
      <c r="B1805" s="142" t="s">
        <v>29</v>
      </c>
      <c r="C1805" s="125">
        <f t="shared" si="368"/>
        <v>169.15</v>
      </c>
      <c r="D1805" s="125">
        <f>D1807+D1809</f>
        <v>169.15</v>
      </c>
      <c r="E1805" s="125">
        <f t="shared" ref="E1805:I1806" si="375">E1807+E1809</f>
        <v>0</v>
      </c>
      <c r="F1805" s="125">
        <f t="shared" si="375"/>
        <v>0</v>
      </c>
      <c r="G1805" s="125">
        <f t="shared" si="375"/>
        <v>0</v>
      </c>
      <c r="H1805" s="125">
        <f t="shared" si="375"/>
        <v>0</v>
      </c>
      <c r="I1805" s="125">
        <f t="shared" si="375"/>
        <v>0</v>
      </c>
    </row>
    <row r="1806" spans="1:15" s="126" customFormat="1">
      <c r="A1806" s="143"/>
      <c r="B1806" s="127" t="s">
        <v>30</v>
      </c>
      <c r="C1806" s="125">
        <f t="shared" si="368"/>
        <v>169.15</v>
      </c>
      <c r="D1806" s="125">
        <f>D1808+D1810</f>
        <v>169.15</v>
      </c>
      <c r="E1806" s="125">
        <f t="shared" si="375"/>
        <v>0</v>
      </c>
      <c r="F1806" s="125">
        <f t="shared" si="375"/>
        <v>0</v>
      </c>
      <c r="G1806" s="125">
        <f t="shared" si="375"/>
        <v>0</v>
      </c>
      <c r="H1806" s="125">
        <f t="shared" si="375"/>
        <v>0</v>
      </c>
      <c r="I1806" s="125">
        <f t="shared" si="375"/>
        <v>0</v>
      </c>
    </row>
    <row r="1807" spans="1:15" s="206" customFormat="1">
      <c r="A1807" s="257" t="s">
        <v>708</v>
      </c>
      <c r="B1807" s="112" t="s">
        <v>29</v>
      </c>
      <c r="C1807" s="78">
        <f t="shared" si="368"/>
        <v>30</v>
      </c>
      <c r="D1807" s="78">
        <v>30</v>
      </c>
      <c r="E1807" s="78">
        <v>0</v>
      </c>
      <c r="F1807" s="78">
        <v>0</v>
      </c>
      <c r="G1807" s="78">
        <v>0</v>
      </c>
      <c r="H1807" s="78">
        <v>0</v>
      </c>
      <c r="I1807" s="78">
        <v>0</v>
      </c>
      <c r="J1807" s="212"/>
    </row>
    <row r="1808" spans="1:15" s="206" customFormat="1" ht="12.95">
      <c r="A1808" s="113"/>
      <c r="B1808" s="114" t="s">
        <v>30</v>
      </c>
      <c r="C1808" s="78">
        <f t="shared" si="368"/>
        <v>30</v>
      </c>
      <c r="D1808" s="78">
        <v>30</v>
      </c>
      <c r="E1808" s="78">
        <v>0</v>
      </c>
      <c r="F1808" s="78">
        <v>0</v>
      </c>
      <c r="G1808" s="78">
        <v>0</v>
      </c>
      <c r="H1808" s="78">
        <v>0</v>
      </c>
      <c r="I1808" s="78">
        <v>0</v>
      </c>
      <c r="J1808" s="212"/>
    </row>
    <row r="1809" spans="1:10" s="206" customFormat="1">
      <c r="A1809" s="325" t="s">
        <v>709</v>
      </c>
      <c r="B1809" s="112" t="s">
        <v>29</v>
      </c>
      <c r="C1809" s="78">
        <f t="shared" si="368"/>
        <v>139.15</v>
      </c>
      <c r="D1809" s="78">
        <v>139.15</v>
      </c>
      <c r="E1809" s="78">
        <v>0</v>
      </c>
      <c r="F1809" s="78">
        <v>0</v>
      </c>
      <c r="G1809" s="78">
        <v>0</v>
      </c>
      <c r="H1809" s="78">
        <v>0</v>
      </c>
      <c r="I1809" s="78">
        <v>0</v>
      </c>
      <c r="J1809" s="212"/>
    </row>
    <row r="1810" spans="1:10" s="206" customFormat="1" ht="12.95">
      <c r="A1810" s="113"/>
      <c r="B1810" s="114" t="s">
        <v>30</v>
      </c>
      <c r="C1810" s="78">
        <f t="shared" si="368"/>
        <v>139.15</v>
      </c>
      <c r="D1810" s="78">
        <v>139.15</v>
      </c>
      <c r="E1810" s="78">
        <v>0</v>
      </c>
      <c r="F1810" s="78">
        <v>0</v>
      </c>
      <c r="G1810" s="78">
        <v>0</v>
      </c>
      <c r="H1810" s="78">
        <v>0</v>
      </c>
      <c r="I1810" s="78">
        <v>0</v>
      </c>
      <c r="J1810" s="212"/>
    </row>
    <row r="1811" spans="1:10" s="102" customFormat="1">
      <c r="A1811" s="58" t="s">
        <v>710</v>
      </c>
      <c r="B1811" s="112" t="s">
        <v>29</v>
      </c>
      <c r="C1811" s="78">
        <f t="shared" si="368"/>
        <v>158</v>
      </c>
      <c r="D1811" s="78">
        <f>D1813</f>
        <v>158</v>
      </c>
      <c r="E1811" s="78">
        <f t="shared" ref="E1811:I1812" si="376">E1813</f>
        <v>0</v>
      </c>
      <c r="F1811" s="78">
        <f t="shared" si="376"/>
        <v>0</v>
      </c>
      <c r="G1811" s="78">
        <f t="shared" si="376"/>
        <v>0</v>
      </c>
      <c r="H1811" s="78">
        <f t="shared" si="376"/>
        <v>0</v>
      </c>
      <c r="I1811" s="78">
        <f t="shared" si="376"/>
        <v>0</v>
      </c>
    </row>
    <row r="1812" spans="1:10" s="102" customFormat="1" ht="12.95">
      <c r="A1812" s="113"/>
      <c r="B1812" s="114" t="s">
        <v>30</v>
      </c>
      <c r="C1812" s="78">
        <f t="shared" si="368"/>
        <v>158</v>
      </c>
      <c r="D1812" s="78">
        <f>D1814</f>
        <v>158</v>
      </c>
      <c r="E1812" s="78">
        <f t="shared" si="376"/>
        <v>0</v>
      </c>
      <c r="F1812" s="78">
        <f t="shared" si="376"/>
        <v>0</v>
      </c>
      <c r="G1812" s="78">
        <f t="shared" si="376"/>
        <v>0</v>
      </c>
      <c r="H1812" s="78">
        <f t="shared" si="376"/>
        <v>0</v>
      </c>
      <c r="I1812" s="78">
        <f t="shared" si="376"/>
        <v>0</v>
      </c>
    </row>
    <row r="1813" spans="1:10" s="206" customFormat="1" ht="37.35">
      <c r="A1813" s="263" t="s">
        <v>711</v>
      </c>
      <c r="B1813" s="112" t="s">
        <v>29</v>
      </c>
      <c r="C1813" s="78">
        <f t="shared" si="368"/>
        <v>158</v>
      </c>
      <c r="D1813" s="78">
        <v>158</v>
      </c>
      <c r="E1813" s="78">
        <v>0</v>
      </c>
      <c r="F1813" s="78">
        <v>0</v>
      </c>
      <c r="G1813" s="78">
        <v>0</v>
      </c>
      <c r="H1813" s="78">
        <v>0</v>
      </c>
      <c r="I1813" s="78">
        <v>0</v>
      </c>
    </row>
    <row r="1814" spans="1:10" s="102" customFormat="1" ht="12.95">
      <c r="A1814" s="113"/>
      <c r="B1814" s="114" t="s">
        <v>30</v>
      </c>
      <c r="C1814" s="78">
        <f t="shared" si="368"/>
        <v>158</v>
      </c>
      <c r="D1814" s="78">
        <v>158</v>
      </c>
      <c r="E1814" s="78">
        <v>0</v>
      </c>
      <c r="F1814" s="78">
        <v>0</v>
      </c>
      <c r="G1814" s="78">
        <v>0</v>
      </c>
      <c r="H1814" s="78">
        <v>0</v>
      </c>
      <c r="I1814" s="78">
        <v>0</v>
      </c>
    </row>
    <row r="1815" spans="1:10" s="102" customFormat="1" ht="14.1">
      <c r="A1815" s="295" t="s">
        <v>712</v>
      </c>
      <c r="B1815" s="112" t="s">
        <v>29</v>
      </c>
      <c r="C1815" s="78">
        <f t="shared" si="368"/>
        <v>182</v>
      </c>
      <c r="D1815" s="78">
        <f>D1817+D1819+D1821</f>
        <v>139.26</v>
      </c>
      <c r="E1815" s="78">
        <f t="shared" ref="E1815:I1816" si="377">E1817+E1819+E1821</f>
        <v>0</v>
      </c>
      <c r="F1815" s="78">
        <f t="shared" si="377"/>
        <v>0</v>
      </c>
      <c r="G1815" s="78">
        <f t="shared" si="377"/>
        <v>0</v>
      </c>
      <c r="H1815" s="78">
        <f t="shared" si="377"/>
        <v>0</v>
      </c>
      <c r="I1815" s="78">
        <f t="shared" si="377"/>
        <v>42.74</v>
      </c>
    </row>
    <row r="1816" spans="1:10" s="102" customFormat="1" ht="12.95">
      <c r="A1816" s="113"/>
      <c r="B1816" s="114" t="s">
        <v>30</v>
      </c>
      <c r="C1816" s="78">
        <f t="shared" si="368"/>
        <v>182</v>
      </c>
      <c r="D1816" s="78">
        <f>D1818+D1820+D1822</f>
        <v>139.26</v>
      </c>
      <c r="E1816" s="78">
        <f t="shared" si="377"/>
        <v>0</v>
      </c>
      <c r="F1816" s="78">
        <f t="shared" si="377"/>
        <v>0</v>
      </c>
      <c r="G1816" s="78">
        <f t="shared" si="377"/>
        <v>0</v>
      </c>
      <c r="H1816" s="78">
        <f t="shared" si="377"/>
        <v>0</v>
      </c>
      <c r="I1816" s="78">
        <f t="shared" si="377"/>
        <v>42.74</v>
      </c>
    </row>
    <row r="1817" spans="1:10" s="213" customFormat="1" ht="24.95">
      <c r="A1817" s="536" t="s">
        <v>713</v>
      </c>
      <c r="B1817" s="312" t="s">
        <v>29</v>
      </c>
      <c r="C1817" s="240">
        <f t="shared" si="368"/>
        <v>62</v>
      </c>
      <c r="D1817" s="240">
        <v>62</v>
      </c>
      <c r="E1817" s="240">
        <v>0</v>
      </c>
      <c r="F1817" s="240">
        <v>0</v>
      </c>
      <c r="G1817" s="240">
        <v>0</v>
      </c>
      <c r="H1817" s="240">
        <v>0</v>
      </c>
      <c r="I1817" s="240">
        <v>0</v>
      </c>
    </row>
    <row r="1818" spans="1:10" s="213" customFormat="1" ht="12.95">
      <c r="A1818" s="297"/>
      <c r="B1818" s="373" t="s">
        <v>30</v>
      </c>
      <c r="C1818" s="240">
        <f t="shared" si="368"/>
        <v>62</v>
      </c>
      <c r="D1818" s="240">
        <v>62</v>
      </c>
      <c r="E1818" s="240">
        <v>0</v>
      </c>
      <c r="F1818" s="240">
        <v>0</v>
      </c>
      <c r="G1818" s="240">
        <v>0</v>
      </c>
      <c r="H1818" s="240">
        <v>0</v>
      </c>
      <c r="I1818" s="240">
        <v>0</v>
      </c>
    </row>
    <row r="1819" spans="1:10" s="212" customFormat="1">
      <c r="A1819" s="537" t="s">
        <v>714</v>
      </c>
      <c r="B1819" s="312" t="s">
        <v>29</v>
      </c>
      <c r="C1819" s="240">
        <f t="shared" si="368"/>
        <v>50</v>
      </c>
      <c r="D1819" s="240">
        <v>7.26</v>
      </c>
      <c r="E1819" s="240">
        <v>0</v>
      </c>
      <c r="F1819" s="240">
        <v>0</v>
      </c>
      <c r="G1819" s="240">
        <v>0</v>
      </c>
      <c r="H1819" s="240">
        <v>0</v>
      </c>
      <c r="I1819" s="240">
        <f>50-7.26</f>
        <v>42.74</v>
      </c>
    </row>
    <row r="1820" spans="1:10" s="213" customFormat="1" ht="12.95">
      <c r="A1820" s="297"/>
      <c r="B1820" s="373" t="s">
        <v>30</v>
      </c>
      <c r="C1820" s="240">
        <f t="shared" si="368"/>
        <v>50</v>
      </c>
      <c r="D1820" s="240">
        <v>7.26</v>
      </c>
      <c r="E1820" s="240">
        <v>0</v>
      </c>
      <c r="F1820" s="240">
        <v>0</v>
      </c>
      <c r="G1820" s="240">
        <v>0</v>
      </c>
      <c r="H1820" s="240">
        <v>0</v>
      </c>
      <c r="I1820" s="240">
        <f>50-7.26</f>
        <v>42.74</v>
      </c>
    </row>
    <row r="1821" spans="1:10" s="212" customFormat="1">
      <c r="A1821" s="537" t="s">
        <v>715</v>
      </c>
      <c r="B1821" s="312" t="s">
        <v>29</v>
      </c>
      <c r="C1821" s="240">
        <f t="shared" ref="C1821:C1822" si="378">D1821+E1821+F1821+G1821+H1821+I1821</f>
        <v>70</v>
      </c>
      <c r="D1821" s="240">
        <v>70</v>
      </c>
      <c r="E1821" s="240">
        <v>0</v>
      </c>
      <c r="F1821" s="240">
        <v>0</v>
      </c>
      <c r="G1821" s="240">
        <v>0</v>
      </c>
      <c r="H1821" s="240">
        <v>0</v>
      </c>
      <c r="I1821" s="240">
        <v>0</v>
      </c>
    </row>
    <row r="1822" spans="1:10" s="102" customFormat="1" ht="12.95">
      <c r="A1822" s="113"/>
      <c r="B1822" s="114" t="s">
        <v>30</v>
      </c>
      <c r="C1822" s="78">
        <f t="shared" si="378"/>
        <v>70</v>
      </c>
      <c r="D1822" s="78">
        <v>70</v>
      </c>
      <c r="E1822" s="78">
        <v>0</v>
      </c>
      <c r="F1822" s="78">
        <v>0</v>
      </c>
      <c r="G1822" s="78">
        <v>0</v>
      </c>
      <c r="H1822" s="78">
        <v>0</v>
      </c>
      <c r="I1822" s="78">
        <v>0</v>
      </c>
    </row>
    <row r="1823" spans="1:10">
      <c r="A1823" s="662" t="s">
        <v>716</v>
      </c>
      <c r="B1823" s="644"/>
      <c r="C1823" s="645"/>
      <c r="D1823" s="645"/>
      <c r="E1823" s="645"/>
      <c r="F1823" s="645"/>
      <c r="G1823" s="645"/>
      <c r="H1823" s="645"/>
      <c r="I1823" s="646"/>
    </row>
    <row r="1824" spans="1:10">
      <c r="A1824" s="31" t="s">
        <v>54</v>
      </c>
      <c r="B1824" s="97" t="s">
        <v>29</v>
      </c>
      <c r="C1824" s="130">
        <f t="shared" ref="C1824:C1939" si="379">D1824+E1824+F1824+G1824+H1824+I1824</f>
        <v>1139.8499999999999</v>
      </c>
      <c r="D1824" s="130">
        <f t="shared" ref="D1824:I1825" si="380">D1826+D1928</f>
        <v>785.4799999999999</v>
      </c>
      <c r="E1824" s="130">
        <f t="shared" si="380"/>
        <v>166</v>
      </c>
      <c r="F1824" s="130">
        <f t="shared" si="380"/>
        <v>0</v>
      </c>
      <c r="G1824" s="130">
        <f t="shared" si="380"/>
        <v>0</v>
      </c>
      <c r="H1824" s="130">
        <f t="shared" si="380"/>
        <v>0</v>
      </c>
      <c r="I1824" s="130">
        <f t="shared" si="380"/>
        <v>188.37</v>
      </c>
    </row>
    <row r="1825" spans="1:9">
      <c r="A1825" s="21" t="s">
        <v>87</v>
      </c>
      <c r="B1825" s="132" t="s">
        <v>30</v>
      </c>
      <c r="C1825" s="130">
        <f t="shared" si="379"/>
        <v>1139.8499999999999</v>
      </c>
      <c r="D1825" s="130">
        <f t="shared" si="380"/>
        <v>785.4799999999999</v>
      </c>
      <c r="E1825" s="130">
        <f t="shared" si="380"/>
        <v>166</v>
      </c>
      <c r="F1825" s="130">
        <f t="shared" si="380"/>
        <v>0</v>
      </c>
      <c r="G1825" s="130">
        <f t="shared" si="380"/>
        <v>0</v>
      </c>
      <c r="H1825" s="130">
        <f t="shared" si="380"/>
        <v>0</v>
      </c>
      <c r="I1825" s="130">
        <f t="shared" si="380"/>
        <v>188.37</v>
      </c>
    </row>
    <row r="1826" spans="1:9">
      <c r="A1826" s="47" t="s">
        <v>60</v>
      </c>
      <c r="B1826" s="24" t="s">
        <v>29</v>
      </c>
      <c r="C1826" s="52">
        <f t="shared" si="379"/>
        <v>732.15</v>
      </c>
      <c r="D1826" s="52">
        <f t="shared" ref="D1826:I1831" si="381">D1828</f>
        <v>430.67999999999995</v>
      </c>
      <c r="E1826" s="52">
        <f t="shared" si="381"/>
        <v>166</v>
      </c>
      <c r="F1826" s="52">
        <f t="shared" si="381"/>
        <v>0</v>
      </c>
      <c r="G1826" s="52">
        <f t="shared" si="381"/>
        <v>0</v>
      </c>
      <c r="H1826" s="52">
        <f t="shared" si="381"/>
        <v>0</v>
      </c>
      <c r="I1826" s="52">
        <f t="shared" si="381"/>
        <v>135.47</v>
      </c>
    </row>
    <row r="1827" spans="1:9">
      <c r="A1827" s="12" t="s">
        <v>48</v>
      </c>
      <c r="B1827" s="26" t="s">
        <v>30</v>
      </c>
      <c r="C1827" s="52">
        <f t="shared" si="379"/>
        <v>732.15</v>
      </c>
      <c r="D1827" s="52">
        <f t="shared" si="381"/>
        <v>430.67999999999995</v>
      </c>
      <c r="E1827" s="52">
        <f t="shared" si="381"/>
        <v>166</v>
      </c>
      <c r="F1827" s="52">
        <f t="shared" si="381"/>
        <v>0</v>
      </c>
      <c r="G1827" s="52">
        <f t="shared" si="381"/>
        <v>0</v>
      </c>
      <c r="H1827" s="52">
        <f t="shared" si="381"/>
        <v>0</v>
      </c>
      <c r="I1827" s="52">
        <f t="shared" si="381"/>
        <v>135.47</v>
      </c>
    </row>
    <row r="1828" spans="1:9" ht="12.95">
      <c r="A1828" s="19" t="s">
        <v>37</v>
      </c>
      <c r="B1828" s="3" t="s">
        <v>29</v>
      </c>
      <c r="C1828" s="52">
        <f t="shared" si="379"/>
        <v>732.15</v>
      </c>
      <c r="D1828" s="52">
        <f t="shared" si="381"/>
        <v>430.67999999999995</v>
      </c>
      <c r="E1828" s="52">
        <f t="shared" si="381"/>
        <v>166</v>
      </c>
      <c r="F1828" s="52">
        <f t="shared" si="381"/>
        <v>0</v>
      </c>
      <c r="G1828" s="52">
        <f t="shared" si="381"/>
        <v>0</v>
      </c>
      <c r="H1828" s="52">
        <f t="shared" si="381"/>
        <v>0</v>
      </c>
      <c r="I1828" s="52">
        <f t="shared" si="381"/>
        <v>135.47</v>
      </c>
    </row>
    <row r="1829" spans="1:9" ht="12.95">
      <c r="A1829" s="16"/>
      <c r="B1829" s="4" t="s">
        <v>30</v>
      </c>
      <c r="C1829" s="52">
        <f t="shared" si="379"/>
        <v>732.15</v>
      </c>
      <c r="D1829" s="52">
        <f t="shared" si="381"/>
        <v>430.67999999999995</v>
      </c>
      <c r="E1829" s="52">
        <f t="shared" si="381"/>
        <v>166</v>
      </c>
      <c r="F1829" s="52">
        <f t="shared" si="381"/>
        <v>0</v>
      </c>
      <c r="G1829" s="52">
        <f t="shared" si="381"/>
        <v>0</v>
      </c>
      <c r="H1829" s="52">
        <f t="shared" si="381"/>
        <v>0</v>
      </c>
      <c r="I1829" s="52">
        <f t="shared" si="381"/>
        <v>135.47</v>
      </c>
    </row>
    <row r="1830" spans="1:9">
      <c r="A1830" s="28" t="s">
        <v>50</v>
      </c>
      <c r="B1830" s="24" t="s">
        <v>29</v>
      </c>
      <c r="C1830" s="52">
        <f t="shared" si="379"/>
        <v>732.15</v>
      </c>
      <c r="D1830" s="52">
        <f>D1832</f>
        <v>430.67999999999995</v>
      </c>
      <c r="E1830" s="52">
        <f t="shared" si="381"/>
        <v>166</v>
      </c>
      <c r="F1830" s="52">
        <f t="shared" si="381"/>
        <v>0</v>
      </c>
      <c r="G1830" s="52">
        <f t="shared" si="381"/>
        <v>0</v>
      </c>
      <c r="H1830" s="52">
        <f t="shared" si="381"/>
        <v>0</v>
      </c>
      <c r="I1830" s="52">
        <f t="shared" si="381"/>
        <v>135.47</v>
      </c>
    </row>
    <row r="1831" spans="1:9">
      <c r="A1831" s="12"/>
      <c r="B1831" s="26" t="s">
        <v>30</v>
      </c>
      <c r="C1831" s="52">
        <f t="shared" si="379"/>
        <v>732.15</v>
      </c>
      <c r="D1831" s="52">
        <f>D1833</f>
        <v>430.67999999999995</v>
      </c>
      <c r="E1831" s="52">
        <f t="shared" si="381"/>
        <v>166</v>
      </c>
      <c r="F1831" s="52">
        <f t="shared" si="381"/>
        <v>0</v>
      </c>
      <c r="G1831" s="52">
        <f t="shared" si="381"/>
        <v>0</v>
      </c>
      <c r="H1831" s="52">
        <f t="shared" si="381"/>
        <v>0</v>
      </c>
      <c r="I1831" s="52">
        <f t="shared" si="381"/>
        <v>135.47</v>
      </c>
    </row>
    <row r="1832" spans="1:9" s="95" customFormat="1">
      <c r="A1832" s="96" t="s">
        <v>42</v>
      </c>
      <c r="B1832" s="129" t="s">
        <v>29</v>
      </c>
      <c r="C1832" s="130">
        <f t="shared" si="379"/>
        <v>732.15</v>
      </c>
      <c r="D1832" s="130">
        <f>D1834+D1862+D1872+D1884+D1888+D1898+D1904+D1908</f>
        <v>430.67999999999995</v>
      </c>
      <c r="E1832" s="130">
        <f t="shared" ref="E1832:I1832" si="382">E1834+E1862+E1872+E1884+E1888+E1898+E1904+E1908</f>
        <v>166</v>
      </c>
      <c r="F1832" s="130">
        <f t="shared" si="382"/>
        <v>0</v>
      </c>
      <c r="G1832" s="130">
        <f t="shared" si="382"/>
        <v>0</v>
      </c>
      <c r="H1832" s="130">
        <f t="shared" si="382"/>
        <v>0</v>
      </c>
      <c r="I1832" s="130">
        <f t="shared" si="382"/>
        <v>135.47</v>
      </c>
    </row>
    <row r="1833" spans="1:9" s="95" customFormat="1">
      <c r="A1833" s="131"/>
      <c r="B1833" s="132" t="s">
        <v>30</v>
      </c>
      <c r="C1833" s="130">
        <f t="shared" si="379"/>
        <v>732.15</v>
      </c>
      <c r="D1833" s="130">
        <f>D1835+D1863+D1873+D1885+D1889+D1899+D1905+D1909</f>
        <v>430.67999999999995</v>
      </c>
      <c r="E1833" s="130">
        <f t="shared" ref="E1833:I1833" si="383">E1835+E1863+E1873+E1885+E1889+E1899+E1905+E1909</f>
        <v>166</v>
      </c>
      <c r="F1833" s="130">
        <f t="shared" si="383"/>
        <v>0</v>
      </c>
      <c r="G1833" s="130">
        <f t="shared" si="383"/>
        <v>0</v>
      </c>
      <c r="H1833" s="130">
        <f t="shared" si="383"/>
        <v>0</v>
      </c>
      <c r="I1833" s="130">
        <f t="shared" si="383"/>
        <v>135.47</v>
      </c>
    </row>
    <row r="1834" spans="1:9" s="148" customFormat="1" ht="24.95">
      <c r="A1834" s="147" t="s">
        <v>550</v>
      </c>
      <c r="B1834" s="124" t="s">
        <v>29</v>
      </c>
      <c r="C1834" s="125">
        <f t="shared" si="379"/>
        <v>205.95999999999998</v>
      </c>
      <c r="D1834" s="125">
        <f>D1836+D1838+D1840+D1842+D1844+D1846+D1848+D1850+D1852+D1854+D1856+D1858+D1860</f>
        <v>172.48999999999998</v>
      </c>
      <c r="E1834" s="125">
        <f t="shared" ref="E1834:I1835" si="384">E1836+E1838+E1840+E1842+E1844+E1846+E1848+E1850+E1852+E1854+E1856+E1858+E1860</f>
        <v>18</v>
      </c>
      <c r="F1834" s="125">
        <f t="shared" si="384"/>
        <v>0</v>
      </c>
      <c r="G1834" s="125">
        <f t="shared" si="384"/>
        <v>0</v>
      </c>
      <c r="H1834" s="125">
        <f t="shared" si="384"/>
        <v>0</v>
      </c>
      <c r="I1834" s="125">
        <f t="shared" si="384"/>
        <v>15.47</v>
      </c>
    </row>
    <row r="1835" spans="1:9" s="148" customFormat="1">
      <c r="A1835" s="134"/>
      <c r="B1835" s="127" t="s">
        <v>30</v>
      </c>
      <c r="C1835" s="125">
        <f t="shared" si="379"/>
        <v>205.95999999999998</v>
      </c>
      <c r="D1835" s="125">
        <f>D1837+D1839+D1841+D1843+D1845+D1847+D1849+D1851+D1853+D1855+D1857+D1859+D1861</f>
        <v>172.48999999999998</v>
      </c>
      <c r="E1835" s="125">
        <f t="shared" si="384"/>
        <v>18</v>
      </c>
      <c r="F1835" s="125">
        <f t="shared" si="384"/>
        <v>0</v>
      </c>
      <c r="G1835" s="125">
        <f t="shared" si="384"/>
        <v>0</v>
      </c>
      <c r="H1835" s="125">
        <f t="shared" si="384"/>
        <v>0</v>
      </c>
      <c r="I1835" s="125">
        <f t="shared" si="384"/>
        <v>15.47</v>
      </c>
    </row>
    <row r="1836" spans="1:9" s="206" customFormat="1" ht="76.5" customHeight="1">
      <c r="A1836" s="333" t="s">
        <v>717</v>
      </c>
      <c r="B1836" s="302" t="s">
        <v>29</v>
      </c>
      <c r="C1836" s="78">
        <f t="shared" si="379"/>
        <v>51.29</v>
      </c>
      <c r="D1836" s="78">
        <v>35.82</v>
      </c>
      <c r="E1836" s="64">
        <v>0</v>
      </c>
      <c r="F1836" s="78">
        <v>0</v>
      </c>
      <c r="G1836" s="78">
        <v>0</v>
      </c>
      <c r="H1836" s="78">
        <v>0</v>
      </c>
      <c r="I1836" s="78">
        <v>15.47</v>
      </c>
    </row>
    <row r="1837" spans="1:9" s="206" customFormat="1" ht="14.1">
      <c r="A1837" s="303"/>
      <c r="B1837" s="304" t="s">
        <v>30</v>
      </c>
      <c r="C1837" s="78">
        <f t="shared" si="379"/>
        <v>51.29</v>
      </c>
      <c r="D1837" s="78">
        <v>35.82</v>
      </c>
      <c r="E1837" s="64">
        <v>0</v>
      </c>
      <c r="F1837" s="78">
        <v>0</v>
      </c>
      <c r="G1837" s="78">
        <v>0</v>
      </c>
      <c r="H1837" s="78">
        <v>0</v>
      </c>
      <c r="I1837" s="78">
        <v>15.47</v>
      </c>
    </row>
    <row r="1838" spans="1:9" s="126" customFormat="1" ht="37.35">
      <c r="A1838" s="236" t="s">
        <v>718</v>
      </c>
      <c r="B1838" s="63" t="s">
        <v>29</v>
      </c>
      <c r="C1838" s="78">
        <f t="shared" si="379"/>
        <v>65.5</v>
      </c>
      <c r="D1838" s="78">
        <v>65.5</v>
      </c>
      <c r="E1838" s="64">
        <v>0</v>
      </c>
      <c r="F1838" s="78">
        <v>0</v>
      </c>
      <c r="G1838" s="78">
        <v>0</v>
      </c>
      <c r="H1838" s="78">
        <v>0</v>
      </c>
      <c r="I1838" s="78">
        <v>0</v>
      </c>
    </row>
    <row r="1839" spans="1:9" s="126" customFormat="1">
      <c r="A1839" s="12"/>
      <c r="B1839" s="62" t="s">
        <v>30</v>
      </c>
      <c r="C1839" s="78">
        <f t="shared" si="379"/>
        <v>65.5</v>
      </c>
      <c r="D1839" s="78">
        <v>65.5</v>
      </c>
      <c r="E1839" s="64">
        <v>0</v>
      </c>
      <c r="F1839" s="78">
        <v>0</v>
      </c>
      <c r="G1839" s="78">
        <v>0</v>
      </c>
      <c r="H1839" s="78">
        <v>0</v>
      </c>
      <c r="I1839" s="78">
        <v>0</v>
      </c>
    </row>
    <row r="1840" spans="1:9" s="404" customFormat="1" ht="47.25" customHeight="1">
      <c r="A1840" s="512" t="s">
        <v>719</v>
      </c>
      <c r="B1840" s="237" t="s">
        <v>29</v>
      </c>
      <c r="C1840" s="240">
        <f t="shared" si="379"/>
        <v>4.5999999999999996</v>
      </c>
      <c r="D1840" s="240">
        <v>4.5999999999999996</v>
      </c>
      <c r="E1840" s="240">
        <v>0</v>
      </c>
      <c r="F1840" s="240">
        <v>0</v>
      </c>
      <c r="G1840" s="240">
        <v>0</v>
      </c>
      <c r="H1840" s="240">
        <v>0</v>
      </c>
      <c r="I1840" s="240">
        <v>0</v>
      </c>
    </row>
    <row r="1841" spans="1:13" s="126" customFormat="1">
      <c r="A1841" s="12"/>
      <c r="B1841" s="62" t="s">
        <v>30</v>
      </c>
      <c r="C1841" s="78">
        <f t="shared" si="379"/>
        <v>4.5999999999999996</v>
      </c>
      <c r="D1841" s="78">
        <v>4.5999999999999996</v>
      </c>
      <c r="E1841" s="64">
        <v>0</v>
      </c>
      <c r="F1841" s="78">
        <v>0</v>
      </c>
      <c r="G1841" s="78">
        <v>0</v>
      </c>
      <c r="H1841" s="78">
        <v>0</v>
      </c>
      <c r="I1841" s="78">
        <v>0</v>
      </c>
    </row>
    <row r="1842" spans="1:13" s="404" customFormat="1" ht="47.25" customHeight="1">
      <c r="A1842" s="512" t="s">
        <v>720</v>
      </c>
      <c r="B1842" s="237" t="s">
        <v>29</v>
      </c>
      <c r="C1842" s="240">
        <f t="shared" si="379"/>
        <v>5.45</v>
      </c>
      <c r="D1842" s="240">
        <v>5.45</v>
      </c>
      <c r="E1842" s="240">
        <v>0</v>
      </c>
      <c r="F1842" s="240">
        <v>0</v>
      </c>
      <c r="G1842" s="240">
        <v>0</v>
      </c>
      <c r="H1842" s="240">
        <v>0</v>
      </c>
      <c r="I1842" s="240">
        <v>0</v>
      </c>
    </row>
    <row r="1843" spans="1:13" s="247" customFormat="1">
      <c r="A1843" s="215"/>
      <c r="B1843" s="226" t="s">
        <v>30</v>
      </c>
      <c r="C1843" s="240">
        <f t="shared" si="379"/>
        <v>5.45</v>
      </c>
      <c r="D1843" s="240">
        <v>5.45</v>
      </c>
      <c r="E1843" s="240">
        <v>0</v>
      </c>
      <c r="F1843" s="240">
        <v>0</v>
      </c>
      <c r="G1843" s="240">
        <v>0</v>
      </c>
      <c r="H1843" s="240">
        <v>0</v>
      </c>
      <c r="I1843" s="240">
        <v>0</v>
      </c>
    </row>
    <row r="1844" spans="1:13" s="404" customFormat="1" ht="37.35">
      <c r="A1844" s="512" t="s">
        <v>721</v>
      </c>
      <c r="B1844" s="237" t="s">
        <v>29</v>
      </c>
      <c r="C1844" s="240">
        <f t="shared" si="379"/>
        <v>34.96</v>
      </c>
      <c r="D1844" s="240">
        <v>34.96</v>
      </c>
      <c r="E1844" s="240">
        <v>0</v>
      </c>
      <c r="F1844" s="240">
        <v>0</v>
      </c>
      <c r="G1844" s="240">
        <v>0</v>
      </c>
      <c r="H1844" s="240">
        <v>0</v>
      </c>
      <c r="I1844" s="240">
        <v>0</v>
      </c>
    </row>
    <row r="1845" spans="1:13" s="126" customFormat="1">
      <c r="A1845" s="12"/>
      <c r="B1845" s="62" t="s">
        <v>30</v>
      </c>
      <c r="C1845" s="78">
        <f t="shared" si="379"/>
        <v>34.96</v>
      </c>
      <c r="D1845" s="78">
        <v>34.96</v>
      </c>
      <c r="E1845" s="64">
        <v>0</v>
      </c>
      <c r="F1845" s="78">
        <v>0</v>
      </c>
      <c r="G1845" s="78">
        <v>0</v>
      </c>
      <c r="H1845" s="78">
        <v>0</v>
      </c>
      <c r="I1845" s="78">
        <v>0</v>
      </c>
    </row>
    <row r="1846" spans="1:13" s="404" customFormat="1" ht="45.75" customHeight="1">
      <c r="A1846" s="512" t="s">
        <v>722</v>
      </c>
      <c r="B1846" s="237" t="s">
        <v>29</v>
      </c>
      <c r="C1846" s="240">
        <f t="shared" si="379"/>
        <v>2.42</v>
      </c>
      <c r="D1846" s="240">
        <v>2.42</v>
      </c>
      <c r="E1846" s="240">
        <v>0</v>
      </c>
      <c r="F1846" s="240">
        <v>0</v>
      </c>
      <c r="G1846" s="240">
        <v>0</v>
      </c>
      <c r="H1846" s="240">
        <v>0</v>
      </c>
      <c r="I1846" s="240">
        <v>0</v>
      </c>
    </row>
    <row r="1847" spans="1:13" s="247" customFormat="1">
      <c r="A1847" s="215"/>
      <c r="B1847" s="226" t="s">
        <v>30</v>
      </c>
      <c r="C1847" s="240">
        <f t="shared" si="379"/>
        <v>2.42</v>
      </c>
      <c r="D1847" s="240">
        <v>2.42</v>
      </c>
      <c r="E1847" s="240">
        <v>0</v>
      </c>
      <c r="F1847" s="240">
        <v>0</v>
      </c>
      <c r="G1847" s="240">
        <v>0</v>
      </c>
      <c r="H1847" s="240">
        <v>0</v>
      </c>
      <c r="I1847" s="240">
        <v>0</v>
      </c>
    </row>
    <row r="1848" spans="1:13" s="404" customFormat="1" ht="49.7">
      <c r="A1848" s="512" t="s">
        <v>723</v>
      </c>
      <c r="B1848" s="237" t="s">
        <v>29</v>
      </c>
      <c r="C1848" s="240">
        <f t="shared" si="379"/>
        <v>18</v>
      </c>
      <c r="D1848" s="240">
        <v>0</v>
      </c>
      <c r="E1848" s="240">
        <v>18</v>
      </c>
      <c r="F1848" s="240">
        <v>0</v>
      </c>
      <c r="G1848" s="240">
        <v>0</v>
      </c>
      <c r="H1848" s="240">
        <v>0</v>
      </c>
      <c r="I1848" s="240">
        <v>0</v>
      </c>
      <c r="J1848" s="626"/>
      <c r="K1848" s="642"/>
      <c r="L1848" s="642"/>
      <c r="M1848" s="642"/>
    </row>
    <row r="1849" spans="1:13" s="247" customFormat="1">
      <c r="A1849" s="215"/>
      <c r="B1849" s="226" t="s">
        <v>30</v>
      </c>
      <c r="C1849" s="240">
        <f t="shared" si="379"/>
        <v>18</v>
      </c>
      <c r="D1849" s="240">
        <v>0</v>
      </c>
      <c r="E1849" s="240">
        <v>18</v>
      </c>
      <c r="F1849" s="240">
        <v>0</v>
      </c>
      <c r="G1849" s="240">
        <v>0</v>
      </c>
      <c r="H1849" s="240">
        <v>0</v>
      </c>
      <c r="I1849" s="240">
        <v>0</v>
      </c>
    </row>
    <row r="1850" spans="1:13" s="404" customFormat="1" ht="37.35">
      <c r="A1850" s="512" t="s">
        <v>724</v>
      </c>
      <c r="B1850" s="237" t="s">
        <v>29</v>
      </c>
      <c r="C1850" s="240">
        <f t="shared" si="379"/>
        <v>7.96</v>
      </c>
      <c r="D1850" s="240">
        <v>7.96</v>
      </c>
      <c r="E1850" s="240">
        <v>0</v>
      </c>
      <c r="F1850" s="240">
        <v>0</v>
      </c>
      <c r="G1850" s="240">
        <v>0</v>
      </c>
      <c r="H1850" s="240">
        <v>0</v>
      </c>
      <c r="I1850" s="240">
        <v>0</v>
      </c>
    </row>
    <row r="1851" spans="1:13" s="126" customFormat="1" ht="14.1">
      <c r="A1851" s="317"/>
      <c r="B1851" s="62" t="s">
        <v>30</v>
      </c>
      <c r="C1851" s="78">
        <f t="shared" si="379"/>
        <v>7.96</v>
      </c>
      <c r="D1851" s="78">
        <v>7.96</v>
      </c>
      <c r="E1851" s="64">
        <v>0</v>
      </c>
      <c r="F1851" s="78">
        <v>0</v>
      </c>
      <c r="G1851" s="78">
        <v>0</v>
      </c>
      <c r="H1851" s="78">
        <v>0</v>
      </c>
      <c r="I1851" s="78">
        <v>0</v>
      </c>
    </row>
    <row r="1852" spans="1:13" s="404" customFormat="1">
      <c r="A1852" s="513" t="s">
        <v>725</v>
      </c>
      <c r="B1852" s="237" t="s">
        <v>29</v>
      </c>
      <c r="C1852" s="240">
        <f t="shared" si="379"/>
        <v>1.79</v>
      </c>
      <c r="D1852" s="240">
        <v>1.79</v>
      </c>
      <c r="E1852" s="240">
        <v>0</v>
      </c>
      <c r="F1852" s="240">
        <v>0</v>
      </c>
      <c r="G1852" s="240">
        <v>0</v>
      </c>
      <c r="H1852" s="240">
        <v>0</v>
      </c>
      <c r="I1852" s="240">
        <v>0</v>
      </c>
    </row>
    <row r="1853" spans="1:13" s="126" customFormat="1">
      <c r="A1853" s="12"/>
      <c r="B1853" s="62" t="s">
        <v>30</v>
      </c>
      <c r="C1853" s="78">
        <f t="shared" si="379"/>
        <v>1.79</v>
      </c>
      <c r="D1853" s="78">
        <v>1.79</v>
      </c>
      <c r="E1853" s="64">
        <v>0</v>
      </c>
      <c r="F1853" s="78">
        <v>0</v>
      </c>
      <c r="G1853" s="78">
        <v>0</v>
      </c>
      <c r="H1853" s="78">
        <v>0</v>
      </c>
      <c r="I1853" s="78">
        <v>0</v>
      </c>
    </row>
    <row r="1854" spans="1:13" s="404" customFormat="1" ht="30" customHeight="1">
      <c r="A1854" s="512" t="s">
        <v>726</v>
      </c>
      <c r="B1854" s="237" t="s">
        <v>29</v>
      </c>
      <c r="C1854" s="240">
        <f t="shared" si="379"/>
        <v>9.52</v>
      </c>
      <c r="D1854" s="240">
        <v>9.52</v>
      </c>
      <c r="E1854" s="240">
        <v>0</v>
      </c>
      <c r="F1854" s="240">
        <v>0</v>
      </c>
      <c r="G1854" s="240">
        <v>0</v>
      </c>
      <c r="H1854" s="240">
        <v>0</v>
      </c>
      <c r="I1854" s="240">
        <v>0</v>
      </c>
    </row>
    <row r="1855" spans="1:13" s="247" customFormat="1">
      <c r="A1855" s="215"/>
      <c r="B1855" s="226" t="s">
        <v>30</v>
      </c>
      <c r="C1855" s="240">
        <f t="shared" si="379"/>
        <v>9.52</v>
      </c>
      <c r="D1855" s="240">
        <v>9.52</v>
      </c>
      <c r="E1855" s="240">
        <v>0</v>
      </c>
      <c r="F1855" s="240">
        <v>0</v>
      </c>
      <c r="G1855" s="240">
        <v>0</v>
      </c>
      <c r="H1855" s="240">
        <v>0</v>
      </c>
      <c r="I1855" s="240">
        <v>0</v>
      </c>
    </row>
    <row r="1856" spans="1:13" s="404" customFormat="1">
      <c r="A1856" s="439" t="s">
        <v>727</v>
      </c>
      <c r="B1856" s="237" t="s">
        <v>29</v>
      </c>
      <c r="C1856" s="240">
        <f t="shared" si="379"/>
        <v>1.0900000000000001</v>
      </c>
      <c r="D1856" s="240">
        <v>1.0900000000000001</v>
      </c>
      <c r="E1856" s="240">
        <v>0</v>
      </c>
      <c r="F1856" s="240">
        <v>0</v>
      </c>
      <c r="G1856" s="240">
        <v>0</v>
      </c>
      <c r="H1856" s="240">
        <v>0</v>
      </c>
      <c r="I1856" s="240">
        <v>0</v>
      </c>
    </row>
    <row r="1857" spans="1:9" s="247" customFormat="1">
      <c r="A1857" s="215"/>
      <c r="B1857" s="226" t="s">
        <v>30</v>
      </c>
      <c r="C1857" s="240">
        <f t="shared" si="379"/>
        <v>1.0900000000000001</v>
      </c>
      <c r="D1857" s="240">
        <v>1.0900000000000001</v>
      </c>
      <c r="E1857" s="240">
        <v>0</v>
      </c>
      <c r="F1857" s="240">
        <v>0</v>
      </c>
      <c r="G1857" s="240">
        <v>0</v>
      </c>
      <c r="H1857" s="240">
        <v>0</v>
      </c>
      <c r="I1857" s="240">
        <v>0</v>
      </c>
    </row>
    <row r="1858" spans="1:9" s="404" customFormat="1">
      <c r="A1858" s="325" t="s">
        <v>728</v>
      </c>
      <c r="B1858" s="237" t="s">
        <v>29</v>
      </c>
      <c r="C1858" s="240">
        <f t="shared" si="379"/>
        <v>1.21</v>
      </c>
      <c r="D1858" s="240">
        <v>1.21</v>
      </c>
      <c r="E1858" s="240">
        <v>0</v>
      </c>
      <c r="F1858" s="240">
        <v>0</v>
      </c>
      <c r="G1858" s="240">
        <v>0</v>
      </c>
      <c r="H1858" s="240">
        <v>0</v>
      </c>
      <c r="I1858" s="240">
        <v>0</v>
      </c>
    </row>
    <row r="1859" spans="1:9" s="247" customFormat="1">
      <c r="A1859" s="215"/>
      <c r="B1859" s="226" t="s">
        <v>30</v>
      </c>
      <c r="C1859" s="240">
        <f t="shared" si="379"/>
        <v>1.21</v>
      </c>
      <c r="D1859" s="240">
        <v>1.21</v>
      </c>
      <c r="E1859" s="240">
        <v>0</v>
      </c>
      <c r="F1859" s="240">
        <v>0</v>
      </c>
      <c r="G1859" s="240">
        <v>0</v>
      </c>
      <c r="H1859" s="240">
        <v>0</v>
      </c>
      <c r="I1859" s="240">
        <v>0</v>
      </c>
    </row>
    <row r="1860" spans="1:9" s="404" customFormat="1">
      <c r="A1860" s="325" t="s">
        <v>729</v>
      </c>
      <c r="B1860" s="237" t="s">
        <v>29</v>
      </c>
      <c r="C1860" s="240">
        <f t="shared" si="379"/>
        <v>2.17</v>
      </c>
      <c r="D1860" s="240">
        <v>2.17</v>
      </c>
      <c r="E1860" s="240">
        <v>0</v>
      </c>
      <c r="F1860" s="240">
        <v>0</v>
      </c>
      <c r="G1860" s="240">
        <v>0</v>
      </c>
      <c r="H1860" s="240">
        <v>0</v>
      </c>
      <c r="I1860" s="240">
        <v>0</v>
      </c>
    </row>
    <row r="1861" spans="1:9" s="247" customFormat="1">
      <c r="A1861" s="215"/>
      <c r="B1861" s="226" t="s">
        <v>30</v>
      </c>
      <c r="C1861" s="240">
        <f t="shared" si="379"/>
        <v>2.17</v>
      </c>
      <c r="D1861" s="240">
        <v>2.17</v>
      </c>
      <c r="E1861" s="240">
        <v>0</v>
      </c>
      <c r="F1861" s="240">
        <v>0</v>
      </c>
      <c r="G1861" s="240">
        <v>0</v>
      </c>
      <c r="H1861" s="240">
        <v>0</v>
      </c>
      <c r="I1861" s="240">
        <v>0</v>
      </c>
    </row>
    <row r="1862" spans="1:9" s="126" customFormat="1" ht="15.75" customHeight="1">
      <c r="A1862" s="412" t="s">
        <v>730</v>
      </c>
      <c r="B1862" s="129" t="s">
        <v>29</v>
      </c>
      <c r="C1862" s="125">
        <f t="shared" si="379"/>
        <v>114.06</v>
      </c>
      <c r="D1862" s="125">
        <f>D1864+D1866+D1868+D1870</f>
        <v>114.06</v>
      </c>
      <c r="E1862" s="125">
        <f t="shared" ref="E1862:I1863" si="385">E1864+E1866+E1868+E1870</f>
        <v>0</v>
      </c>
      <c r="F1862" s="125">
        <f t="shared" si="385"/>
        <v>0</v>
      </c>
      <c r="G1862" s="125">
        <f t="shared" si="385"/>
        <v>0</v>
      </c>
      <c r="H1862" s="125">
        <f t="shared" si="385"/>
        <v>0</v>
      </c>
      <c r="I1862" s="125">
        <f t="shared" si="385"/>
        <v>0</v>
      </c>
    </row>
    <row r="1863" spans="1:9" s="126" customFormat="1">
      <c r="A1863" s="12"/>
      <c r="B1863" s="132" t="s">
        <v>30</v>
      </c>
      <c r="C1863" s="125">
        <f t="shared" si="379"/>
        <v>114.06</v>
      </c>
      <c r="D1863" s="125">
        <f>D1865+D1867+D1869+D1871</f>
        <v>114.06</v>
      </c>
      <c r="E1863" s="125">
        <f t="shared" si="385"/>
        <v>0</v>
      </c>
      <c r="F1863" s="125">
        <f t="shared" si="385"/>
        <v>0</v>
      </c>
      <c r="G1863" s="125">
        <f t="shared" si="385"/>
        <v>0</v>
      </c>
      <c r="H1863" s="125">
        <f t="shared" si="385"/>
        <v>0</v>
      </c>
      <c r="I1863" s="125">
        <f t="shared" si="385"/>
        <v>0</v>
      </c>
    </row>
    <row r="1864" spans="1:9" s="404" customFormat="1" ht="67.5" customHeight="1">
      <c r="A1864" s="478" t="s">
        <v>731</v>
      </c>
      <c r="B1864" s="237" t="s">
        <v>29</v>
      </c>
      <c r="C1864" s="240">
        <f t="shared" si="379"/>
        <v>101.26</v>
      </c>
      <c r="D1864" s="240">
        <v>101.26</v>
      </c>
      <c r="E1864" s="64">
        <v>0</v>
      </c>
      <c r="F1864" s="240">
        <v>0</v>
      </c>
      <c r="G1864" s="240">
        <v>0</v>
      </c>
      <c r="H1864" s="240">
        <v>0</v>
      </c>
      <c r="I1864" s="240">
        <v>0</v>
      </c>
    </row>
    <row r="1865" spans="1:9" s="126" customFormat="1">
      <c r="A1865" s="12"/>
      <c r="B1865" s="62" t="s">
        <v>30</v>
      </c>
      <c r="C1865" s="78">
        <f t="shared" si="379"/>
        <v>101.26</v>
      </c>
      <c r="D1865" s="78">
        <v>101.26</v>
      </c>
      <c r="E1865" s="64">
        <v>0</v>
      </c>
      <c r="F1865" s="78">
        <v>0</v>
      </c>
      <c r="G1865" s="78">
        <v>0</v>
      </c>
      <c r="H1865" s="78">
        <v>0</v>
      </c>
      <c r="I1865" s="78">
        <v>0</v>
      </c>
    </row>
    <row r="1866" spans="1:9" s="404" customFormat="1" ht="24.95">
      <c r="A1866" s="478" t="s">
        <v>732</v>
      </c>
      <c r="B1866" s="237" t="s">
        <v>29</v>
      </c>
      <c r="C1866" s="240">
        <f t="shared" si="379"/>
        <v>10.62</v>
      </c>
      <c r="D1866" s="240">
        <v>10.62</v>
      </c>
      <c r="E1866" s="240">
        <v>0</v>
      </c>
      <c r="F1866" s="240">
        <v>0</v>
      </c>
      <c r="G1866" s="240">
        <v>0</v>
      </c>
      <c r="H1866" s="240">
        <v>0</v>
      </c>
      <c r="I1866" s="240">
        <v>0</v>
      </c>
    </row>
    <row r="1867" spans="1:9" s="126" customFormat="1">
      <c r="A1867" s="12"/>
      <c r="B1867" s="62" t="s">
        <v>30</v>
      </c>
      <c r="C1867" s="78">
        <f t="shared" si="379"/>
        <v>10.62</v>
      </c>
      <c r="D1867" s="78">
        <v>10.62</v>
      </c>
      <c r="E1867" s="64">
        <v>0</v>
      </c>
      <c r="F1867" s="78">
        <v>0</v>
      </c>
      <c r="G1867" s="78">
        <v>0</v>
      </c>
      <c r="H1867" s="78">
        <v>0</v>
      </c>
      <c r="I1867" s="78">
        <v>0</v>
      </c>
    </row>
    <row r="1868" spans="1:9" s="404" customFormat="1">
      <c r="A1868" s="325" t="s">
        <v>733</v>
      </c>
      <c r="B1868" s="237" t="s">
        <v>29</v>
      </c>
      <c r="C1868" s="240">
        <f t="shared" si="379"/>
        <v>0.61</v>
      </c>
      <c r="D1868" s="240">
        <v>0.61</v>
      </c>
      <c r="E1868" s="240">
        <v>0</v>
      </c>
      <c r="F1868" s="240">
        <v>0</v>
      </c>
      <c r="G1868" s="240">
        <v>0</v>
      </c>
      <c r="H1868" s="240">
        <v>0</v>
      </c>
      <c r="I1868" s="240">
        <v>0</v>
      </c>
    </row>
    <row r="1869" spans="1:9" s="126" customFormat="1">
      <c r="A1869" s="479"/>
      <c r="B1869" s="62" t="s">
        <v>30</v>
      </c>
      <c r="C1869" s="78">
        <f t="shared" si="379"/>
        <v>0.61</v>
      </c>
      <c r="D1869" s="78">
        <v>0.61</v>
      </c>
      <c r="E1869" s="64">
        <v>0</v>
      </c>
      <c r="F1869" s="78">
        <v>0</v>
      </c>
      <c r="G1869" s="78">
        <v>0</v>
      </c>
      <c r="H1869" s="78">
        <v>0</v>
      </c>
      <c r="I1869" s="78">
        <v>0</v>
      </c>
    </row>
    <row r="1870" spans="1:9" s="404" customFormat="1" ht="14.1">
      <c r="A1870" s="480" t="s">
        <v>734</v>
      </c>
      <c r="B1870" s="237" t="s">
        <v>29</v>
      </c>
      <c r="C1870" s="240">
        <f t="shared" si="379"/>
        <v>1.57</v>
      </c>
      <c r="D1870" s="240">
        <v>1.57</v>
      </c>
      <c r="E1870" s="240">
        <v>0</v>
      </c>
      <c r="F1870" s="240">
        <v>0</v>
      </c>
      <c r="G1870" s="240">
        <v>0</v>
      </c>
      <c r="H1870" s="240">
        <v>0</v>
      </c>
      <c r="I1870" s="240">
        <v>0</v>
      </c>
    </row>
    <row r="1871" spans="1:9" s="126" customFormat="1">
      <c r="A1871" s="12"/>
      <c r="B1871" s="62" t="s">
        <v>30</v>
      </c>
      <c r="C1871" s="78">
        <f t="shared" si="379"/>
        <v>1.57</v>
      </c>
      <c r="D1871" s="78">
        <v>1.57</v>
      </c>
      <c r="E1871" s="64">
        <v>0</v>
      </c>
      <c r="F1871" s="78">
        <v>0</v>
      </c>
      <c r="G1871" s="78">
        <v>0</v>
      </c>
      <c r="H1871" s="78">
        <v>0</v>
      </c>
      <c r="I1871" s="78">
        <v>0</v>
      </c>
    </row>
    <row r="1872" spans="1:9" s="126" customFormat="1">
      <c r="A1872" s="147" t="s">
        <v>735</v>
      </c>
      <c r="B1872" s="142" t="s">
        <v>29</v>
      </c>
      <c r="C1872" s="125">
        <f t="shared" si="379"/>
        <v>85.06</v>
      </c>
      <c r="D1872" s="125">
        <f>D1874+D1876+D1878+D1880+D1882</f>
        <v>85.06</v>
      </c>
      <c r="E1872" s="125">
        <f t="shared" ref="E1872:I1873" si="386">E1874+E1876+E1878+E1880+E1882</f>
        <v>0</v>
      </c>
      <c r="F1872" s="125">
        <f t="shared" si="386"/>
        <v>0</v>
      </c>
      <c r="G1872" s="125">
        <f t="shared" si="386"/>
        <v>0</v>
      </c>
      <c r="H1872" s="125">
        <f t="shared" si="386"/>
        <v>0</v>
      </c>
      <c r="I1872" s="125">
        <f t="shared" si="386"/>
        <v>0</v>
      </c>
    </row>
    <row r="1873" spans="1:9" s="126" customFormat="1">
      <c r="A1873" s="144"/>
      <c r="B1873" s="127" t="s">
        <v>30</v>
      </c>
      <c r="C1873" s="125">
        <f t="shared" si="379"/>
        <v>85.06</v>
      </c>
      <c r="D1873" s="125">
        <f>D1875+D1877+D1879+D1881+D1883</f>
        <v>85.06</v>
      </c>
      <c r="E1873" s="125">
        <f t="shared" si="386"/>
        <v>0</v>
      </c>
      <c r="F1873" s="125">
        <f t="shared" si="386"/>
        <v>0</v>
      </c>
      <c r="G1873" s="125">
        <f t="shared" si="386"/>
        <v>0</v>
      </c>
      <c r="H1873" s="125">
        <f t="shared" si="386"/>
        <v>0</v>
      </c>
      <c r="I1873" s="125">
        <f t="shared" si="386"/>
        <v>0</v>
      </c>
    </row>
    <row r="1874" spans="1:9" s="145" customFormat="1">
      <c r="A1874" s="28" t="s">
        <v>736</v>
      </c>
      <c r="B1874" s="243" t="s">
        <v>29</v>
      </c>
      <c r="C1874" s="84">
        <f t="shared" si="379"/>
        <v>2.97</v>
      </c>
      <c r="D1874" s="84">
        <v>2.97</v>
      </c>
      <c r="E1874" s="72">
        <v>0</v>
      </c>
      <c r="F1874" s="84">
        <v>0</v>
      </c>
      <c r="G1874" s="84">
        <v>0</v>
      </c>
      <c r="H1874" s="84">
        <v>0</v>
      </c>
      <c r="I1874" s="84">
        <v>0</v>
      </c>
    </row>
    <row r="1875" spans="1:9" s="145" customFormat="1">
      <c r="A1875" s="202"/>
      <c r="B1875" s="244" t="s">
        <v>30</v>
      </c>
      <c r="C1875" s="84">
        <f t="shared" si="379"/>
        <v>2.97</v>
      </c>
      <c r="D1875" s="84">
        <v>2.97</v>
      </c>
      <c r="E1875" s="72">
        <v>0</v>
      </c>
      <c r="F1875" s="84">
        <v>0</v>
      </c>
      <c r="G1875" s="84">
        <v>0</v>
      </c>
      <c r="H1875" s="84">
        <v>0</v>
      </c>
      <c r="I1875" s="84">
        <v>0</v>
      </c>
    </row>
    <row r="1876" spans="1:9" s="145" customFormat="1">
      <c r="A1876" s="28" t="s">
        <v>737</v>
      </c>
      <c r="B1876" s="243" t="s">
        <v>29</v>
      </c>
      <c r="C1876" s="84">
        <f t="shared" si="379"/>
        <v>2.97</v>
      </c>
      <c r="D1876" s="84">
        <v>2.97</v>
      </c>
      <c r="E1876" s="72">
        <v>0</v>
      </c>
      <c r="F1876" s="84">
        <v>0</v>
      </c>
      <c r="G1876" s="84">
        <v>0</v>
      </c>
      <c r="H1876" s="84">
        <v>0</v>
      </c>
      <c r="I1876" s="84">
        <v>0</v>
      </c>
    </row>
    <row r="1877" spans="1:9" s="145" customFormat="1">
      <c r="A1877" s="202"/>
      <c r="B1877" s="244" t="s">
        <v>30</v>
      </c>
      <c r="C1877" s="84">
        <f t="shared" si="379"/>
        <v>2.97</v>
      </c>
      <c r="D1877" s="84">
        <v>2.97</v>
      </c>
      <c r="E1877" s="72">
        <v>0</v>
      </c>
      <c r="F1877" s="84">
        <v>0</v>
      </c>
      <c r="G1877" s="84">
        <v>0</v>
      </c>
      <c r="H1877" s="84">
        <v>0</v>
      </c>
      <c r="I1877" s="84">
        <v>0</v>
      </c>
    </row>
    <row r="1878" spans="1:9" s="145" customFormat="1">
      <c r="A1878" s="28" t="s">
        <v>738</v>
      </c>
      <c r="B1878" s="243" t="s">
        <v>29</v>
      </c>
      <c r="C1878" s="84">
        <f t="shared" si="379"/>
        <v>10.119999999999999</v>
      </c>
      <c r="D1878" s="84">
        <v>10.119999999999999</v>
      </c>
      <c r="E1878" s="72">
        <v>0</v>
      </c>
      <c r="F1878" s="84">
        <v>0</v>
      </c>
      <c r="G1878" s="84">
        <v>0</v>
      </c>
      <c r="H1878" s="84">
        <v>0</v>
      </c>
      <c r="I1878" s="84">
        <v>0</v>
      </c>
    </row>
    <row r="1879" spans="1:9" s="145" customFormat="1">
      <c r="A1879" s="202"/>
      <c r="B1879" s="244" t="s">
        <v>30</v>
      </c>
      <c r="C1879" s="84">
        <f t="shared" si="379"/>
        <v>10.119999999999999</v>
      </c>
      <c r="D1879" s="84">
        <v>10.119999999999999</v>
      </c>
      <c r="E1879" s="72">
        <v>0</v>
      </c>
      <c r="F1879" s="84">
        <v>0</v>
      </c>
      <c r="G1879" s="84">
        <v>0</v>
      </c>
      <c r="H1879" s="84">
        <v>0</v>
      </c>
      <c r="I1879" s="84">
        <v>0</v>
      </c>
    </row>
    <row r="1880" spans="1:9" s="145" customFormat="1" ht="37.35">
      <c r="A1880" s="81" t="s">
        <v>739</v>
      </c>
      <c r="B1880" s="243" t="s">
        <v>29</v>
      </c>
      <c r="C1880" s="84">
        <f t="shared" si="379"/>
        <v>48</v>
      </c>
      <c r="D1880" s="84">
        <v>48</v>
      </c>
      <c r="E1880" s="72">
        <v>0</v>
      </c>
      <c r="F1880" s="84">
        <v>0</v>
      </c>
      <c r="G1880" s="84">
        <v>0</v>
      </c>
      <c r="H1880" s="84">
        <v>0</v>
      </c>
      <c r="I1880" s="84">
        <v>0</v>
      </c>
    </row>
    <row r="1881" spans="1:9" s="145" customFormat="1">
      <c r="A1881" s="202"/>
      <c r="B1881" s="244" t="s">
        <v>30</v>
      </c>
      <c r="C1881" s="84">
        <f t="shared" si="379"/>
        <v>48</v>
      </c>
      <c r="D1881" s="84">
        <v>48</v>
      </c>
      <c r="E1881" s="72">
        <v>0</v>
      </c>
      <c r="F1881" s="84">
        <v>0</v>
      </c>
      <c r="G1881" s="84">
        <v>0</v>
      </c>
      <c r="H1881" s="84">
        <v>0</v>
      </c>
      <c r="I1881" s="84">
        <v>0</v>
      </c>
    </row>
    <row r="1882" spans="1:9" s="145" customFormat="1">
      <c r="A1882" s="81" t="s">
        <v>740</v>
      </c>
      <c r="B1882" s="243" t="s">
        <v>29</v>
      </c>
      <c r="C1882" s="84">
        <f t="shared" si="379"/>
        <v>21</v>
      </c>
      <c r="D1882" s="84">
        <v>21</v>
      </c>
      <c r="E1882" s="72">
        <v>0</v>
      </c>
      <c r="F1882" s="84">
        <v>0</v>
      </c>
      <c r="G1882" s="84">
        <v>0</v>
      </c>
      <c r="H1882" s="84">
        <v>0</v>
      </c>
      <c r="I1882" s="84">
        <v>0</v>
      </c>
    </row>
    <row r="1883" spans="1:9" s="145" customFormat="1">
      <c r="A1883" s="202"/>
      <c r="B1883" s="244" t="s">
        <v>30</v>
      </c>
      <c r="C1883" s="84">
        <f t="shared" si="379"/>
        <v>21</v>
      </c>
      <c r="D1883" s="84">
        <v>21</v>
      </c>
      <c r="E1883" s="72">
        <v>0</v>
      </c>
      <c r="F1883" s="84">
        <v>0</v>
      </c>
      <c r="G1883" s="84">
        <v>0</v>
      </c>
      <c r="H1883" s="84">
        <v>0</v>
      </c>
      <c r="I1883" s="84">
        <v>0</v>
      </c>
    </row>
    <row r="1884" spans="1:9" s="148" customFormat="1" ht="24.95">
      <c r="A1884" s="147" t="s">
        <v>741</v>
      </c>
      <c r="B1884" s="124" t="s">
        <v>29</v>
      </c>
      <c r="C1884" s="125">
        <f t="shared" si="379"/>
        <v>25.71</v>
      </c>
      <c r="D1884" s="125">
        <f>D1886</f>
        <v>25.71</v>
      </c>
      <c r="E1884" s="125">
        <f t="shared" ref="E1884:I1885" si="387">E1886</f>
        <v>0</v>
      </c>
      <c r="F1884" s="125">
        <f t="shared" si="387"/>
        <v>0</v>
      </c>
      <c r="G1884" s="125">
        <f t="shared" si="387"/>
        <v>0</v>
      </c>
      <c r="H1884" s="125">
        <f t="shared" si="387"/>
        <v>0</v>
      </c>
      <c r="I1884" s="125">
        <f t="shared" si="387"/>
        <v>0</v>
      </c>
    </row>
    <row r="1885" spans="1:9" s="148" customFormat="1">
      <c r="A1885" s="134"/>
      <c r="B1885" s="127" t="s">
        <v>30</v>
      </c>
      <c r="C1885" s="125">
        <f t="shared" si="379"/>
        <v>25.71</v>
      </c>
      <c r="D1885" s="125">
        <f>D1887</f>
        <v>25.71</v>
      </c>
      <c r="E1885" s="125">
        <f t="shared" si="387"/>
        <v>0</v>
      </c>
      <c r="F1885" s="125">
        <f t="shared" si="387"/>
        <v>0</v>
      </c>
      <c r="G1885" s="125">
        <f t="shared" si="387"/>
        <v>0</v>
      </c>
      <c r="H1885" s="125">
        <f t="shared" si="387"/>
        <v>0</v>
      </c>
      <c r="I1885" s="125">
        <f t="shared" si="387"/>
        <v>0</v>
      </c>
    </row>
    <row r="1886" spans="1:9" s="213" customFormat="1" ht="14.1">
      <c r="A1886" s="367" t="s">
        <v>243</v>
      </c>
      <c r="B1886" s="237" t="s">
        <v>29</v>
      </c>
      <c r="C1886" s="240">
        <f t="shared" si="379"/>
        <v>25.71</v>
      </c>
      <c r="D1886" s="240">
        <v>25.71</v>
      </c>
      <c r="E1886" s="240">
        <v>0</v>
      </c>
      <c r="F1886" s="240">
        <v>0</v>
      </c>
      <c r="G1886" s="240">
        <v>0</v>
      </c>
      <c r="H1886" s="240">
        <v>0</v>
      </c>
      <c r="I1886" s="240">
        <v>0</v>
      </c>
    </row>
    <row r="1887" spans="1:9" s="213" customFormat="1">
      <c r="A1887" s="215"/>
      <c r="B1887" s="226" t="s">
        <v>30</v>
      </c>
      <c r="C1887" s="240">
        <f t="shared" si="379"/>
        <v>25.71</v>
      </c>
      <c r="D1887" s="240">
        <v>25.71</v>
      </c>
      <c r="E1887" s="240">
        <v>0</v>
      </c>
      <c r="F1887" s="240">
        <v>0</v>
      </c>
      <c r="G1887" s="240">
        <v>0</v>
      </c>
      <c r="H1887" s="240">
        <v>0</v>
      </c>
      <c r="I1887" s="240">
        <v>0</v>
      </c>
    </row>
    <row r="1888" spans="1:9" s="148" customFormat="1" ht="24.95">
      <c r="A1888" s="147" t="s">
        <v>742</v>
      </c>
      <c r="B1888" s="124" t="s">
        <v>29</v>
      </c>
      <c r="C1888" s="125">
        <f t="shared" si="379"/>
        <v>149.47999999999999</v>
      </c>
      <c r="D1888" s="125">
        <f>D1890+D1892+D1894+D1896</f>
        <v>29.48</v>
      </c>
      <c r="E1888" s="125">
        <f t="shared" ref="E1888:I1889" si="388">E1890+E1892+E1894+E1896</f>
        <v>0</v>
      </c>
      <c r="F1888" s="125">
        <f t="shared" si="388"/>
        <v>0</v>
      </c>
      <c r="G1888" s="125">
        <f t="shared" si="388"/>
        <v>0</v>
      </c>
      <c r="H1888" s="125">
        <f t="shared" si="388"/>
        <v>0</v>
      </c>
      <c r="I1888" s="125">
        <f t="shared" si="388"/>
        <v>120</v>
      </c>
    </row>
    <row r="1889" spans="1:16" s="148" customFormat="1">
      <c r="A1889" s="134"/>
      <c r="B1889" s="127" t="s">
        <v>30</v>
      </c>
      <c r="C1889" s="125">
        <f t="shared" si="379"/>
        <v>149.47999999999999</v>
      </c>
      <c r="D1889" s="125">
        <f>D1891+D1893+D1895+D1897</f>
        <v>29.48</v>
      </c>
      <c r="E1889" s="125">
        <f t="shared" si="388"/>
        <v>0</v>
      </c>
      <c r="F1889" s="125">
        <f t="shared" si="388"/>
        <v>0</v>
      </c>
      <c r="G1889" s="125">
        <f t="shared" si="388"/>
        <v>0</v>
      </c>
      <c r="H1889" s="125">
        <f t="shared" si="388"/>
        <v>0</v>
      </c>
      <c r="I1889" s="125">
        <f t="shared" si="388"/>
        <v>120</v>
      </c>
    </row>
    <row r="1890" spans="1:16" s="213" customFormat="1" ht="52.5" customHeight="1">
      <c r="A1890" s="339" t="s">
        <v>743</v>
      </c>
      <c r="B1890" s="312" t="s">
        <v>29</v>
      </c>
      <c r="C1890" s="240">
        <f t="shared" si="379"/>
        <v>18</v>
      </c>
      <c r="D1890" s="240">
        <v>18</v>
      </c>
      <c r="E1890" s="240">
        <v>0</v>
      </c>
      <c r="F1890" s="240">
        <v>0</v>
      </c>
      <c r="G1890" s="240">
        <v>0</v>
      </c>
      <c r="H1890" s="240">
        <v>0</v>
      </c>
      <c r="I1890" s="240">
        <v>0</v>
      </c>
    </row>
    <row r="1891" spans="1:16" s="102" customFormat="1">
      <c r="A1891" s="215"/>
      <c r="B1891" s="114" t="s">
        <v>30</v>
      </c>
      <c r="C1891" s="78">
        <f t="shared" si="379"/>
        <v>18</v>
      </c>
      <c r="D1891" s="78">
        <v>18</v>
      </c>
      <c r="E1891" s="78">
        <v>0</v>
      </c>
      <c r="F1891" s="78">
        <v>0</v>
      </c>
      <c r="G1891" s="78">
        <v>0</v>
      </c>
      <c r="H1891" s="78">
        <v>0</v>
      </c>
      <c r="I1891" s="78">
        <v>0</v>
      </c>
    </row>
    <row r="1892" spans="1:16" s="212" customFormat="1" ht="51.75" customHeight="1">
      <c r="A1892" s="361" t="s">
        <v>744</v>
      </c>
      <c r="B1892" s="312" t="s">
        <v>29</v>
      </c>
      <c r="C1892" s="240">
        <f t="shared" si="379"/>
        <v>11.48</v>
      </c>
      <c r="D1892" s="240">
        <v>11.48</v>
      </c>
      <c r="E1892" s="240">
        <v>0</v>
      </c>
      <c r="F1892" s="240">
        <v>0</v>
      </c>
      <c r="G1892" s="240">
        <v>0</v>
      </c>
      <c r="H1892" s="240">
        <v>0</v>
      </c>
      <c r="I1892" s="240">
        <v>0</v>
      </c>
    </row>
    <row r="1893" spans="1:16" s="102" customFormat="1">
      <c r="A1893" s="215"/>
      <c r="B1893" s="114" t="s">
        <v>30</v>
      </c>
      <c r="C1893" s="78">
        <f t="shared" si="379"/>
        <v>11.48</v>
      </c>
      <c r="D1893" s="78">
        <v>11.48</v>
      </c>
      <c r="E1893" s="78">
        <v>0</v>
      </c>
      <c r="F1893" s="78">
        <v>0</v>
      </c>
      <c r="G1893" s="78">
        <v>0</v>
      </c>
      <c r="H1893" s="78">
        <v>0</v>
      </c>
      <c r="I1893" s="78">
        <v>0</v>
      </c>
    </row>
    <row r="1894" spans="1:16" s="206" customFormat="1" ht="26.25" customHeight="1">
      <c r="A1894" s="332" t="s">
        <v>745</v>
      </c>
      <c r="B1894" s="112" t="s">
        <v>29</v>
      </c>
      <c r="C1894" s="78">
        <f t="shared" si="379"/>
        <v>60</v>
      </c>
      <c r="D1894" s="78">
        <v>0</v>
      </c>
      <c r="E1894" s="78">
        <v>0</v>
      </c>
      <c r="F1894" s="78">
        <v>0</v>
      </c>
      <c r="G1894" s="78">
        <v>0</v>
      </c>
      <c r="H1894" s="78">
        <v>0</v>
      </c>
      <c r="I1894" s="78">
        <v>60</v>
      </c>
      <c r="J1894" s="582" t="s">
        <v>746</v>
      </c>
      <c r="K1894" s="551"/>
      <c r="L1894" s="551"/>
      <c r="M1894" s="551"/>
      <c r="N1894" s="551"/>
      <c r="O1894" s="551"/>
      <c r="P1894" s="551"/>
    </row>
    <row r="1895" spans="1:16" s="102" customFormat="1">
      <c r="A1895" s="215"/>
      <c r="B1895" s="114" t="s">
        <v>30</v>
      </c>
      <c r="C1895" s="78">
        <f t="shared" si="379"/>
        <v>60</v>
      </c>
      <c r="D1895" s="78">
        <v>0</v>
      </c>
      <c r="E1895" s="78">
        <v>0</v>
      </c>
      <c r="F1895" s="78">
        <v>0</v>
      </c>
      <c r="G1895" s="78">
        <v>0</v>
      </c>
      <c r="H1895" s="78">
        <v>0</v>
      </c>
      <c r="I1895" s="78">
        <v>60</v>
      </c>
      <c r="J1895" s="552"/>
      <c r="K1895" s="551"/>
      <c r="L1895" s="551"/>
      <c r="M1895" s="551"/>
      <c r="N1895" s="551"/>
      <c r="O1895" s="551"/>
      <c r="P1895" s="551"/>
    </row>
    <row r="1896" spans="1:16" s="206" customFormat="1" ht="15.75" customHeight="1">
      <c r="A1896" s="421" t="s">
        <v>747</v>
      </c>
      <c r="B1896" s="112" t="s">
        <v>29</v>
      </c>
      <c r="C1896" s="78">
        <f t="shared" si="379"/>
        <v>60</v>
      </c>
      <c r="D1896" s="78">
        <v>0</v>
      </c>
      <c r="E1896" s="78">
        <v>0</v>
      </c>
      <c r="F1896" s="78">
        <v>0</v>
      </c>
      <c r="G1896" s="78">
        <v>0</v>
      </c>
      <c r="H1896" s="78">
        <v>0</v>
      </c>
      <c r="I1896" s="78">
        <v>60</v>
      </c>
      <c r="J1896" s="582" t="s">
        <v>746</v>
      </c>
      <c r="K1896" s="551"/>
      <c r="L1896" s="551"/>
      <c r="M1896" s="551"/>
      <c r="N1896" s="551"/>
      <c r="O1896" s="551"/>
      <c r="P1896" s="551"/>
    </row>
    <row r="1897" spans="1:16" s="102" customFormat="1" ht="18" customHeight="1">
      <c r="A1897" s="215"/>
      <c r="B1897" s="114" t="s">
        <v>30</v>
      </c>
      <c r="C1897" s="78">
        <f t="shared" si="379"/>
        <v>60</v>
      </c>
      <c r="D1897" s="78">
        <v>0</v>
      </c>
      <c r="E1897" s="78">
        <v>0</v>
      </c>
      <c r="F1897" s="78">
        <v>0</v>
      </c>
      <c r="G1897" s="78">
        <v>0</v>
      </c>
      <c r="H1897" s="78">
        <v>0</v>
      </c>
      <c r="I1897" s="78">
        <v>60</v>
      </c>
      <c r="J1897" s="552"/>
      <c r="K1897" s="551"/>
      <c r="L1897" s="551"/>
      <c r="M1897" s="551"/>
      <c r="N1897" s="551"/>
      <c r="O1897" s="551"/>
      <c r="P1897" s="551"/>
    </row>
    <row r="1898" spans="1:16" s="148" customFormat="1" ht="24.95">
      <c r="A1898" s="310" t="s">
        <v>748</v>
      </c>
      <c r="B1898" s="124" t="s">
        <v>29</v>
      </c>
      <c r="C1898" s="125">
        <f t="shared" si="379"/>
        <v>3.88</v>
      </c>
      <c r="D1898" s="125">
        <f>D1900+D1902</f>
        <v>3.88</v>
      </c>
      <c r="E1898" s="125">
        <f t="shared" ref="E1898:I1899" si="389">E1900+E1902</f>
        <v>0</v>
      </c>
      <c r="F1898" s="125">
        <f t="shared" si="389"/>
        <v>0</v>
      </c>
      <c r="G1898" s="125">
        <f t="shared" si="389"/>
        <v>0</v>
      </c>
      <c r="H1898" s="125">
        <f t="shared" si="389"/>
        <v>0</v>
      </c>
      <c r="I1898" s="125">
        <f t="shared" si="389"/>
        <v>0</v>
      </c>
    </row>
    <row r="1899" spans="1:16" s="148" customFormat="1">
      <c r="A1899" s="134"/>
      <c r="B1899" s="127" t="s">
        <v>30</v>
      </c>
      <c r="C1899" s="125">
        <f t="shared" si="379"/>
        <v>3.88</v>
      </c>
      <c r="D1899" s="125">
        <f>D1901+D1903</f>
        <v>3.88</v>
      </c>
      <c r="E1899" s="125">
        <f t="shared" si="389"/>
        <v>0</v>
      </c>
      <c r="F1899" s="125">
        <f t="shared" si="389"/>
        <v>0</v>
      </c>
      <c r="G1899" s="125">
        <f t="shared" si="389"/>
        <v>0</v>
      </c>
      <c r="H1899" s="125">
        <f t="shared" si="389"/>
        <v>0</v>
      </c>
      <c r="I1899" s="125">
        <f t="shared" si="389"/>
        <v>0</v>
      </c>
    </row>
    <row r="1900" spans="1:16" s="213" customFormat="1" ht="26.25" customHeight="1">
      <c r="A1900" s="386" t="s">
        <v>749</v>
      </c>
      <c r="B1900" s="312" t="s">
        <v>29</v>
      </c>
      <c r="C1900" s="240">
        <f t="shared" si="379"/>
        <v>2.38</v>
      </c>
      <c r="D1900" s="240">
        <v>2.38</v>
      </c>
      <c r="E1900" s="240">
        <v>0</v>
      </c>
      <c r="F1900" s="240">
        <v>0</v>
      </c>
      <c r="G1900" s="240">
        <v>0</v>
      </c>
      <c r="H1900" s="240">
        <v>0</v>
      </c>
      <c r="I1900" s="240">
        <v>0</v>
      </c>
    </row>
    <row r="1901" spans="1:16" s="213" customFormat="1">
      <c r="A1901" s="215"/>
      <c r="B1901" s="373" t="s">
        <v>30</v>
      </c>
      <c r="C1901" s="240">
        <f t="shared" si="379"/>
        <v>2.38</v>
      </c>
      <c r="D1901" s="240">
        <v>2.38</v>
      </c>
      <c r="E1901" s="240">
        <v>0</v>
      </c>
      <c r="F1901" s="240">
        <v>0</v>
      </c>
      <c r="G1901" s="240">
        <v>0</v>
      </c>
      <c r="H1901" s="240">
        <v>0</v>
      </c>
      <c r="I1901" s="240">
        <v>0</v>
      </c>
    </row>
    <row r="1902" spans="1:16" s="213" customFormat="1" ht="27" customHeight="1">
      <c r="A1902" s="386" t="s">
        <v>750</v>
      </c>
      <c r="B1902" s="312" t="s">
        <v>29</v>
      </c>
      <c r="C1902" s="240">
        <f t="shared" si="379"/>
        <v>1.5</v>
      </c>
      <c r="D1902" s="240">
        <v>1.5</v>
      </c>
      <c r="E1902" s="240">
        <v>0</v>
      </c>
      <c r="F1902" s="240">
        <v>0</v>
      </c>
      <c r="G1902" s="240">
        <v>0</v>
      </c>
      <c r="H1902" s="240">
        <v>0</v>
      </c>
      <c r="I1902" s="240">
        <v>0</v>
      </c>
    </row>
    <row r="1903" spans="1:16" s="102" customFormat="1">
      <c r="A1903" s="215"/>
      <c r="B1903" s="114" t="s">
        <v>30</v>
      </c>
      <c r="C1903" s="78">
        <f t="shared" si="379"/>
        <v>1.5</v>
      </c>
      <c r="D1903" s="78">
        <v>1.5</v>
      </c>
      <c r="E1903" s="78">
        <v>0</v>
      </c>
      <c r="F1903" s="78">
        <v>0</v>
      </c>
      <c r="G1903" s="78">
        <v>0</v>
      </c>
      <c r="H1903" s="78">
        <v>0</v>
      </c>
      <c r="I1903" s="78">
        <v>0</v>
      </c>
    </row>
    <row r="1904" spans="1:16" s="148" customFormat="1" ht="24.95">
      <c r="A1904" s="147" t="s">
        <v>751</v>
      </c>
      <c r="B1904" s="124" t="s">
        <v>29</v>
      </c>
      <c r="C1904" s="125">
        <f t="shared" ref="C1904:C1907" si="390">D1904+E1904+F1904+G1904+H1904+I1904</f>
        <v>19</v>
      </c>
      <c r="D1904" s="125">
        <f>D1906</f>
        <v>0</v>
      </c>
      <c r="E1904" s="125">
        <f t="shared" ref="E1904:I1904" si="391">E1906</f>
        <v>19</v>
      </c>
      <c r="F1904" s="125">
        <f t="shared" si="391"/>
        <v>0</v>
      </c>
      <c r="G1904" s="125">
        <f t="shared" si="391"/>
        <v>0</v>
      </c>
      <c r="H1904" s="125">
        <f t="shared" si="391"/>
        <v>0</v>
      </c>
      <c r="I1904" s="125">
        <f t="shared" si="391"/>
        <v>0</v>
      </c>
    </row>
    <row r="1905" spans="1:9" s="148" customFormat="1">
      <c r="A1905" s="134"/>
      <c r="B1905" s="127" t="s">
        <v>30</v>
      </c>
      <c r="C1905" s="125">
        <f t="shared" si="390"/>
        <v>19</v>
      </c>
      <c r="D1905" s="125">
        <f>D1907</f>
        <v>0</v>
      </c>
      <c r="E1905" s="125">
        <f t="shared" ref="E1905:I1905" si="392">E1907</f>
        <v>19</v>
      </c>
      <c r="F1905" s="125">
        <f t="shared" si="392"/>
        <v>0</v>
      </c>
      <c r="G1905" s="125">
        <f t="shared" si="392"/>
        <v>0</v>
      </c>
      <c r="H1905" s="125">
        <f t="shared" si="392"/>
        <v>0</v>
      </c>
      <c r="I1905" s="125">
        <f t="shared" si="392"/>
        <v>0</v>
      </c>
    </row>
    <row r="1906" spans="1:9" s="213" customFormat="1" ht="15" customHeight="1">
      <c r="A1906" s="505" t="s">
        <v>752</v>
      </c>
      <c r="B1906" s="312" t="s">
        <v>29</v>
      </c>
      <c r="C1906" s="240">
        <f t="shared" si="390"/>
        <v>19</v>
      </c>
      <c r="D1906" s="240">
        <v>0</v>
      </c>
      <c r="E1906" s="240">
        <v>19</v>
      </c>
      <c r="F1906" s="240">
        <v>0</v>
      </c>
      <c r="G1906" s="240">
        <v>0</v>
      </c>
      <c r="H1906" s="240">
        <v>0</v>
      </c>
      <c r="I1906" s="240">
        <v>0</v>
      </c>
    </row>
    <row r="1907" spans="1:9" s="102" customFormat="1">
      <c r="A1907" s="215"/>
      <c r="B1907" s="114" t="s">
        <v>30</v>
      </c>
      <c r="C1907" s="78">
        <f t="shared" si="390"/>
        <v>19</v>
      </c>
      <c r="D1907" s="78">
        <v>0</v>
      </c>
      <c r="E1907" s="78">
        <v>19</v>
      </c>
      <c r="F1907" s="78">
        <v>0</v>
      </c>
      <c r="G1907" s="78">
        <v>0</v>
      </c>
      <c r="H1907" s="78">
        <v>0</v>
      </c>
      <c r="I1907" s="78">
        <v>0</v>
      </c>
    </row>
    <row r="1908" spans="1:9" s="213" customFormat="1" ht="27" customHeight="1">
      <c r="A1908" s="542" t="s">
        <v>753</v>
      </c>
      <c r="B1908" s="312" t="s">
        <v>29</v>
      </c>
      <c r="C1908" s="240">
        <f t="shared" ref="C1908:C1909" si="393">D1908+E1908+F1908+G1908+H1908+I1908</f>
        <v>129</v>
      </c>
      <c r="D1908" s="78">
        <f>D1910+D1912+D1914+D1916+D1918+D1920+D1922+D1924+D1926</f>
        <v>0</v>
      </c>
      <c r="E1908" s="78">
        <f t="shared" ref="E1908:I1908" si="394">E1910+E1912+E1914+E1916+E1918+E1920+E1922+E1924+E1926</f>
        <v>129</v>
      </c>
      <c r="F1908" s="78">
        <f t="shared" si="394"/>
        <v>0</v>
      </c>
      <c r="G1908" s="78">
        <f t="shared" si="394"/>
        <v>0</v>
      </c>
      <c r="H1908" s="78">
        <f t="shared" si="394"/>
        <v>0</v>
      </c>
      <c r="I1908" s="78">
        <f t="shared" si="394"/>
        <v>0</v>
      </c>
    </row>
    <row r="1909" spans="1:9" s="102" customFormat="1">
      <c r="A1909" s="215"/>
      <c r="B1909" s="114" t="s">
        <v>30</v>
      </c>
      <c r="C1909" s="78">
        <f t="shared" si="393"/>
        <v>129</v>
      </c>
      <c r="D1909" s="78">
        <f>D1911+D1913+D1915+D1917+D1919+D1921+D1923+D1925+D1927</f>
        <v>0</v>
      </c>
      <c r="E1909" s="78">
        <f t="shared" ref="E1909:I1909" si="395">E1911+E1913+E1915+E1917+E1919+E1921+E1923+E1925+E1927</f>
        <v>129</v>
      </c>
      <c r="F1909" s="78">
        <f t="shared" si="395"/>
        <v>0</v>
      </c>
      <c r="G1909" s="78">
        <f t="shared" si="395"/>
        <v>0</v>
      </c>
      <c r="H1909" s="78">
        <f t="shared" si="395"/>
        <v>0</v>
      </c>
      <c r="I1909" s="78">
        <f t="shared" si="395"/>
        <v>0</v>
      </c>
    </row>
    <row r="1910" spans="1:9" s="213" customFormat="1" ht="27" customHeight="1">
      <c r="A1910" s="543" t="s">
        <v>754</v>
      </c>
      <c r="B1910" s="312" t="s">
        <v>29</v>
      </c>
      <c r="C1910" s="240">
        <f t="shared" ref="C1910:C1911" si="396">D1910+E1910+F1910+G1910+H1910+I1910</f>
        <v>18</v>
      </c>
      <c r="D1910" s="240">
        <v>0</v>
      </c>
      <c r="E1910" s="240">
        <v>18</v>
      </c>
      <c r="F1910" s="240">
        <v>0</v>
      </c>
      <c r="G1910" s="240">
        <v>0</v>
      </c>
      <c r="H1910" s="240">
        <v>0</v>
      </c>
      <c r="I1910" s="240">
        <v>0</v>
      </c>
    </row>
    <row r="1911" spans="1:9" s="102" customFormat="1">
      <c r="A1911" s="215"/>
      <c r="B1911" s="114" t="s">
        <v>30</v>
      </c>
      <c r="C1911" s="78">
        <f t="shared" si="396"/>
        <v>18</v>
      </c>
      <c r="D1911" s="78">
        <v>0</v>
      </c>
      <c r="E1911" s="78">
        <v>18</v>
      </c>
      <c r="F1911" s="78">
        <v>0</v>
      </c>
      <c r="G1911" s="78">
        <v>0</v>
      </c>
      <c r="H1911" s="78">
        <v>0</v>
      </c>
      <c r="I1911" s="78">
        <v>0</v>
      </c>
    </row>
    <row r="1912" spans="1:9" s="213" customFormat="1" ht="27" customHeight="1">
      <c r="A1912" s="543" t="s">
        <v>755</v>
      </c>
      <c r="B1912" s="312" t="s">
        <v>29</v>
      </c>
      <c r="C1912" s="240">
        <f t="shared" ref="C1912:C1913" si="397">D1912+E1912+F1912+G1912+H1912+I1912</f>
        <v>56</v>
      </c>
      <c r="D1912" s="240">
        <v>0</v>
      </c>
      <c r="E1912" s="240">
        <v>56</v>
      </c>
      <c r="F1912" s="240">
        <v>0</v>
      </c>
      <c r="G1912" s="240">
        <v>0</v>
      </c>
      <c r="H1912" s="240">
        <v>0</v>
      </c>
      <c r="I1912" s="240">
        <v>0</v>
      </c>
    </row>
    <row r="1913" spans="1:9" s="102" customFormat="1">
      <c r="A1913" s="215"/>
      <c r="B1913" s="114" t="s">
        <v>30</v>
      </c>
      <c r="C1913" s="78">
        <f t="shared" si="397"/>
        <v>56</v>
      </c>
      <c r="D1913" s="78">
        <v>0</v>
      </c>
      <c r="E1913" s="78">
        <v>56</v>
      </c>
      <c r="F1913" s="78">
        <v>0</v>
      </c>
      <c r="G1913" s="78">
        <v>0</v>
      </c>
      <c r="H1913" s="78">
        <v>0</v>
      </c>
      <c r="I1913" s="78">
        <v>0</v>
      </c>
    </row>
    <row r="1914" spans="1:9" s="213" customFormat="1" ht="45" customHeight="1">
      <c r="A1914" s="543" t="s">
        <v>756</v>
      </c>
      <c r="B1914" s="312" t="s">
        <v>29</v>
      </c>
      <c r="C1914" s="240">
        <f t="shared" ref="C1914:C1917" si="398">D1914+E1914+F1914+G1914+H1914+I1914</f>
        <v>11</v>
      </c>
      <c r="D1914" s="240">
        <v>0</v>
      </c>
      <c r="E1914" s="240">
        <v>11</v>
      </c>
      <c r="F1914" s="240">
        <v>0</v>
      </c>
      <c r="G1914" s="240">
        <v>0</v>
      </c>
      <c r="H1914" s="240">
        <v>0</v>
      </c>
      <c r="I1914" s="240">
        <v>0</v>
      </c>
    </row>
    <row r="1915" spans="1:9" s="102" customFormat="1">
      <c r="A1915" s="215"/>
      <c r="B1915" s="114" t="s">
        <v>30</v>
      </c>
      <c r="C1915" s="78">
        <f t="shared" si="398"/>
        <v>11</v>
      </c>
      <c r="D1915" s="78">
        <v>0</v>
      </c>
      <c r="E1915" s="78">
        <v>11</v>
      </c>
      <c r="F1915" s="78">
        <v>0</v>
      </c>
      <c r="G1915" s="78">
        <v>0</v>
      </c>
      <c r="H1915" s="78">
        <v>0</v>
      </c>
      <c r="I1915" s="78">
        <v>0</v>
      </c>
    </row>
    <row r="1916" spans="1:9" s="213" customFormat="1" ht="17.25" customHeight="1">
      <c r="A1916" s="543" t="s">
        <v>757</v>
      </c>
      <c r="B1916" s="312" t="s">
        <v>29</v>
      </c>
      <c r="C1916" s="240">
        <f t="shared" si="398"/>
        <v>3</v>
      </c>
      <c r="D1916" s="240">
        <v>0</v>
      </c>
      <c r="E1916" s="240">
        <v>3</v>
      </c>
      <c r="F1916" s="240">
        <v>0</v>
      </c>
      <c r="G1916" s="240">
        <v>0</v>
      </c>
      <c r="H1916" s="240">
        <v>0</v>
      </c>
      <c r="I1916" s="240">
        <v>0</v>
      </c>
    </row>
    <row r="1917" spans="1:9" s="102" customFormat="1">
      <c r="A1917" s="215"/>
      <c r="B1917" s="114" t="s">
        <v>30</v>
      </c>
      <c r="C1917" s="78">
        <f t="shared" si="398"/>
        <v>3</v>
      </c>
      <c r="D1917" s="78">
        <v>0</v>
      </c>
      <c r="E1917" s="78">
        <v>3</v>
      </c>
      <c r="F1917" s="78">
        <v>0</v>
      </c>
      <c r="G1917" s="78">
        <v>0</v>
      </c>
      <c r="H1917" s="78">
        <v>0</v>
      </c>
      <c r="I1917" s="78">
        <v>0</v>
      </c>
    </row>
    <row r="1918" spans="1:9" s="213" customFormat="1" ht="63.75" customHeight="1">
      <c r="A1918" s="544" t="s">
        <v>758</v>
      </c>
      <c r="B1918" s="312" t="s">
        <v>29</v>
      </c>
      <c r="C1918" s="240">
        <f t="shared" ref="C1918:C1921" si="399">D1918+E1918+F1918+G1918+H1918+I1918</f>
        <v>10</v>
      </c>
      <c r="D1918" s="240">
        <v>0</v>
      </c>
      <c r="E1918" s="240">
        <v>10</v>
      </c>
      <c r="F1918" s="240">
        <v>0</v>
      </c>
      <c r="G1918" s="240">
        <v>0</v>
      </c>
      <c r="H1918" s="240">
        <v>0</v>
      </c>
      <c r="I1918" s="240">
        <v>0</v>
      </c>
    </row>
    <row r="1919" spans="1:9" s="102" customFormat="1">
      <c r="A1919" s="215"/>
      <c r="B1919" s="114" t="s">
        <v>30</v>
      </c>
      <c r="C1919" s="78">
        <f t="shared" si="399"/>
        <v>10</v>
      </c>
      <c r="D1919" s="78">
        <v>0</v>
      </c>
      <c r="E1919" s="78">
        <v>10</v>
      </c>
      <c r="F1919" s="78">
        <v>0</v>
      </c>
      <c r="G1919" s="78">
        <v>0</v>
      </c>
      <c r="H1919" s="78">
        <v>0</v>
      </c>
      <c r="I1919" s="78">
        <v>0</v>
      </c>
    </row>
    <row r="1920" spans="1:9" s="213" customFormat="1" ht="17.25" customHeight="1">
      <c r="A1920" s="545" t="s">
        <v>759</v>
      </c>
      <c r="B1920" s="312" t="s">
        <v>29</v>
      </c>
      <c r="C1920" s="240">
        <f t="shared" si="399"/>
        <v>4</v>
      </c>
      <c r="D1920" s="240">
        <v>0</v>
      </c>
      <c r="E1920" s="240">
        <v>4</v>
      </c>
      <c r="F1920" s="240">
        <v>0</v>
      </c>
      <c r="G1920" s="240">
        <v>0</v>
      </c>
      <c r="H1920" s="240">
        <v>0</v>
      </c>
      <c r="I1920" s="240">
        <v>0</v>
      </c>
    </row>
    <row r="1921" spans="1:9" s="102" customFormat="1">
      <c r="A1921" s="215"/>
      <c r="B1921" s="114" t="s">
        <v>30</v>
      </c>
      <c r="C1921" s="78">
        <f t="shared" si="399"/>
        <v>4</v>
      </c>
      <c r="D1921" s="78">
        <v>0</v>
      </c>
      <c r="E1921" s="78">
        <v>4</v>
      </c>
      <c r="F1921" s="78">
        <v>0</v>
      </c>
      <c r="G1921" s="78">
        <v>0</v>
      </c>
      <c r="H1921" s="78">
        <v>0</v>
      </c>
      <c r="I1921" s="78">
        <v>0</v>
      </c>
    </row>
    <row r="1922" spans="1:9" s="213" customFormat="1" ht="16.5" customHeight="1">
      <c r="A1922" s="545" t="s">
        <v>760</v>
      </c>
      <c r="B1922" s="312" t="s">
        <v>29</v>
      </c>
      <c r="C1922" s="240">
        <f t="shared" ref="C1922:C1923" si="400">D1922+E1922+F1922+G1922+H1922+I1922</f>
        <v>3</v>
      </c>
      <c r="D1922" s="240">
        <v>0</v>
      </c>
      <c r="E1922" s="240">
        <v>3</v>
      </c>
      <c r="F1922" s="240">
        <v>0</v>
      </c>
      <c r="G1922" s="240">
        <v>0</v>
      </c>
      <c r="H1922" s="240">
        <v>0</v>
      </c>
      <c r="I1922" s="240">
        <v>0</v>
      </c>
    </row>
    <row r="1923" spans="1:9" s="102" customFormat="1">
      <c r="A1923" s="215"/>
      <c r="B1923" s="114" t="s">
        <v>30</v>
      </c>
      <c r="C1923" s="78">
        <f t="shared" si="400"/>
        <v>3</v>
      </c>
      <c r="D1923" s="78">
        <v>0</v>
      </c>
      <c r="E1923" s="78">
        <v>3</v>
      </c>
      <c r="F1923" s="78">
        <v>0</v>
      </c>
      <c r="G1923" s="78">
        <v>0</v>
      </c>
      <c r="H1923" s="78">
        <v>0</v>
      </c>
      <c r="I1923" s="78">
        <v>0</v>
      </c>
    </row>
    <row r="1924" spans="1:9" s="213" customFormat="1" ht="16.5" customHeight="1">
      <c r="A1924" s="453" t="s">
        <v>761</v>
      </c>
      <c r="B1924" s="312" t="s">
        <v>29</v>
      </c>
      <c r="C1924" s="240">
        <f t="shared" ref="C1924:C1927" si="401">D1924+E1924+F1924+G1924+H1924+I1924</f>
        <v>5</v>
      </c>
      <c r="D1924" s="240">
        <v>0</v>
      </c>
      <c r="E1924" s="240">
        <v>5</v>
      </c>
      <c r="F1924" s="240">
        <v>0</v>
      </c>
      <c r="G1924" s="240">
        <v>0</v>
      </c>
      <c r="H1924" s="240">
        <v>0</v>
      </c>
      <c r="I1924" s="240">
        <v>0</v>
      </c>
    </row>
    <row r="1925" spans="1:9" s="102" customFormat="1">
      <c r="A1925" s="215"/>
      <c r="B1925" s="114" t="s">
        <v>30</v>
      </c>
      <c r="C1925" s="78">
        <f t="shared" si="401"/>
        <v>5</v>
      </c>
      <c r="D1925" s="78">
        <v>0</v>
      </c>
      <c r="E1925" s="78">
        <v>5</v>
      </c>
      <c r="F1925" s="78">
        <v>0</v>
      </c>
      <c r="G1925" s="78">
        <v>0</v>
      </c>
      <c r="H1925" s="78">
        <v>0</v>
      </c>
      <c r="I1925" s="78">
        <v>0</v>
      </c>
    </row>
    <row r="1926" spans="1:9" s="213" customFormat="1" ht="15.75" customHeight="1">
      <c r="A1926" s="453" t="s">
        <v>762</v>
      </c>
      <c r="B1926" s="312" t="s">
        <v>29</v>
      </c>
      <c r="C1926" s="240">
        <f t="shared" si="401"/>
        <v>19</v>
      </c>
      <c r="D1926" s="240">
        <v>0</v>
      </c>
      <c r="E1926" s="240">
        <v>19</v>
      </c>
      <c r="F1926" s="240">
        <v>0</v>
      </c>
      <c r="G1926" s="240">
        <v>0</v>
      </c>
      <c r="H1926" s="240">
        <v>0</v>
      </c>
      <c r="I1926" s="240">
        <v>0</v>
      </c>
    </row>
    <row r="1927" spans="1:9" s="102" customFormat="1">
      <c r="A1927" s="215"/>
      <c r="B1927" s="114" t="s">
        <v>30</v>
      </c>
      <c r="C1927" s="78">
        <f t="shared" si="401"/>
        <v>19</v>
      </c>
      <c r="D1927" s="78">
        <v>0</v>
      </c>
      <c r="E1927" s="78">
        <v>19</v>
      </c>
      <c r="F1927" s="78">
        <v>0</v>
      </c>
      <c r="G1927" s="78">
        <v>0</v>
      </c>
      <c r="H1927" s="78">
        <v>0</v>
      </c>
      <c r="I1927" s="78">
        <v>0</v>
      </c>
    </row>
    <row r="1928" spans="1:9">
      <c r="A1928" s="47" t="s">
        <v>47</v>
      </c>
      <c r="B1928" s="24" t="s">
        <v>29</v>
      </c>
      <c r="C1928" s="52">
        <f t="shared" si="379"/>
        <v>407.69999999999993</v>
      </c>
      <c r="D1928" s="52">
        <f t="shared" ref="D1928:I1933" si="402">D1930</f>
        <v>354.79999999999995</v>
      </c>
      <c r="E1928" s="52">
        <f t="shared" si="402"/>
        <v>0</v>
      </c>
      <c r="F1928" s="52">
        <f t="shared" si="402"/>
        <v>0</v>
      </c>
      <c r="G1928" s="52">
        <f t="shared" si="402"/>
        <v>0</v>
      </c>
      <c r="H1928" s="52">
        <f t="shared" si="402"/>
        <v>0</v>
      </c>
      <c r="I1928" s="52">
        <f t="shared" si="402"/>
        <v>52.9</v>
      </c>
    </row>
    <row r="1929" spans="1:9">
      <c r="A1929" s="12" t="s">
        <v>48</v>
      </c>
      <c r="B1929" s="26" t="s">
        <v>30</v>
      </c>
      <c r="C1929" s="52">
        <f t="shared" si="379"/>
        <v>407.69999999999993</v>
      </c>
      <c r="D1929" s="52">
        <f t="shared" si="402"/>
        <v>354.79999999999995</v>
      </c>
      <c r="E1929" s="52">
        <f t="shared" si="402"/>
        <v>0</v>
      </c>
      <c r="F1929" s="52">
        <f t="shared" si="402"/>
        <v>0</v>
      </c>
      <c r="G1929" s="52">
        <f t="shared" si="402"/>
        <v>0</v>
      </c>
      <c r="H1929" s="52">
        <f t="shared" si="402"/>
        <v>0</v>
      </c>
      <c r="I1929" s="52">
        <f t="shared" si="402"/>
        <v>52.9</v>
      </c>
    </row>
    <row r="1930" spans="1:9" ht="12.95">
      <c r="A1930" s="19" t="s">
        <v>37</v>
      </c>
      <c r="B1930" s="3" t="s">
        <v>29</v>
      </c>
      <c r="C1930" s="52">
        <f t="shared" si="379"/>
        <v>407.69999999999993</v>
      </c>
      <c r="D1930" s="52">
        <f t="shared" si="402"/>
        <v>354.79999999999995</v>
      </c>
      <c r="E1930" s="52">
        <f t="shared" si="402"/>
        <v>0</v>
      </c>
      <c r="F1930" s="52">
        <f t="shared" si="402"/>
        <v>0</v>
      </c>
      <c r="G1930" s="52">
        <f t="shared" si="402"/>
        <v>0</v>
      </c>
      <c r="H1930" s="52">
        <f t="shared" si="402"/>
        <v>0</v>
      </c>
      <c r="I1930" s="52">
        <f t="shared" si="402"/>
        <v>52.9</v>
      </c>
    </row>
    <row r="1931" spans="1:9" ht="12.95">
      <c r="A1931" s="16"/>
      <c r="B1931" s="4" t="s">
        <v>30</v>
      </c>
      <c r="C1931" s="52">
        <f t="shared" si="379"/>
        <v>407.69999999999993</v>
      </c>
      <c r="D1931" s="52">
        <f t="shared" si="402"/>
        <v>354.79999999999995</v>
      </c>
      <c r="E1931" s="52">
        <f t="shared" si="402"/>
        <v>0</v>
      </c>
      <c r="F1931" s="52">
        <f t="shared" si="402"/>
        <v>0</v>
      </c>
      <c r="G1931" s="52">
        <f t="shared" si="402"/>
        <v>0</v>
      </c>
      <c r="H1931" s="52">
        <f t="shared" si="402"/>
        <v>0</v>
      </c>
      <c r="I1931" s="52">
        <f t="shared" si="402"/>
        <v>52.9</v>
      </c>
    </row>
    <row r="1932" spans="1:9">
      <c r="A1932" s="28" t="s">
        <v>50</v>
      </c>
      <c r="B1932" s="24" t="s">
        <v>29</v>
      </c>
      <c r="C1932" s="52">
        <f t="shared" si="379"/>
        <v>407.69999999999993</v>
      </c>
      <c r="D1932" s="52">
        <f t="shared" si="402"/>
        <v>354.79999999999995</v>
      </c>
      <c r="E1932" s="64">
        <f t="shared" si="402"/>
        <v>0</v>
      </c>
      <c r="F1932" s="52">
        <f t="shared" si="402"/>
        <v>0</v>
      </c>
      <c r="G1932" s="52">
        <f t="shared" si="402"/>
        <v>0</v>
      </c>
      <c r="H1932" s="52">
        <f t="shared" si="402"/>
        <v>0</v>
      </c>
      <c r="I1932" s="52">
        <f t="shared" si="402"/>
        <v>52.9</v>
      </c>
    </row>
    <row r="1933" spans="1:9">
      <c r="A1933" s="12"/>
      <c r="B1933" s="26" t="s">
        <v>30</v>
      </c>
      <c r="C1933" s="52">
        <f t="shared" si="379"/>
        <v>407.69999999999993</v>
      </c>
      <c r="D1933" s="52">
        <f t="shared" si="402"/>
        <v>354.79999999999995</v>
      </c>
      <c r="E1933" s="64">
        <f t="shared" si="402"/>
        <v>0</v>
      </c>
      <c r="F1933" s="52">
        <f t="shared" si="402"/>
        <v>0</v>
      </c>
      <c r="G1933" s="52">
        <f t="shared" si="402"/>
        <v>0</v>
      </c>
      <c r="H1933" s="52">
        <f t="shared" si="402"/>
        <v>0</v>
      </c>
      <c r="I1933" s="52">
        <f t="shared" si="402"/>
        <v>52.9</v>
      </c>
    </row>
    <row r="1934" spans="1:9" s="95" customFormat="1">
      <c r="A1934" s="96" t="s">
        <v>42</v>
      </c>
      <c r="B1934" s="129" t="s">
        <v>29</v>
      </c>
      <c r="C1934" s="130">
        <f t="shared" si="379"/>
        <v>407.69999999999993</v>
      </c>
      <c r="D1934" s="130">
        <f>D1936+D1950+D1958</f>
        <v>354.79999999999995</v>
      </c>
      <c r="E1934" s="130">
        <f t="shared" ref="E1934:I1935" si="403">E1936+E1950+E1958</f>
        <v>0</v>
      </c>
      <c r="F1934" s="130">
        <f t="shared" si="403"/>
        <v>0</v>
      </c>
      <c r="G1934" s="130">
        <f t="shared" si="403"/>
        <v>0</v>
      </c>
      <c r="H1934" s="130">
        <f t="shared" si="403"/>
        <v>0</v>
      </c>
      <c r="I1934" s="130">
        <f t="shared" si="403"/>
        <v>52.9</v>
      </c>
    </row>
    <row r="1935" spans="1:9" s="95" customFormat="1">
      <c r="A1935" s="131"/>
      <c r="B1935" s="132" t="s">
        <v>30</v>
      </c>
      <c r="C1935" s="130">
        <f t="shared" si="379"/>
        <v>407.69999999999993</v>
      </c>
      <c r="D1935" s="130">
        <f>D1937+D1951+D1959</f>
        <v>354.79999999999995</v>
      </c>
      <c r="E1935" s="130">
        <f t="shared" si="403"/>
        <v>0</v>
      </c>
      <c r="F1935" s="130">
        <f t="shared" si="403"/>
        <v>0</v>
      </c>
      <c r="G1935" s="130">
        <f t="shared" si="403"/>
        <v>0</v>
      </c>
      <c r="H1935" s="130">
        <f t="shared" si="403"/>
        <v>0</v>
      </c>
      <c r="I1935" s="130">
        <f t="shared" si="403"/>
        <v>52.9</v>
      </c>
    </row>
    <row r="1936" spans="1:9" s="126" customFormat="1">
      <c r="A1936" s="147" t="s">
        <v>579</v>
      </c>
      <c r="B1936" s="142" t="s">
        <v>29</v>
      </c>
      <c r="C1936" s="125">
        <f t="shared" si="379"/>
        <v>186.1</v>
      </c>
      <c r="D1936" s="125">
        <f>D1938+D1940+D1942+D1944+D1946+D1948</f>
        <v>133.19999999999999</v>
      </c>
      <c r="E1936" s="125">
        <f t="shared" ref="E1936:I1937" si="404">E1938+E1940+E1942+E1944+E1946+E1948</f>
        <v>0</v>
      </c>
      <c r="F1936" s="125">
        <f t="shared" si="404"/>
        <v>0</v>
      </c>
      <c r="G1936" s="125">
        <f t="shared" si="404"/>
        <v>0</v>
      </c>
      <c r="H1936" s="125">
        <f t="shared" si="404"/>
        <v>0</v>
      </c>
      <c r="I1936" s="125">
        <f t="shared" si="404"/>
        <v>52.9</v>
      </c>
    </row>
    <row r="1937" spans="1:10" s="126" customFormat="1">
      <c r="A1937" s="143"/>
      <c r="B1937" s="127" t="s">
        <v>30</v>
      </c>
      <c r="C1937" s="125">
        <f t="shared" si="379"/>
        <v>186.1</v>
      </c>
      <c r="D1937" s="125">
        <f>D1939+D1941+D1943+D1945+D1947+D1949</f>
        <v>133.19999999999999</v>
      </c>
      <c r="E1937" s="125">
        <f t="shared" si="404"/>
        <v>0</v>
      </c>
      <c r="F1937" s="125">
        <f t="shared" si="404"/>
        <v>0</v>
      </c>
      <c r="G1937" s="125">
        <f t="shared" si="404"/>
        <v>0</v>
      </c>
      <c r="H1937" s="125">
        <f t="shared" si="404"/>
        <v>0</v>
      </c>
      <c r="I1937" s="125">
        <f t="shared" si="404"/>
        <v>52.9</v>
      </c>
    </row>
    <row r="1938" spans="1:10" s="102" customFormat="1" ht="24.95">
      <c r="A1938" s="280" t="s">
        <v>763</v>
      </c>
      <c r="B1938" s="112" t="s">
        <v>29</v>
      </c>
      <c r="C1938" s="78">
        <f t="shared" si="379"/>
        <v>40</v>
      </c>
      <c r="D1938" s="78">
        <f>D1939</f>
        <v>9.1</v>
      </c>
      <c r="E1938" s="78">
        <f>28-28</f>
        <v>0</v>
      </c>
      <c r="F1938" s="78">
        <v>0</v>
      </c>
      <c r="G1938" s="78">
        <v>0</v>
      </c>
      <c r="H1938" s="78">
        <v>0</v>
      </c>
      <c r="I1938" s="78">
        <f>2.9+28</f>
        <v>30.9</v>
      </c>
    </row>
    <row r="1939" spans="1:10" s="102" customFormat="1" ht="12.95">
      <c r="A1939" s="113"/>
      <c r="B1939" s="114" t="s">
        <v>30</v>
      </c>
      <c r="C1939" s="78">
        <f t="shared" si="379"/>
        <v>40</v>
      </c>
      <c r="D1939" s="78">
        <v>9.1</v>
      </c>
      <c r="E1939" s="78">
        <f>28-28</f>
        <v>0</v>
      </c>
      <c r="F1939" s="78">
        <v>0</v>
      </c>
      <c r="G1939" s="78">
        <v>0</v>
      </c>
      <c r="H1939" s="78">
        <v>0</v>
      </c>
      <c r="I1939" s="78">
        <f>2.9+28</f>
        <v>30.9</v>
      </c>
    </row>
    <row r="1940" spans="1:10" s="20" customFormat="1">
      <c r="A1940" s="13" t="s">
        <v>764</v>
      </c>
      <c r="B1940" s="222" t="s">
        <v>29</v>
      </c>
      <c r="C1940" s="64">
        <f t="shared" ref="C1940:C1963" si="405">D1940+E1940+F1940+G1940+H1940+I1940</f>
        <v>60</v>
      </c>
      <c r="D1940" s="64">
        <v>38</v>
      </c>
      <c r="E1940" s="64">
        <v>0</v>
      </c>
      <c r="F1940" s="64">
        <v>0</v>
      </c>
      <c r="G1940" s="64">
        <v>0</v>
      </c>
      <c r="H1940" s="64">
        <v>0</v>
      </c>
      <c r="I1940" s="64">
        <f>60-38</f>
        <v>22</v>
      </c>
      <c r="J1940" s="213"/>
    </row>
    <row r="1941" spans="1:10" s="20" customFormat="1">
      <c r="A1941" s="12"/>
      <c r="B1941" s="223" t="s">
        <v>30</v>
      </c>
      <c r="C1941" s="64">
        <f t="shared" si="405"/>
        <v>60</v>
      </c>
      <c r="D1941" s="64">
        <v>38</v>
      </c>
      <c r="E1941" s="64">
        <v>0</v>
      </c>
      <c r="F1941" s="64">
        <v>0</v>
      </c>
      <c r="G1941" s="64">
        <v>0</v>
      </c>
      <c r="H1941" s="64">
        <v>0</v>
      </c>
      <c r="I1941" s="64">
        <f>60-38</f>
        <v>22</v>
      </c>
      <c r="J1941" s="213"/>
    </row>
    <row r="1942" spans="1:10" s="209" customFormat="1">
      <c r="A1942" s="514" t="s">
        <v>765</v>
      </c>
      <c r="B1942" s="222" t="s">
        <v>29</v>
      </c>
      <c r="C1942" s="64">
        <f t="shared" si="405"/>
        <v>14.8</v>
      </c>
      <c r="D1942" s="64">
        <v>14.8</v>
      </c>
      <c r="E1942" s="64">
        <v>0</v>
      </c>
      <c r="F1942" s="64">
        <v>0</v>
      </c>
      <c r="G1942" s="64">
        <v>0</v>
      </c>
      <c r="H1942" s="64">
        <v>0</v>
      </c>
      <c r="I1942" s="64">
        <v>0</v>
      </c>
      <c r="J1942" s="212"/>
    </row>
    <row r="1943" spans="1:10" s="20" customFormat="1">
      <c r="A1943" s="12"/>
      <c r="B1943" s="223" t="s">
        <v>30</v>
      </c>
      <c r="C1943" s="64">
        <f t="shared" si="405"/>
        <v>14.8</v>
      </c>
      <c r="D1943" s="64">
        <v>14.8</v>
      </c>
      <c r="E1943" s="64">
        <v>0</v>
      </c>
      <c r="F1943" s="64">
        <v>0</v>
      </c>
      <c r="G1943" s="64">
        <v>0</v>
      </c>
      <c r="H1943" s="64">
        <v>0</v>
      </c>
      <c r="I1943" s="64">
        <v>0</v>
      </c>
      <c r="J1943" s="213"/>
    </row>
    <row r="1944" spans="1:10" s="213" customFormat="1" ht="24.95">
      <c r="A1944" s="473" t="s">
        <v>766</v>
      </c>
      <c r="B1944" s="312" t="s">
        <v>29</v>
      </c>
      <c r="C1944" s="240">
        <f t="shared" si="405"/>
        <v>4.8</v>
      </c>
      <c r="D1944" s="240">
        <v>4.8</v>
      </c>
      <c r="E1944" s="240">
        <v>0</v>
      </c>
      <c r="F1944" s="240">
        <v>0</v>
      </c>
      <c r="G1944" s="240">
        <v>0</v>
      </c>
      <c r="H1944" s="240">
        <v>0</v>
      </c>
      <c r="I1944" s="240">
        <v>0</v>
      </c>
      <c r="J1944" s="212" t="s">
        <v>767</v>
      </c>
    </row>
    <row r="1945" spans="1:10" s="213" customFormat="1">
      <c r="A1945" s="215"/>
      <c r="B1945" s="373" t="s">
        <v>30</v>
      </c>
      <c r="C1945" s="240">
        <f t="shared" si="405"/>
        <v>4.8</v>
      </c>
      <c r="D1945" s="240">
        <v>4.8</v>
      </c>
      <c r="E1945" s="240">
        <v>0</v>
      </c>
      <c r="F1945" s="240">
        <v>0</v>
      </c>
      <c r="G1945" s="240">
        <v>0</v>
      </c>
      <c r="H1945" s="240">
        <v>0</v>
      </c>
      <c r="I1945" s="240">
        <v>0</v>
      </c>
    </row>
    <row r="1946" spans="1:10" s="213" customFormat="1" ht="24.95">
      <c r="A1946" s="505" t="s">
        <v>768</v>
      </c>
      <c r="B1946" s="312" t="s">
        <v>29</v>
      </c>
      <c r="C1946" s="240">
        <f t="shared" si="405"/>
        <v>45.5</v>
      </c>
      <c r="D1946" s="240">
        <v>45.5</v>
      </c>
      <c r="E1946" s="240">
        <v>0</v>
      </c>
      <c r="F1946" s="240">
        <v>0</v>
      </c>
      <c r="G1946" s="240">
        <v>0</v>
      </c>
      <c r="H1946" s="240">
        <v>0</v>
      </c>
      <c r="I1946" s="240">
        <v>0</v>
      </c>
    </row>
    <row r="1947" spans="1:10" s="20" customFormat="1">
      <c r="A1947" s="12"/>
      <c r="B1947" s="223" t="s">
        <v>30</v>
      </c>
      <c r="C1947" s="64">
        <f t="shared" si="405"/>
        <v>45.5</v>
      </c>
      <c r="D1947" s="64">
        <v>45.5</v>
      </c>
      <c r="E1947" s="64">
        <v>0</v>
      </c>
      <c r="F1947" s="64">
        <v>0</v>
      </c>
      <c r="G1947" s="64">
        <v>0</v>
      </c>
      <c r="H1947" s="64">
        <v>0</v>
      </c>
      <c r="I1947" s="64">
        <v>0</v>
      </c>
      <c r="J1947" s="213"/>
    </row>
    <row r="1948" spans="1:10" s="212" customFormat="1" ht="37.35">
      <c r="A1948" s="514" t="s">
        <v>769</v>
      </c>
      <c r="B1948" s="312" t="s">
        <v>29</v>
      </c>
      <c r="C1948" s="240">
        <f t="shared" si="405"/>
        <v>21</v>
      </c>
      <c r="D1948" s="240">
        <v>21</v>
      </c>
      <c r="E1948" s="240">
        <v>0</v>
      </c>
      <c r="F1948" s="240">
        <v>0</v>
      </c>
      <c r="G1948" s="240">
        <v>0</v>
      </c>
      <c r="H1948" s="240">
        <v>0</v>
      </c>
      <c r="I1948" s="240">
        <v>0</v>
      </c>
    </row>
    <row r="1949" spans="1:10" s="20" customFormat="1">
      <c r="A1949" s="12"/>
      <c r="B1949" s="223" t="s">
        <v>30</v>
      </c>
      <c r="C1949" s="64">
        <f t="shared" si="405"/>
        <v>21</v>
      </c>
      <c r="D1949" s="64">
        <v>21</v>
      </c>
      <c r="E1949" s="64">
        <v>0</v>
      </c>
      <c r="F1949" s="64">
        <v>0</v>
      </c>
      <c r="G1949" s="64">
        <v>0</v>
      </c>
      <c r="H1949" s="64">
        <v>0</v>
      </c>
      <c r="I1949" s="64">
        <v>0</v>
      </c>
      <c r="J1949" s="213"/>
    </row>
    <row r="1950" spans="1:10" s="126" customFormat="1">
      <c r="A1950" s="147" t="s">
        <v>581</v>
      </c>
      <c r="B1950" s="142" t="s">
        <v>29</v>
      </c>
      <c r="C1950" s="125">
        <f t="shared" si="405"/>
        <v>146</v>
      </c>
      <c r="D1950" s="125">
        <f>D1952+D1954+D1956</f>
        <v>146</v>
      </c>
      <c r="E1950" s="125">
        <f t="shared" ref="E1950:I1951" si="406">E1952+E1954+E1956</f>
        <v>0</v>
      </c>
      <c r="F1950" s="125">
        <f t="shared" si="406"/>
        <v>0</v>
      </c>
      <c r="G1950" s="125">
        <f t="shared" si="406"/>
        <v>0</v>
      </c>
      <c r="H1950" s="125">
        <f t="shared" si="406"/>
        <v>0</v>
      </c>
      <c r="I1950" s="125">
        <f t="shared" si="406"/>
        <v>0</v>
      </c>
    </row>
    <row r="1951" spans="1:10" s="126" customFormat="1">
      <c r="A1951" s="143"/>
      <c r="B1951" s="127" t="s">
        <v>30</v>
      </c>
      <c r="C1951" s="125">
        <f t="shared" si="405"/>
        <v>146</v>
      </c>
      <c r="D1951" s="125">
        <f>D1953+D1955+D1957</f>
        <v>146</v>
      </c>
      <c r="E1951" s="125">
        <f t="shared" si="406"/>
        <v>0</v>
      </c>
      <c r="F1951" s="125">
        <f t="shared" si="406"/>
        <v>0</v>
      </c>
      <c r="G1951" s="125">
        <f t="shared" si="406"/>
        <v>0</v>
      </c>
      <c r="H1951" s="125">
        <f t="shared" si="406"/>
        <v>0</v>
      </c>
      <c r="I1951" s="125">
        <f t="shared" si="406"/>
        <v>0</v>
      </c>
    </row>
    <row r="1952" spans="1:10" s="213" customFormat="1" ht="24.95">
      <c r="A1952" s="339" t="s">
        <v>770</v>
      </c>
      <c r="B1952" s="312" t="s">
        <v>29</v>
      </c>
      <c r="C1952" s="240">
        <f t="shared" si="405"/>
        <v>8</v>
      </c>
      <c r="D1952" s="240">
        <v>8</v>
      </c>
      <c r="E1952" s="240">
        <v>0</v>
      </c>
      <c r="F1952" s="240">
        <v>0</v>
      </c>
      <c r="G1952" s="240">
        <v>0</v>
      </c>
      <c r="H1952" s="240">
        <v>0</v>
      </c>
      <c r="I1952" s="240">
        <v>0</v>
      </c>
    </row>
    <row r="1953" spans="1:9" s="102" customFormat="1" ht="12.95">
      <c r="A1953" s="113"/>
      <c r="B1953" s="114" t="s">
        <v>30</v>
      </c>
      <c r="C1953" s="78">
        <f t="shared" si="405"/>
        <v>8</v>
      </c>
      <c r="D1953" s="78">
        <v>8</v>
      </c>
      <c r="E1953" s="78">
        <v>0</v>
      </c>
      <c r="F1953" s="78">
        <v>0</v>
      </c>
      <c r="G1953" s="78">
        <v>0</v>
      </c>
      <c r="H1953" s="78">
        <v>0</v>
      </c>
      <c r="I1953" s="78">
        <v>0</v>
      </c>
    </row>
    <row r="1954" spans="1:9" s="206" customFormat="1" ht="24.95">
      <c r="A1954" s="268" t="s">
        <v>771</v>
      </c>
      <c r="B1954" s="112" t="s">
        <v>29</v>
      </c>
      <c r="C1954" s="78">
        <f t="shared" si="405"/>
        <v>54</v>
      </c>
      <c r="D1954" s="78">
        <v>54</v>
      </c>
      <c r="E1954" s="78">
        <v>0</v>
      </c>
      <c r="F1954" s="78">
        <v>0</v>
      </c>
      <c r="G1954" s="78">
        <v>0</v>
      </c>
      <c r="H1954" s="78">
        <v>0</v>
      </c>
      <c r="I1954" s="78">
        <v>0</v>
      </c>
    </row>
    <row r="1955" spans="1:9" s="206" customFormat="1" ht="12.95">
      <c r="A1955" s="113"/>
      <c r="B1955" s="114" t="s">
        <v>30</v>
      </c>
      <c r="C1955" s="78">
        <f t="shared" si="405"/>
        <v>54</v>
      </c>
      <c r="D1955" s="78">
        <v>54</v>
      </c>
      <c r="E1955" s="78">
        <v>0</v>
      </c>
      <c r="F1955" s="78">
        <v>0</v>
      </c>
      <c r="G1955" s="78">
        <v>0</v>
      </c>
      <c r="H1955" s="78">
        <v>0</v>
      </c>
      <c r="I1955" s="78">
        <v>0</v>
      </c>
    </row>
    <row r="1956" spans="1:9" s="206" customFormat="1" ht="15" customHeight="1">
      <c r="A1956" s="282" t="s">
        <v>772</v>
      </c>
      <c r="B1956" s="112" t="s">
        <v>29</v>
      </c>
      <c r="C1956" s="78">
        <f t="shared" si="405"/>
        <v>84</v>
      </c>
      <c r="D1956" s="78">
        <v>84</v>
      </c>
      <c r="E1956" s="78">
        <v>0</v>
      </c>
      <c r="F1956" s="78">
        <v>0</v>
      </c>
      <c r="G1956" s="78">
        <v>0</v>
      </c>
      <c r="H1956" s="78">
        <v>0</v>
      </c>
      <c r="I1956" s="78">
        <v>0</v>
      </c>
    </row>
    <row r="1957" spans="1:9" s="206" customFormat="1" ht="12.95">
      <c r="A1957" s="113"/>
      <c r="B1957" s="114" t="s">
        <v>30</v>
      </c>
      <c r="C1957" s="78">
        <f t="shared" si="405"/>
        <v>84</v>
      </c>
      <c r="D1957" s="78">
        <v>84</v>
      </c>
      <c r="E1957" s="78">
        <v>0</v>
      </c>
      <c r="F1957" s="78">
        <v>0</v>
      </c>
      <c r="G1957" s="78">
        <v>0</v>
      </c>
      <c r="H1957" s="78">
        <v>0</v>
      </c>
      <c r="I1957" s="78">
        <v>0</v>
      </c>
    </row>
    <row r="1958" spans="1:9" s="126" customFormat="1">
      <c r="A1958" s="147" t="s">
        <v>773</v>
      </c>
      <c r="B1958" s="142" t="s">
        <v>29</v>
      </c>
      <c r="C1958" s="125">
        <f t="shared" si="405"/>
        <v>75.599999999999994</v>
      </c>
      <c r="D1958" s="125">
        <f>D1960+D1962</f>
        <v>75.599999999999994</v>
      </c>
      <c r="E1958" s="125">
        <f t="shared" ref="E1958:I1959" si="407">E1960+E1962</f>
        <v>0</v>
      </c>
      <c r="F1958" s="125">
        <f t="shared" si="407"/>
        <v>0</v>
      </c>
      <c r="G1958" s="125">
        <f t="shared" si="407"/>
        <v>0</v>
      </c>
      <c r="H1958" s="125">
        <f t="shared" si="407"/>
        <v>0</v>
      </c>
      <c r="I1958" s="125">
        <f t="shared" si="407"/>
        <v>0</v>
      </c>
    </row>
    <row r="1959" spans="1:9" s="126" customFormat="1">
      <c r="A1959" s="143"/>
      <c r="B1959" s="127" t="s">
        <v>30</v>
      </c>
      <c r="C1959" s="125">
        <f t="shared" si="405"/>
        <v>75.599999999999994</v>
      </c>
      <c r="D1959" s="125">
        <f>D1961+D1963</f>
        <v>75.599999999999994</v>
      </c>
      <c r="E1959" s="125">
        <f t="shared" si="407"/>
        <v>0</v>
      </c>
      <c r="F1959" s="125">
        <f t="shared" si="407"/>
        <v>0</v>
      </c>
      <c r="G1959" s="125">
        <f t="shared" si="407"/>
        <v>0</v>
      </c>
      <c r="H1959" s="125">
        <f t="shared" si="407"/>
        <v>0</v>
      </c>
      <c r="I1959" s="125">
        <f t="shared" si="407"/>
        <v>0</v>
      </c>
    </row>
    <row r="1960" spans="1:9" s="212" customFormat="1" ht="14.1">
      <c r="A1960" s="322" t="s">
        <v>774</v>
      </c>
      <c r="B1960" s="312" t="s">
        <v>29</v>
      </c>
      <c r="C1960" s="240">
        <f t="shared" si="405"/>
        <v>40</v>
      </c>
      <c r="D1960" s="240">
        <v>40</v>
      </c>
      <c r="E1960" s="240">
        <v>0</v>
      </c>
      <c r="F1960" s="240">
        <v>0</v>
      </c>
      <c r="G1960" s="240">
        <v>0</v>
      </c>
      <c r="H1960" s="240">
        <v>0</v>
      </c>
      <c r="I1960" s="240">
        <v>0</v>
      </c>
    </row>
    <row r="1961" spans="1:9" s="102" customFormat="1" ht="12.95">
      <c r="A1961" s="113"/>
      <c r="B1961" s="114" t="s">
        <v>30</v>
      </c>
      <c r="C1961" s="78">
        <f t="shared" si="405"/>
        <v>40</v>
      </c>
      <c r="D1961" s="78">
        <v>40</v>
      </c>
      <c r="E1961" s="78">
        <v>0</v>
      </c>
      <c r="F1961" s="78">
        <v>0</v>
      </c>
      <c r="G1961" s="78">
        <v>0</v>
      </c>
      <c r="H1961" s="78">
        <v>0</v>
      </c>
      <c r="I1961" s="78">
        <v>0</v>
      </c>
    </row>
    <row r="1962" spans="1:9" s="212" customFormat="1" ht="58.5" customHeight="1">
      <c r="A1962" s="374" t="s">
        <v>775</v>
      </c>
      <c r="B1962" s="312" t="s">
        <v>29</v>
      </c>
      <c r="C1962" s="240">
        <f t="shared" si="405"/>
        <v>35.6</v>
      </c>
      <c r="D1962" s="240">
        <v>35.6</v>
      </c>
      <c r="E1962" s="240">
        <v>0</v>
      </c>
      <c r="F1962" s="240">
        <v>0</v>
      </c>
      <c r="G1962" s="240">
        <v>0</v>
      </c>
      <c r="H1962" s="240">
        <v>0</v>
      </c>
      <c r="I1962" s="240">
        <v>0</v>
      </c>
    </row>
    <row r="1963" spans="1:9" s="102" customFormat="1" ht="12.95">
      <c r="A1963" s="113"/>
      <c r="B1963" s="114" t="s">
        <v>30</v>
      </c>
      <c r="C1963" s="78">
        <f t="shared" si="405"/>
        <v>35.6</v>
      </c>
      <c r="D1963" s="78">
        <v>35.6</v>
      </c>
      <c r="E1963" s="78">
        <v>0</v>
      </c>
      <c r="F1963" s="78">
        <v>0</v>
      </c>
      <c r="G1963" s="78">
        <v>0</v>
      </c>
      <c r="H1963" s="78">
        <v>0</v>
      </c>
      <c r="I1963" s="78">
        <v>0</v>
      </c>
    </row>
    <row r="1964" spans="1:9">
      <c r="A1964" s="643" t="s">
        <v>128</v>
      </c>
      <c r="B1964" s="644"/>
      <c r="C1964" s="645"/>
      <c r="D1964" s="645"/>
      <c r="E1964" s="645"/>
      <c r="F1964" s="645"/>
      <c r="G1964" s="645"/>
      <c r="H1964" s="645"/>
      <c r="I1964" s="646"/>
    </row>
    <row r="1965" spans="1:9">
      <c r="A1965" s="31" t="s">
        <v>54</v>
      </c>
      <c r="B1965" s="97" t="s">
        <v>29</v>
      </c>
      <c r="C1965" s="130">
        <f t="shared" ref="C1965:C2010" si="408">D1965+E1965+F1965+G1965+H1965+I1965</f>
        <v>11043.49</v>
      </c>
      <c r="D1965" s="130">
        <f t="shared" ref="D1965:I1978" si="409">D1967</f>
        <v>5871.51</v>
      </c>
      <c r="E1965" s="130">
        <f t="shared" si="409"/>
        <v>4165</v>
      </c>
      <c r="F1965" s="130">
        <f t="shared" si="409"/>
        <v>0</v>
      </c>
      <c r="G1965" s="130">
        <f t="shared" si="409"/>
        <v>0</v>
      </c>
      <c r="H1965" s="130">
        <f t="shared" si="409"/>
        <v>0</v>
      </c>
      <c r="I1965" s="130">
        <f t="shared" si="409"/>
        <v>1006.98</v>
      </c>
    </row>
    <row r="1966" spans="1:9">
      <c r="A1966" s="21" t="s">
        <v>87</v>
      </c>
      <c r="B1966" s="132" t="s">
        <v>30</v>
      </c>
      <c r="C1966" s="130">
        <f t="shared" si="408"/>
        <v>11043.49</v>
      </c>
      <c r="D1966" s="130">
        <f t="shared" si="409"/>
        <v>5871.51</v>
      </c>
      <c r="E1966" s="130">
        <f t="shared" si="409"/>
        <v>4165</v>
      </c>
      <c r="F1966" s="130">
        <f t="shared" si="409"/>
        <v>0</v>
      </c>
      <c r="G1966" s="130">
        <f t="shared" si="409"/>
        <v>0</v>
      </c>
      <c r="H1966" s="130">
        <f t="shared" si="409"/>
        <v>0</v>
      </c>
      <c r="I1966" s="130">
        <f t="shared" si="409"/>
        <v>1006.98</v>
      </c>
    </row>
    <row r="1967" spans="1:9">
      <c r="A1967" s="47" t="s">
        <v>60</v>
      </c>
      <c r="B1967" s="24" t="s">
        <v>29</v>
      </c>
      <c r="C1967" s="52">
        <f t="shared" si="408"/>
        <v>11043.49</v>
      </c>
      <c r="D1967" s="52">
        <f t="shared" ref="D1967:I1968" si="410">D1969+D1973</f>
        <v>5871.51</v>
      </c>
      <c r="E1967" s="52">
        <f t="shared" si="410"/>
        <v>4165</v>
      </c>
      <c r="F1967" s="52">
        <f t="shared" si="410"/>
        <v>0</v>
      </c>
      <c r="G1967" s="52">
        <f t="shared" si="410"/>
        <v>0</v>
      </c>
      <c r="H1967" s="52">
        <f t="shared" si="410"/>
        <v>0</v>
      </c>
      <c r="I1967" s="52">
        <f t="shared" si="410"/>
        <v>1006.98</v>
      </c>
    </row>
    <row r="1968" spans="1:9">
      <c r="A1968" s="12" t="s">
        <v>48</v>
      </c>
      <c r="B1968" s="26" t="s">
        <v>30</v>
      </c>
      <c r="C1968" s="52">
        <f t="shared" si="408"/>
        <v>11043.49</v>
      </c>
      <c r="D1968" s="52">
        <f t="shared" si="410"/>
        <v>5871.51</v>
      </c>
      <c r="E1968" s="52">
        <f t="shared" si="410"/>
        <v>4165</v>
      </c>
      <c r="F1968" s="52">
        <f t="shared" si="410"/>
        <v>0</v>
      </c>
      <c r="G1968" s="52">
        <f t="shared" si="410"/>
        <v>0</v>
      </c>
      <c r="H1968" s="52">
        <f t="shared" si="410"/>
        <v>0</v>
      </c>
      <c r="I1968" s="52">
        <f t="shared" si="410"/>
        <v>1006.98</v>
      </c>
    </row>
    <row r="1969" spans="1:13" ht="25.7">
      <c r="A1969" s="181" t="s">
        <v>103</v>
      </c>
      <c r="B1969" s="63" t="s">
        <v>29</v>
      </c>
      <c r="C1969" s="52">
        <f>D1969+E1969+F1969+G1969+H1969+I1969</f>
        <v>2509</v>
      </c>
      <c r="D1969" s="52">
        <f>D1971</f>
        <v>2509</v>
      </c>
      <c r="E1969" s="52">
        <f t="shared" ref="E1969:I1970" si="411">E1971</f>
        <v>0</v>
      </c>
      <c r="F1969" s="52">
        <f t="shared" si="411"/>
        <v>0</v>
      </c>
      <c r="G1969" s="52">
        <f t="shared" si="411"/>
        <v>0</v>
      </c>
      <c r="H1969" s="52">
        <f t="shared" si="411"/>
        <v>0</v>
      </c>
      <c r="I1969" s="52">
        <f t="shared" si="411"/>
        <v>0</v>
      </c>
    </row>
    <row r="1970" spans="1:13" ht="12.95">
      <c r="A1970" s="16"/>
      <c r="B1970" s="62" t="s">
        <v>30</v>
      </c>
      <c r="C1970" s="52">
        <f>D1970+E1970+F1970+G1970+H1970+I1970</f>
        <v>2509</v>
      </c>
      <c r="D1970" s="52">
        <f>D1972</f>
        <v>2509</v>
      </c>
      <c r="E1970" s="52">
        <f t="shared" si="411"/>
        <v>0</v>
      </c>
      <c r="F1970" s="52">
        <f t="shared" si="411"/>
        <v>0</v>
      </c>
      <c r="G1970" s="52">
        <f t="shared" si="411"/>
        <v>0</v>
      </c>
      <c r="H1970" s="52">
        <f t="shared" si="411"/>
        <v>0</v>
      </c>
      <c r="I1970" s="52">
        <f t="shared" si="411"/>
        <v>0</v>
      </c>
    </row>
    <row r="1971" spans="1:13" s="213" customFormat="1" ht="94.5" customHeight="1">
      <c r="A1971" s="360" t="s">
        <v>776</v>
      </c>
      <c r="B1971" s="224" t="s">
        <v>29</v>
      </c>
      <c r="C1971" s="240">
        <f t="shared" ref="C1971:C1972" si="412">D1971+E1971+F1971+G1971+H1971+I1971</f>
        <v>2509</v>
      </c>
      <c r="D1971" s="240">
        <v>2509</v>
      </c>
      <c r="E1971" s="287">
        <v>0</v>
      </c>
      <c r="F1971" s="240">
        <v>0</v>
      </c>
      <c r="G1971" s="240">
        <v>0</v>
      </c>
      <c r="H1971" s="240">
        <v>0</v>
      </c>
      <c r="I1971" s="240">
        <v>0</v>
      </c>
      <c r="J1971" s="647" t="s">
        <v>777</v>
      </c>
      <c r="K1971" s="648"/>
      <c r="L1971" s="648"/>
      <c r="M1971" s="648"/>
    </row>
    <row r="1972" spans="1:13" s="212" customFormat="1">
      <c r="A1972" s="288"/>
      <c r="B1972" s="226" t="s">
        <v>30</v>
      </c>
      <c r="C1972" s="240">
        <f t="shared" si="412"/>
        <v>2509</v>
      </c>
      <c r="D1972" s="240">
        <v>2509</v>
      </c>
      <c r="E1972" s="287">
        <v>0</v>
      </c>
      <c r="F1972" s="240">
        <v>0</v>
      </c>
      <c r="G1972" s="240">
        <v>0</v>
      </c>
      <c r="H1972" s="240">
        <v>0</v>
      </c>
      <c r="I1972" s="240">
        <v>0</v>
      </c>
      <c r="J1972" s="649"/>
      <c r="K1972" s="648"/>
      <c r="L1972" s="648"/>
      <c r="M1972" s="648"/>
    </row>
    <row r="1973" spans="1:13" ht="12.95">
      <c r="A1973" s="19" t="s">
        <v>37</v>
      </c>
      <c r="B1973" s="3" t="s">
        <v>29</v>
      </c>
      <c r="C1973" s="52">
        <f t="shared" si="408"/>
        <v>8534.49</v>
      </c>
      <c r="D1973" s="52">
        <f t="shared" si="409"/>
        <v>3362.5099999999998</v>
      </c>
      <c r="E1973" s="52">
        <f t="shared" si="409"/>
        <v>4165</v>
      </c>
      <c r="F1973" s="52">
        <f t="shared" si="409"/>
        <v>0</v>
      </c>
      <c r="G1973" s="52">
        <f t="shared" si="409"/>
        <v>0</v>
      </c>
      <c r="H1973" s="52">
        <f t="shared" si="409"/>
        <v>0</v>
      </c>
      <c r="I1973" s="52">
        <f t="shared" si="409"/>
        <v>1006.98</v>
      </c>
    </row>
    <row r="1974" spans="1:13" ht="12.95">
      <c r="A1974" s="16"/>
      <c r="B1974" s="4" t="s">
        <v>30</v>
      </c>
      <c r="C1974" s="52">
        <f t="shared" si="408"/>
        <v>8534.49</v>
      </c>
      <c r="D1974" s="52">
        <f t="shared" si="409"/>
        <v>3362.5099999999998</v>
      </c>
      <c r="E1974" s="52">
        <f t="shared" si="409"/>
        <v>4165</v>
      </c>
      <c r="F1974" s="52">
        <f t="shared" si="409"/>
        <v>0</v>
      </c>
      <c r="G1974" s="52">
        <f t="shared" si="409"/>
        <v>0</v>
      </c>
      <c r="H1974" s="52">
        <f t="shared" si="409"/>
        <v>0</v>
      </c>
      <c r="I1974" s="52">
        <f t="shared" si="409"/>
        <v>1006.98</v>
      </c>
    </row>
    <row r="1975" spans="1:13">
      <c r="A1975" s="28" t="s">
        <v>50</v>
      </c>
      <c r="B1975" s="24" t="s">
        <v>29</v>
      </c>
      <c r="C1975" s="52">
        <f t="shared" si="408"/>
        <v>8534.49</v>
      </c>
      <c r="D1975" s="52">
        <f t="shared" si="409"/>
        <v>3362.5099999999998</v>
      </c>
      <c r="E1975" s="64">
        <f t="shared" si="409"/>
        <v>4165</v>
      </c>
      <c r="F1975" s="52">
        <f t="shared" si="409"/>
        <v>0</v>
      </c>
      <c r="G1975" s="52">
        <f t="shared" si="409"/>
        <v>0</v>
      </c>
      <c r="H1975" s="52">
        <f t="shared" si="409"/>
        <v>0</v>
      </c>
      <c r="I1975" s="52">
        <f t="shared" si="409"/>
        <v>1006.98</v>
      </c>
    </row>
    <row r="1976" spans="1:13">
      <c r="A1976" s="12"/>
      <c r="B1976" s="26" t="s">
        <v>30</v>
      </c>
      <c r="C1976" s="52">
        <f t="shared" si="408"/>
        <v>8534.49</v>
      </c>
      <c r="D1976" s="52">
        <f t="shared" si="409"/>
        <v>3362.5099999999998</v>
      </c>
      <c r="E1976" s="64">
        <f t="shared" si="409"/>
        <v>4165</v>
      </c>
      <c r="F1976" s="52">
        <f t="shared" si="409"/>
        <v>0</v>
      </c>
      <c r="G1976" s="52">
        <f t="shared" si="409"/>
        <v>0</v>
      </c>
      <c r="H1976" s="52">
        <f t="shared" si="409"/>
        <v>0</v>
      </c>
      <c r="I1976" s="52">
        <f t="shared" si="409"/>
        <v>1006.98</v>
      </c>
    </row>
    <row r="1977" spans="1:13" s="95" customFormat="1">
      <c r="A1977" s="96" t="s">
        <v>42</v>
      </c>
      <c r="B1977" s="129" t="s">
        <v>29</v>
      </c>
      <c r="C1977" s="130">
        <f t="shared" si="408"/>
        <v>8534.49</v>
      </c>
      <c r="D1977" s="130">
        <f t="shared" si="409"/>
        <v>3362.5099999999998</v>
      </c>
      <c r="E1977" s="130">
        <f t="shared" si="409"/>
        <v>4165</v>
      </c>
      <c r="F1977" s="130">
        <f t="shared" si="409"/>
        <v>0</v>
      </c>
      <c r="G1977" s="130">
        <f t="shared" si="409"/>
        <v>0</v>
      </c>
      <c r="H1977" s="130">
        <f t="shared" si="409"/>
        <v>0</v>
      </c>
      <c r="I1977" s="130">
        <f t="shared" si="409"/>
        <v>1006.98</v>
      </c>
    </row>
    <row r="1978" spans="1:13" s="95" customFormat="1">
      <c r="A1978" s="131"/>
      <c r="B1978" s="132" t="s">
        <v>30</v>
      </c>
      <c r="C1978" s="130">
        <f t="shared" si="408"/>
        <v>8534.49</v>
      </c>
      <c r="D1978" s="130">
        <f t="shared" si="409"/>
        <v>3362.5099999999998</v>
      </c>
      <c r="E1978" s="130">
        <f t="shared" si="409"/>
        <v>4165</v>
      </c>
      <c r="F1978" s="130">
        <f t="shared" si="409"/>
        <v>0</v>
      </c>
      <c r="G1978" s="130">
        <f t="shared" si="409"/>
        <v>0</v>
      </c>
      <c r="H1978" s="130">
        <f t="shared" si="409"/>
        <v>0</v>
      </c>
      <c r="I1978" s="130">
        <f t="shared" si="409"/>
        <v>1006.98</v>
      </c>
    </row>
    <row r="1979" spans="1:13">
      <c r="A1979" s="81" t="s">
        <v>224</v>
      </c>
      <c r="B1979" s="29" t="s">
        <v>29</v>
      </c>
      <c r="C1979" s="52">
        <f t="shared" si="408"/>
        <v>8534.49</v>
      </c>
      <c r="D1979" s="52">
        <f>D1981+D1983+D1985+D1987++D1989+D1991+D1993+D1995+D1997+D1999+D2001+D2003+D2005+D2007+D2009+D2011+D2013+D2015+D2017+D2019+D2021+D2023+D2025+D2027+D2029+D2031+D2033</f>
        <v>3362.5099999999998</v>
      </c>
      <c r="E1979" s="52">
        <f t="shared" ref="E1979:I1980" si="413">E1981+E1983+E1985+E1987++E1989+E1991+E1993+E1995+E1997+E1999+E2001+E2003+E2005+E2007+E2009+E2011+E2013+E2015+E2017+E2019+E2021+E2023+E2025+E2027+E2029+E2031+E2033</f>
        <v>4165</v>
      </c>
      <c r="F1979" s="52">
        <f t="shared" si="413"/>
        <v>0</v>
      </c>
      <c r="G1979" s="52">
        <f t="shared" si="413"/>
        <v>0</v>
      </c>
      <c r="H1979" s="52">
        <f t="shared" si="413"/>
        <v>0</v>
      </c>
      <c r="I1979" s="52">
        <f t="shared" si="413"/>
        <v>1006.98</v>
      </c>
    </row>
    <row r="1980" spans="1:13">
      <c r="A1980" s="12"/>
      <c r="B1980" s="26" t="s">
        <v>30</v>
      </c>
      <c r="C1980" s="52">
        <f t="shared" si="408"/>
        <v>8534.49</v>
      </c>
      <c r="D1980" s="52">
        <f>D1982+D1984+D1986+D1988++D1990+D1992+D1994+D1996+D1998+D2000+D2002+D2004+D2006+D2008+D2010+D2012+D2014+D2016+D2018+D2020+D2022+D2024+D2026+D2028+D2030+D2032+D2034</f>
        <v>3362.5099999999998</v>
      </c>
      <c r="E1980" s="52">
        <f t="shared" si="413"/>
        <v>4165</v>
      </c>
      <c r="F1980" s="52">
        <f t="shared" si="413"/>
        <v>0</v>
      </c>
      <c r="G1980" s="52">
        <f t="shared" si="413"/>
        <v>0</v>
      </c>
      <c r="H1980" s="52">
        <f t="shared" si="413"/>
        <v>0</v>
      </c>
      <c r="I1980" s="52">
        <f t="shared" si="413"/>
        <v>1006.98</v>
      </c>
    </row>
    <row r="1981" spans="1:13" s="249" customFormat="1" ht="37.35">
      <c r="A1981" s="210" t="s">
        <v>778</v>
      </c>
      <c r="B1981" s="216" t="s">
        <v>29</v>
      </c>
      <c r="C1981" s="203">
        <f t="shared" si="408"/>
        <v>26</v>
      </c>
      <c r="D1981" s="203">
        <f>D1982</f>
        <v>26</v>
      </c>
      <c r="E1981" s="203">
        <v>0</v>
      </c>
      <c r="F1981" s="203">
        <v>0</v>
      </c>
      <c r="G1981" s="203">
        <v>0</v>
      </c>
      <c r="H1981" s="203">
        <v>0</v>
      </c>
      <c r="I1981" s="203">
        <v>0</v>
      </c>
    </row>
    <row r="1982" spans="1:13" s="249" customFormat="1">
      <c r="A1982" s="250"/>
      <c r="B1982" s="217" t="s">
        <v>30</v>
      </c>
      <c r="C1982" s="203">
        <f t="shared" si="408"/>
        <v>26</v>
      </c>
      <c r="D1982" s="203">
        <v>26</v>
      </c>
      <c r="E1982" s="203">
        <v>0</v>
      </c>
      <c r="F1982" s="203">
        <v>0</v>
      </c>
      <c r="G1982" s="203">
        <v>0</v>
      </c>
      <c r="H1982" s="203">
        <v>0</v>
      </c>
      <c r="I1982" s="203">
        <v>0</v>
      </c>
    </row>
    <row r="1983" spans="1:13" s="211" customFormat="1" ht="37.35">
      <c r="A1983" s="210" t="s">
        <v>779</v>
      </c>
      <c r="B1983" s="216" t="s">
        <v>29</v>
      </c>
      <c r="C1983" s="246">
        <f t="shared" si="408"/>
        <v>74</v>
      </c>
      <c r="D1983" s="203">
        <f>D1984</f>
        <v>74</v>
      </c>
      <c r="E1983" s="203">
        <v>0</v>
      </c>
      <c r="F1983" s="203">
        <v>0</v>
      </c>
      <c r="G1983" s="203">
        <v>0</v>
      </c>
      <c r="H1983" s="203">
        <v>0</v>
      </c>
      <c r="I1983" s="203">
        <v>0</v>
      </c>
    </row>
    <row r="1984" spans="1:13" s="101" customFormat="1">
      <c r="A1984" s="85"/>
      <c r="B1984" s="86" t="s">
        <v>30</v>
      </c>
      <c r="C1984" s="83">
        <f t="shared" si="408"/>
        <v>74</v>
      </c>
      <c r="D1984" s="84">
        <v>74</v>
      </c>
      <c r="E1984" s="84">
        <v>0</v>
      </c>
      <c r="F1984" s="84">
        <v>0</v>
      </c>
      <c r="G1984" s="84">
        <v>0</v>
      </c>
      <c r="H1984" s="84">
        <v>0</v>
      </c>
      <c r="I1984" s="84">
        <v>0</v>
      </c>
      <c r="J1984" s="213"/>
    </row>
    <row r="1985" spans="1:14" s="249" customFormat="1" ht="37.35">
      <c r="A1985" s="210" t="s">
        <v>780</v>
      </c>
      <c r="B1985" s="216" t="s">
        <v>29</v>
      </c>
      <c r="C1985" s="203">
        <f t="shared" si="408"/>
        <v>120</v>
      </c>
      <c r="D1985" s="203">
        <f>D1986</f>
        <v>38</v>
      </c>
      <c r="E1985" s="261">
        <v>0</v>
      </c>
      <c r="F1985" s="261">
        <v>0</v>
      </c>
      <c r="G1985" s="261">
        <v>0</v>
      </c>
      <c r="H1985" s="261">
        <v>0</v>
      </c>
      <c r="I1985" s="261">
        <f>I1986</f>
        <v>82</v>
      </c>
      <c r="J1985" s="650" t="s">
        <v>781</v>
      </c>
      <c r="K1985" s="651"/>
      <c r="L1985" s="651"/>
      <c r="M1985" s="651"/>
      <c r="N1985" s="651"/>
    </row>
    <row r="1986" spans="1:14" s="145" customFormat="1">
      <c r="A1986" s="85"/>
      <c r="B1986" s="86" t="s">
        <v>30</v>
      </c>
      <c r="C1986" s="84">
        <f t="shared" si="408"/>
        <v>120</v>
      </c>
      <c r="D1986" s="84">
        <v>38</v>
      </c>
      <c r="E1986" s="84">
        <v>0</v>
      </c>
      <c r="F1986" s="84">
        <v>0</v>
      </c>
      <c r="G1986" s="84">
        <v>0</v>
      </c>
      <c r="H1986" s="84">
        <v>0</v>
      </c>
      <c r="I1986" s="84">
        <f>120-38</f>
        <v>82</v>
      </c>
      <c r="J1986" s="652"/>
      <c r="K1986" s="653"/>
      <c r="L1986" s="653"/>
      <c r="M1986" s="653"/>
      <c r="N1986" s="653"/>
    </row>
    <row r="1987" spans="1:14" s="145" customFormat="1" ht="37.35">
      <c r="A1987" s="344" t="s">
        <v>782</v>
      </c>
      <c r="B1987" s="82" t="s">
        <v>29</v>
      </c>
      <c r="C1987" s="84">
        <f t="shared" si="408"/>
        <v>400</v>
      </c>
      <c r="D1987" s="84">
        <f>D1988</f>
        <v>37</v>
      </c>
      <c r="E1987" s="84">
        <f>E1988</f>
        <v>0</v>
      </c>
      <c r="F1987" s="84">
        <v>0</v>
      </c>
      <c r="G1987" s="84">
        <v>0</v>
      </c>
      <c r="H1987" s="84">
        <v>0</v>
      </c>
      <c r="I1987" s="84">
        <f>I1988</f>
        <v>363</v>
      </c>
      <c r="J1987" s="249"/>
    </row>
    <row r="1988" spans="1:14" s="145" customFormat="1">
      <c r="A1988" s="85"/>
      <c r="B1988" s="86" t="s">
        <v>30</v>
      </c>
      <c r="C1988" s="84">
        <f t="shared" si="408"/>
        <v>400</v>
      </c>
      <c r="D1988" s="84">
        <v>37</v>
      </c>
      <c r="E1988" s="84">
        <v>0</v>
      </c>
      <c r="F1988" s="84">
        <v>0</v>
      </c>
      <c r="G1988" s="84">
        <v>0</v>
      </c>
      <c r="H1988" s="84">
        <v>0</v>
      </c>
      <c r="I1988" s="84">
        <f>400-37</f>
        <v>363</v>
      </c>
      <c r="J1988" s="249"/>
    </row>
    <row r="1989" spans="1:14" s="213" customFormat="1" ht="51" customHeight="1">
      <c r="A1989" s="387" t="s">
        <v>783</v>
      </c>
      <c r="B1989" s="224" t="s">
        <v>29</v>
      </c>
      <c r="C1989" s="240">
        <f t="shared" si="408"/>
        <v>65</v>
      </c>
      <c r="D1989" s="240">
        <v>59</v>
      </c>
      <c r="E1989" s="287">
        <v>0</v>
      </c>
      <c r="F1989" s="240">
        <v>0</v>
      </c>
      <c r="G1989" s="240">
        <v>0</v>
      </c>
      <c r="H1989" s="240">
        <v>0</v>
      </c>
      <c r="I1989" s="240">
        <f>65-59</f>
        <v>6</v>
      </c>
    </row>
    <row r="1990" spans="1:14" s="206" customFormat="1">
      <c r="A1990" s="345"/>
      <c r="B1990" s="62" t="s">
        <v>30</v>
      </c>
      <c r="C1990" s="78">
        <f t="shared" si="408"/>
        <v>65</v>
      </c>
      <c r="D1990" s="78">
        <v>59</v>
      </c>
      <c r="E1990" s="270">
        <v>0</v>
      </c>
      <c r="F1990" s="78">
        <v>0</v>
      </c>
      <c r="G1990" s="78">
        <v>0</v>
      </c>
      <c r="H1990" s="78">
        <v>0</v>
      </c>
      <c r="I1990" s="78">
        <f>65-59</f>
        <v>6</v>
      </c>
    </row>
    <row r="1991" spans="1:14" s="212" customFormat="1" ht="49.7">
      <c r="A1991" s="301" t="s">
        <v>784</v>
      </c>
      <c r="B1991" s="237" t="s">
        <v>29</v>
      </c>
      <c r="C1991" s="240">
        <f t="shared" si="408"/>
        <v>31</v>
      </c>
      <c r="D1991" s="240">
        <v>31</v>
      </c>
      <c r="E1991" s="240">
        <v>0</v>
      </c>
      <c r="F1991" s="240">
        <v>0</v>
      </c>
      <c r="G1991" s="240">
        <v>0</v>
      </c>
      <c r="H1991" s="240">
        <v>0</v>
      </c>
      <c r="I1991" s="240">
        <v>0</v>
      </c>
    </row>
    <row r="1992" spans="1:14" s="249" customFormat="1">
      <c r="A1992" s="250"/>
      <c r="B1992" s="217" t="s">
        <v>30</v>
      </c>
      <c r="C1992" s="203">
        <f t="shared" si="408"/>
        <v>31</v>
      </c>
      <c r="D1992" s="203">
        <v>31</v>
      </c>
      <c r="E1992" s="203">
        <v>0</v>
      </c>
      <c r="F1992" s="203">
        <v>0</v>
      </c>
      <c r="G1992" s="203">
        <v>0</v>
      </c>
      <c r="H1992" s="203">
        <v>0</v>
      </c>
      <c r="I1992" s="203">
        <v>0</v>
      </c>
    </row>
    <row r="1993" spans="1:14" s="212" customFormat="1" ht="78" customHeight="1">
      <c r="A1993" s="321" t="s">
        <v>785</v>
      </c>
      <c r="B1993" s="237" t="s">
        <v>29</v>
      </c>
      <c r="C1993" s="240">
        <f t="shared" si="408"/>
        <v>2.6</v>
      </c>
      <c r="D1993" s="240">
        <v>2.6</v>
      </c>
      <c r="E1993" s="240">
        <v>0</v>
      </c>
      <c r="F1993" s="240">
        <v>0</v>
      </c>
      <c r="G1993" s="240">
        <v>0</v>
      </c>
      <c r="H1993" s="240">
        <v>0</v>
      </c>
      <c r="I1993" s="240">
        <v>0</v>
      </c>
    </row>
    <row r="1994" spans="1:14" s="145" customFormat="1">
      <c r="A1994" s="250"/>
      <c r="B1994" s="217" t="s">
        <v>30</v>
      </c>
      <c r="C1994" s="203">
        <f t="shared" si="408"/>
        <v>2.6</v>
      </c>
      <c r="D1994" s="203">
        <v>2.6</v>
      </c>
      <c r="E1994" s="203">
        <v>0</v>
      </c>
      <c r="F1994" s="203">
        <v>0</v>
      </c>
      <c r="G1994" s="203">
        <v>0</v>
      </c>
      <c r="H1994" s="203">
        <v>0</v>
      </c>
      <c r="I1994" s="203">
        <v>0</v>
      </c>
    </row>
    <row r="1995" spans="1:14" s="253" customFormat="1" ht="37.35">
      <c r="A1995" s="301" t="s">
        <v>786</v>
      </c>
      <c r="B1995" s="216" t="s">
        <v>29</v>
      </c>
      <c r="C1995" s="203">
        <f t="shared" si="408"/>
        <v>152.34</v>
      </c>
      <c r="D1995" s="203">
        <v>152.34</v>
      </c>
      <c r="E1995" s="203">
        <v>0</v>
      </c>
      <c r="F1995" s="203">
        <v>0</v>
      </c>
      <c r="G1995" s="203">
        <v>0</v>
      </c>
      <c r="H1995" s="203">
        <v>0</v>
      </c>
      <c r="I1995" s="203">
        <v>0</v>
      </c>
    </row>
    <row r="1996" spans="1:14" s="249" customFormat="1">
      <c r="A1996" s="250"/>
      <c r="B1996" s="217" t="s">
        <v>30</v>
      </c>
      <c r="C1996" s="203">
        <f t="shared" si="408"/>
        <v>152.34</v>
      </c>
      <c r="D1996" s="203">
        <v>152.34</v>
      </c>
      <c r="E1996" s="203">
        <v>0</v>
      </c>
      <c r="F1996" s="203">
        <v>0</v>
      </c>
      <c r="G1996" s="203">
        <v>0</v>
      </c>
      <c r="H1996" s="203">
        <v>0</v>
      </c>
      <c r="I1996" s="203">
        <v>0</v>
      </c>
    </row>
    <row r="1997" spans="1:14" s="213" customFormat="1" ht="51.75" customHeight="1">
      <c r="A1997" s="328" t="s">
        <v>787</v>
      </c>
      <c r="B1997" s="237" t="s">
        <v>29</v>
      </c>
      <c r="C1997" s="240">
        <f t="shared" si="408"/>
        <v>78</v>
      </c>
      <c r="D1997" s="240">
        <v>78</v>
      </c>
      <c r="E1997" s="240">
        <v>0</v>
      </c>
      <c r="F1997" s="240">
        <v>0</v>
      </c>
      <c r="G1997" s="240">
        <v>0</v>
      </c>
      <c r="H1997" s="240">
        <v>0</v>
      </c>
      <c r="I1997" s="240">
        <v>0</v>
      </c>
    </row>
    <row r="1998" spans="1:14" s="145" customFormat="1">
      <c r="A1998" s="116"/>
      <c r="B1998" s="86" t="s">
        <v>30</v>
      </c>
      <c r="C1998" s="84">
        <f t="shared" si="408"/>
        <v>78</v>
      </c>
      <c r="D1998" s="84">
        <v>78</v>
      </c>
      <c r="E1998" s="84">
        <v>0</v>
      </c>
      <c r="F1998" s="84">
        <v>0</v>
      </c>
      <c r="G1998" s="84">
        <v>0</v>
      </c>
      <c r="H1998" s="84">
        <v>0</v>
      </c>
      <c r="I1998" s="84">
        <v>0</v>
      </c>
    </row>
    <row r="1999" spans="1:14" s="212" customFormat="1" ht="92.25" customHeight="1">
      <c r="A1999" s="361" t="s">
        <v>788</v>
      </c>
      <c r="B1999" s="237" t="s">
        <v>29</v>
      </c>
      <c r="C1999" s="240">
        <f t="shared" si="408"/>
        <v>1.1200000000000001</v>
      </c>
      <c r="D1999" s="240">
        <v>1.1200000000000001</v>
      </c>
      <c r="E1999" s="240">
        <v>0</v>
      </c>
      <c r="F1999" s="240">
        <v>0</v>
      </c>
      <c r="G1999" s="240">
        <v>0</v>
      </c>
      <c r="H1999" s="240">
        <v>0</v>
      </c>
      <c r="I1999" s="240">
        <v>0</v>
      </c>
    </row>
    <row r="2000" spans="1:14" s="145" customFormat="1">
      <c r="A2000" s="116"/>
      <c r="B2000" s="123" t="s">
        <v>30</v>
      </c>
      <c r="C2000" s="78">
        <f t="shared" si="408"/>
        <v>1.1200000000000001</v>
      </c>
      <c r="D2000" s="78">
        <v>1.1200000000000001</v>
      </c>
      <c r="E2000" s="78">
        <v>0</v>
      </c>
      <c r="F2000" s="78">
        <v>0</v>
      </c>
      <c r="G2000" s="78">
        <v>0</v>
      </c>
      <c r="H2000" s="78">
        <v>0</v>
      </c>
      <c r="I2000" s="78">
        <v>0</v>
      </c>
    </row>
    <row r="2001" spans="1:9" s="213" customFormat="1" ht="129.75" customHeight="1">
      <c r="A2001" s="328" t="s">
        <v>789</v>
      </c>
      <c r="B2001" s="237" t="s">
        <v>29</v>
      </c>
      <c r="C2001" s="240">
        <f t="shared" si="408"/>
        <v>807</v>
      </c>
      <c r="D2001" s="240">
        <v>807</v>
      </c>
      <c r="E2001" s="240">
        <v>0</v>
      </c>
      <c r="F2001" s="240">
        <v>0</v>
      </c>
      <c r="G2001" s="240">
        <v>0</v>
      </c>
      <c r="H2001" s="240">
        <v>0</v>
      </c>
      <c r="I2001" s="240">
        <v>0</v>
      </c>
    </row>
    <row r="2002" spans="1:9" s="145" customFormat="1">
      <c r="A2002" s="85"/>
      <c r="B2002" s="86" t="s">
        <v>30</v>
      </c>
      <c r="C2002" s="84">
        <f t="shared" si="408"/>
        <v>807</v>
      </c>
      <c r="D2002" s="84">
        <v>807</v>
      </c>
      <c r="E2002" s="84">
        <v>0</v>
      </c>
      <c r="F2002" s="84">
        <v>0</v>
      </c>
      <c r="G2002" s="84">
        <v>0</v>
      </c>
      <c r="H2002" s="84">
        <v>0</v>
      </c>
      <c r="I2002" s="84">
        <v>0</v>
      </c>
    </row>
    <row r="2003" spans="1:9" s="213" customFormat="1" ht="55.5" customHeight="1">
      <c r="A2003" s="323" t="s">
        <v>790</v>
      </c>
      <c r="B2003" s="237" t="s">
        <v>29</v>
      </c>
      <c r="C2003" s="240">
        <f t="shared" si="408"/>
        <v>350.80999999999995</v>
      </c>
      <c r="D2003" s="240">
        <f>43.41+307.4</f>
        <v>350.80999999999995</v>
      </c>
      <c r="E2003" s="240">
        <v>0</v>
      </c>
      <c r="F2003" s="240">
        <v>0</v>
      </c>
      <c r="G2003" s="240">
        <v>0</v>
      </c>
      <c r="H2003" s="240">
        <v>0</v>
      </c>
      <c r="I2003" s="240">
        <v>0</v>
      </c>
    </row>
    <row r="2004" spans="1:9" s="145" customFormat="1">
      <c r="A2004" s="85"/>
      <c r="B2004" s="86" t="s">
        <v>30</v>
      </c>
      <c r="C2004" s="84">
        <f t="shared" si="408"/>
        <v>350.80999999999995</v>
      </c>
      <c r="D2004" s="84">
        <f>43.41+307.4</f>
        <v>350.80999999999995</v>
      </c>
      <c r="E2004" s="84">
        <v>0</v>
      </c>
      <c r="F2004" s="84">
        <v>0</v>
      </c>
      <c r="G2004" s="84">
        <v>0</v>
      </c>
      <c r="H2004" s="84">
        <v>0</v>
      </c>
      <c r="I2004" s="84">
        <v>0</v>
      </c>
    </row>
    <row r="2005" spans="1:9" s="207" customFormat="1" ht="27.75" customHeight="1">
      <c r="A2005" s="349" t="s">
        <v>791</v>
      </c>
      <c r="B2005" s="82" t="s">
        <v>29</v>
      </c>
      <c r="C2005" s="84">
        <f t="shared" si="408"/>
        <v>98</v>
      </c>
      <c r="D2005" s="84">
        <v>58</v>
      </c>
      <c r="E2005" s="84">
        <v>0</v>
      </c>
      <c r="F2005" s="84">
        <v>0</v>
      </c>
      <c r="G2005" s="84">
        <v>0</v>
      </c>
      <c r="H2005" s="84">
        <v>0</v>
      </c>
      <c r="I2005" s="84">
        <f>98-58</f>
        <v>40</v>
      </c>
    </row>
    <row r="2006" spans="1:9" s="145" customFormat="1">
      <c r="A2006" s="85"/>
      <c r="B2006" s="86" t="s">
        <v>30</v>
      </c>
      <c r="C2006" s="84">
        <f t="shared" si="408"/>
        <v>98</v>
      </c>
      <c r="D2006" s="84">
        <v>58</v>
      </c>
      <c r="E2006" s="84">
        <v>0</v>
      </c>
      <c r="F2006" s="84">
        <v>0</v>
      </c>
      <c r="G2006" s="84">
        <v>0</v>
      </c>
      <c r="H2006" s="84">
        <v>0</v>
      </c>
      <c r="I2006" s="84">
        <f>98-58</f>
        <v>40</v>
      </c>
    </row>
    <row r="2007" spans="1:9" s="212" customFormat="1" ht="38.25" customHeight="1">
      <c r="A2007" s="327" t="s">
        <v>792</v>
      </c>
      <c r="B2007" s="216" t="s">
        <v>29</v>
      </c>
      <c r="C2007" s="203">
        <f t="shared" si="408"/>
        <v>70</v>
      </c>
      <c r="D2007" s="203">
        <v>56.52</v>
      </c>
      <c r="E2007" s="203">
        <v>0</v>
      </c>
      <c r="F2007" s="203">
        <v>0</v>
      </c>
      <c r="G2007" s="203">
        <v>0</v>
      </c>
      <c r="H2007" s="203">
        <v>0</v>
      </c>
      <c r="I2007" s="203">
        <f>70-56.52</f>
        <v>13.479999999999997</v>
      </c>
    </row>
    <row r="2008" spans="1:9" s="145" customFormat="1">
      <c r="A2008" s="85"/>
      <c r="B2008" s="86" t="s">
        <v>30</v>
      </c>
      <c r="C2008" s="84">
        <f t="shared" si="408"/>
        <v>70</v>
      </c>
      <c r="D2008" s="84">
        <v>56.52</v>
      </c>
      <c r="E2008" s="84">
        <v>0</v>
      </c>
      <c r="F2008" s="84">
        <v>0</v>
      </c>
      <c r="G2008" s="84">
        <v>0</v>
      </c>
      <c r="H2008" s="84">
        <v>0</v>
      </c>
      <c r="I2008" s="84">
        <f>70-56.52</f>
        <v>13.479999999999997</v>
      </c>
    </row>
    <row r="2009" spans="1:9" s="249" customFormat="1" ht="27" customHeight="1">
      <c r="A2009" s="327" t="s">
        <v>793</v>
      </c>
      <c r="B2009" s="216" t="s">
        <v>29</v>
      </c>
      <c r="C2009" s="203">
        <f t="shared" si="408"/>
        <v>3473</v>
      </c>
      <c r="D2009" s="203">
        <f>90+2</f>
        <v>92</v>
      </c>
      <c r="E2009" s="203">
        <f>2750+631</f>
        <v>3381</v>
      </c>
      <c r="F2009" s="203">
        <v>0</v>
      </c>
      <c r="G2009" s="203">
        <v>0</v>
      </c>
      <c r="H2009" s="203">
        <v>0</v>
      </c>
      <c r="I2009" s="203">
        <v>0</v>
      </c>
    </row>
    <row r="2010" spans="1:9" s="249" customFormat="1">
      <c r="A2010" s="250"/>
      <c r="B2010" s="217" t="s">
        <v>30</v>
      </c>
      <c r="C2010" s="203">
        <f t="shared" si="408"/>
        <v>3473</v>
      </c>
      <c r="D2010" s="203">
        <f>90+2</f>
        <v>92</v>
      </c>
      <c r="E2010" s="203">
        <f>2750+631</f>
        <v>3381</v>
      </c>
      <c r="F2010" s="203">
        <v>0</v>
      </c>
      <c r="G2010" s="203">
        <v>0</v>
      </c>
      <c r="H2010" s="203">
        <v>0</v>
      </c>
      <c r="I2010" s="203">
        <v>0</v>
      </c>
    </row>
    <row r="2011" spans="1:9" s="249" customFormat="1" ht="74.650000000000006">
      <c r="A2011" s="355" t="s">
        <v>794</v>
      </c>
      <c r="B2011" s="324" t="s">
        <v>29</v>
      </c>
      <c r="C2011" s="203">
        <f>D2011+E2011+F2011+G2011+H2011+I2011</f>
        <v>853</v>
      </c>
      <c r="D2011" s="203">
        <v>853</v>
      </c>
      <c r="E2011" s="261">
        <v>0</v>
      </c>
      <c r="F2011" s="261">
        <v>0</v>
      </c>
      <c r="G2011" s="261">
        <v>0</v>
      </c>
      <c r="H2011" s="261">
        <v>0</v>
      </c>
      <c r="I2011" s="261">
        <v>0</v>
      </c>
    </row>
    <row r="2012" spans="1:9" s="101" customFormat="1">
      <c r="A2012" s="85"/>
      <c r="B2012" s="107" t="s">
        <v>30</v>
      </c>
      <c r="C2012" s="83">
        <f t="shared" ref="C2012:C2034" si="414">D2012+E2012+F2012+G2012+H2012+I2012</f>
        <v>853</v>
      </c>
      <c r="D2012" s="83">
        <v>853</v>
      </c>
      <c r="E2012" s="105">
        <v>0</v>
      </c>
      <c r="F2012" s="106">
        <v>0</v>
      </c>
      <c r="G2012" s="106">
        <v>0</v>
      </c>
      <c r="H2012" s="106">
        <v>0</v>
      </c>
      <c r="I2012" s="106">
        <v>0</v>
      </c>
    </row>
    <row r="2013" spans="1:9" s="213" customFormat="1" ht="49.7">
      <c r="A2013" s="419" t="s">
        <v>795</v>
      </c>
      <c r="B2013" s="228" t="s">
        <v>29</v>
      </c>
      <c r="C2013" s="240">
        <f t="shared" si="414"/>
        <v>19</v>
      </c>
      <c r="D2013" s="240">
        <v>0</v>
      </c>
      <c r="E2013" s="264">
        <v>19</v>
      </c>
      <c r="F2013" s="264">
        <v>0</v>
      </c>
      <c r="G2013" s="264">
        <v>0</v>
      </c>
      <c r="H2013" s="264">
        <v>0</v>
      </c>
      <c r="I2013" s="264">
        <v>0</v>
      </c>
    </row>
    <row r="2014" spans="1:9" s="213" customFormat="1">
      <c r="A2014" s="340"/>
      <c r="B2014" s="219" t="s">
        <v>30</v>
      </c>
      <c r="C2014" s="240">
        <f t="shared" si="414"/>
        <v>19</v>
      </c>
      <c r="D2014" s="240">
        <v>0</v>
      </c>
      <c r="E2014" s="264">
        <v>19</v>
      </c>
      <c r="F2014" s="264">
        <v>0</v>
      </c>
      <c r="G2014" s="264">
        <v>0</v>
      </c>
      <c r="H2014" s="264">
        <v>0</v>
      </c>
      <c r="I2014" s="264">
        <v>0</v>
      </c>
    </row>
    <row r="2015" spans="1:9" s="213" customFormat="1" ht="39" customHeight="1">
      <c r="A2015" s="419" t="s">
        <v>796</v>
      </c>
      <c r="B2015" s="237" t="s">
        <v>29</v>
      </c>
      <c r="C2015" s="240">
        <f t="shared" si="414"/>
        <v>18.5</v>
      </c>
      <c r="D2015" s="240">
        <v>0</v>
      </c>
      <c r="E2015" s="240">
        <v>0</v>
      </c>
      <c r="F2015" s="240">
        <v>0</v>
      </c>
      <c r="G2015" s="240">
        <v>0</v>
      </c>
      <c r="H2015" s="240">
        <v>0</v>
      </c>
      <c r="I2015" s="240">
        <v>18.5</v>
      </c>
    </row>
    <row r="2016" spans="1:9" s="213" customFormat="1">
      <c r="A2016" s="340"/>
      <c r="B2016" s="226" t="s">
        <v>30</v>
      </c>
      <c r="C2016" s="240">
        <f t="shared" si="414"/>
        <v>18.5</v>
      </c>
      <c r="D2016" s="240">
        <v>0</v>
      </c>
      <c r="E2016" s="240">
        <v>0</v>
      </c>
      <c r="F2016" s="240">
        <v>0</v>
      </c>
      <c r="G2016" s="240">
        <v>0</v>
      </c>
      <c r="H2016" s="240">
        <v>0</v>
      </c>
      <c r="I2016" s="240">
        <v>18.5</v>
      </c>
    </row>
    <row r="2017" spans="1:10" s="213" customFormat="1" ht="54" customHeight="1">
      <c r="A2017" s="325" t="s">
        <v>797</v>
      </c>
      <c r="B2017" s="237" t="s">
        <v>29</v>
      </c>
      <c r="C2017" s="240">
        <f t="shared" si="414"/>
        <v>300</v>
      </c>
      <c r="D2017" s="240">
        <v>158</v>
      </c>
      <c r="E2017" s="240">
        <v>0</v>
      </c>
      <c r="F2017" s="240">
        <v>0</v>
      </c>
      <c r="G2017" s="240">
        <v>0</v>
      </c>
      <c r="H2017" s="240">
        <v>0</v>
      </c>
      <c r="I2017" s="240">
        <f>300-158</f>
        <v>142</v>
      </c>
    </row>
    <row r="2018" spans="1:10" s="182" customFormat="1">
      <c r="A2018" s="183"/>
      <c r="B2018" s="86" t="s">
        <v>30</v>
      </c>
      <c r="C2018" s="84">
        <f t="shared" si="414"/>
        <v>300</v>
      </c>
      <c r="D2018" s="84">
        <v>158</v>
      </c>
      <c r="E2018" s="84">
        <v>0</v>
      </c>
      <c r="F2018" s="84">
        <v>0</v>
      </c>
      <c r="G2018" s="84">
        <v>0</v>
      </c>
      <c r="H2018" s="84">
        <v>0</v>
      </c>
      <c r="I2018" s="84">
        <f>300-158</f>
        <v>142</v>
      </c>
      <c r="J2018" s="314"/>
    </row>
    <row r="2019" spans="1:10" s="213" customFormat="1" ht="81" customHeight="1">
      <c r="A2019" s="325" t="s">
        <v>798</v>
      </c>
      <c r="B2019" s="237" t="s">
        <v>29</v>
      </c>
      <c r="C2019" s="240">
        <f t="shared" si="414"/>
        <v>225</v>
      </c>
      <c r="D2019" s="240">
        <v>0</v>
      </c>
      <c r="E2019" s="240">
        <v>0</v>
      </c>
      <c r="F2019" s="240">
        <v>0</v>
      </c>
      <c r="G2019" s="240">
        <v>0</v>
      </c>
      <c r="H2019" s="240">
        <v>0</v>
      </c>
      <c r="I2019" s="240">
        <v>225</v>
      </c>
    </row>
    <row r="2020" spans="1:10" s="182" customFormat="1" ht="14.25" customHeight="1">
      <c r="A2020" s="183"/>
      <c r="B2020" s="86" t="s">
        <v>30</v>
      </c>
      <c r="C2020" s="84">
        <f t="shared" si="414"/>
        <v>225</v>
      </c>
      <c r="D2020" s="84">
        <v>0</v>
      </c>
      <c r="E2020" s="84">
        <v>0</v>
      </c>
      <c r="F2020" s="84">
        <v>0</v>
      </c>
      <c r="G2020" s="84">
        <v>0</v>
      </c>
      <c r="H2020" s="84">
        <v>0</v>
      </c>
      <c r="I2020" s="84">
        <v>225</v>
      </c>
      <c r="J2020" s="314"/>
    </row>
    <row r="2021" spans="1:10" s="212" customFormat="1" ht="53.25" customHeight="1">
      <c r="A2021" s="325" t="s">
        <v>799</v>
      </c>
      <c r="B2021" s="237" t="s">
        <v>29</v>
      </c>
      <c r="C2021" s="240">
        <f t="shared" si="414"/>
        <v>117</v>
      </c>
      <c r="D2021" s="240">
        <v>0</v>
      </c>
      <c r="E2021" s="240">
        <v>0</v>
      </c>
      <c r="F2021" s="240">
        <v>0</v>
      </c>
      <c r="G2021" s="240">
        <v>0</v>
      </c>
      <c r="H2021" s="240">
        <v>0</v>
      </c>
      <c r="I2021" s="240">
        <v>117</v>
      </c>
    </row>
    <row r="2022" spans="1:10" s="182" customFormat="1" ht="15" customHeight="1">
      <c r="A2022" s="183"/>
      <c r="B2022" s="86" t="s">
        <v>30</v>
      </c>
      <c r="C2022" s="84">
        <f t="shared" si="414"/>
        <v>117</v>
      </c>
      <c r="D2022" s="84">
        <v>0</v>
      </c>
      <c r="E2022" s="84">
        <v>0</v>
      </c>
      <c r="F2022" s="84">
        <v>0</v>
      </c>
      <c r="G2022" s="84">
        <v>0</v>
      </c>
      <c r="H2022" s="84">
        <v>0</v>
      </c>
      <c r="I2022" s="84">
        <v>117</v>
      </c>
      <c r="J2022" s="314"/>
    </row>
    <row r="2023" spans="1:10" s="249" customFormat="1" ht="53.25" customHeight="1">
      <c r="A2023" s="424" t="s">
        <v>800</v>
      </c>
      <c r="B2023" s="216" t="s">
        <v>29</v>
      </c>
      <c r="C2023" s="203">
        <f t="shared" si="414"/>
        <v>95.92</v>
      </c>
      <c r="D2023" s="203">
        <v>95.92</v>
      </c>
      <c r="E2023" s="203">
        <v>0</v>
      </c>
      <c r="F2023" s="203">
        <v>0</v>
      </c>
      <c r="G2023" s="203">
        <v>0</v>
      </c>
      <c r="H2023" s="203">
        <v>0</v>
      </c>
      <c r="I2023" s="203">
        <v>0</v>
      </c>
    </row>
    <row r="2024" spans="1:10" s="145" customFormat="1" ht="15" customHeight="1">
      <c r="A2024" s="85"/>
      <c r="B2024" s="86" t="s">
        <v>30</v>
      </c>
      <c r="C2024" s="84">
        <f t="shared" si="414"/>
        <v>95.92</v>
      </c>
      <c r="D2024" s="84">
        <v>95.92</v>
      </c>
      <c r="E2024" s="84">
        <v>0</v>
      </c>
      <c r="F2024" s="84">
        <v>0</v>
      </c>
      <c r="G2024" s="84">
        <v>0</v>
      </c>
      <c r="H2024" s="84">
        <v>0</v>
      </c>
      <c r="I2024" s="84">
        <v>0</v>
      </c>
      <c r="J2024" s="249"/>
    </row>
    <row r="2025" spans="1:10" s="249" customFormat="1" ht="53.25" customHeight="1">
      <c r="A2025" s="353" t="s">
        <v>801</v>
      </c>
      <c r="B2025" s="216" t="s">
        <v>29</v>
      </c>
      <c r="C2025" s="203">
        <f t="shared" si="414"/>
        <v>116.25</v>
      </c>
      <c r="D2025" s="203">
        <v>116.25</v>
      </c>
      <c r="E2025" s="203">
        <v>0</v>
      </c>
      <c r="F2025" s="203">
        <v>0</v>
      </c>
      <c r="G2025" s="203">
        <v>0</v>
      </c>
      <c r="H2025" s="203">
        <v>0</v>
      </c>
      <c r="I2025" s="203">
        <v>0</v>
      </c>
    </row>
    <row r="2026" spans="1:10" s="182" customFormat="1" ht="15" customHeight="1">
      <c r="A2026" s="183"/>
      <c r="B2026" s="86" t="s">
        <v>30</v>
      </c>
      <c r="C2026" s="84">
        <f t="shared" si="414"/>
        <v>116.25</v>
      </c>
      <c r="D2026" s="84">
        <v>116.25</v>
      </c>
      <c r="E2026" s="84">
        <v>0</v>
      </c>
      <c r="F2026" s="84">
        <v>0</v>
      </c>
      <c r="G2026" s="84">
        <v>0</v>
      </c>
      <c r="H2026" s="84">
        <v>0</v>
      </c>
      <c r="I2026" s="84">
        <v>0</v>
      </c>
      <c r="J2026" s="314"/>
    </row>
    <row r="2027" spans="1:10" s="249" customFormat="1" ht="52.5" customHeight="1">
      <c r="A2027" s="481" t="s">
        <v>802</v>
      </c>
      <c r="B2027" s="216" t="s">
        <v>29</v>
      </c>
      <c r="C2027" s="203">
        <f t="shared" si="414"/>
        <v>97.89</v>
      </c>
      <c r="D2027" s="84">
        <v>97.89</v>
      </c>
      <c r="E2027" s="203">
        <v>0</v>
      </c>
      <c r="F2027" s="203">
        <v>0</v>
      </c>
      <c r="G2027" s="203">
        <v>0</v>
      </c>
      <c r="H2027" s="203">
        <v>0</v>
      </c>
      <c r="I2027" s="203">
        <v>0</v>
      </c>
    </row>
    <row r="2028" spans="1:10" s="182" customFormat="1" ht="15" customHeight="1">
      <c r="A2028" s="183"/>
      <c r="B2028" s="86" t="s">
        <v>30</v>
      </c>
      <c r="C2028" s="84">
        <f t="shared" si="414"/>
        <v>97.89</v>
      </c>
      <c r="D2028" s="84">
        <v>97.89</v>
      </c>
      <c r="E2028" s="84">
        <v>0</v>
      </c>
      <c r="F2028" s="84">
        <v>0</v>
      </c>
      <c r="G2028" s="84">
        <v>0</v>
      </c>
      <c r="H2028" s="84">
        <v>0</v>
      </c>
      <c r="I2028" s="84">
        <v>0</v>
      </c>
      <c r="J2028" s="314"/>
    </row>
    <row r="2029" spans="1:10" s="249" customFormat="1" ht="119.25" customHeight="1">
      <c r="A2029" s="474" t="s">
        <v>803</v>
      </c>
      <c r="B2029" s="216" t="s">
        <v>29</v>
      </c>
      <c r="C2029" s="203">
        <f t="shared" si="414"/>
        <v>480.85</v>
      </c>
      <c r="D2029" s="203">
        <v>15.85</v>
      </c>
      <c r="E2029" s="203">
        <v>465</v>
      </c>
      <c r="F2029" s="203">
        <v>0</v>
      </c>
      <c r="G2029" s="203">
        <v>0</v>
      </c>
      <c r="H2029" s="203">
        <v>0</v>
      </c>
      <c r="I2029" s="203">
        <v>0</v>
      </c>
    </row>
    <row r="2030" spans="1:10" s="182" customFormat="1" ht="15" customHeight="1">
      <c r="A2030" s="183"/>
      <c r="B2030" s="86" t="s">
        <v>30</v>
      </c>
      <c r="C2030" s="84">
        <f t="shared" si="414"/>
        <v>480.85</v>
      </c>
      <c r="D2030" s="84">
        <v>15.85</v>
      </c>
      <c r="E2030" s="84">
        <v>465</v>
      </c>
      <c r="F2030" s="84">
        <v>0</v>
      </c>
      <c r="G2030" s="84">
        <v>0</v>
      </c>
      <c r="H2030" s="84">
        <v>0</v>
      </c>
      <c r="I2030" s="84">
        <v>0</v>
      </c>
      <c r="J2030" s="314"/>
    </row>
    <row r="2031" spans="1:10" s="213" customFormat="1" ht="81" customHeight="1">
      <c r="A2031" s="332" t="s">
        <v>804</v>
      </c>
      <c r="B2031" s="237" t="s">
        <v>29</v>
      </c>
      <c r="C2031" s="240">
        <f t="shared" si="414"/>
        <v>300</v>
      </c>
      <c r="D2031" s="240">
        <v>0</v>
      </c>
      <c r="E2031" s="240">
        <v>300</v>
      </c>
      <c r="F2031" s="240">
        <v>0</v>
      </c>
      <c r="G2031" s="240">
        <v>0</v>
      </c>
      <c r="H2031" s="240">
        <v>0</v>
      </c>
      <c r="I2031" s="240">
        <v>0</v>
      </c>
    </row>
    <row r="2032" spans="1:10" s="182" customFormat="1" ht="15" customHeight="1">
      <c r="A2032" s="183"/>
      <c r="B2032" s="86" t="s">
        <v>30</v>
      </c>
      <c r="C2032" s="84">
        <f t="shared" si="414"/>
        <v>300</v>
      </c>
      <c r="D2032" s="84">
        <v>0</v>
      </c>
      <c r="E2032" s="84">
        <v>300</v>
      </c>
      <c r="F2032" s="84">
        <v>0</v>
      </c>
      <c r="G2032" s="84">
        <v>0</v>
      </c>
      <c r="H2032" s="84">
        <v>0</v>
      </c>
      <c r="I2032" s="84">
        <v>0</v>
      </c>
      <c r="J2032" s="314"/>
    </row>
    <row r="2033" spans="1:10" s="249" customFormat="1" ht="51.75" customHeight="1">
      <c r="A2033" s="482" t="s">
        <v>805</v>
      </c>
      <c r="B2033" s="216" t="s">
        <v>29</v>
      </c>
      <c r="C2033" s="203">
        <f t="shared" si="414"/>
        <v>162.21</v>
      </c>
      <c r="D2033" s="203">
        <v>162.21</v>
      </c>
      <c r="E2033" s="203">
        <v>0</v>
      </c>
      <c r="F2033" s="203">
        <v>0</v>
      </c>
      <c r="G2033" s="203">
        <v>0</v>
      </c>
      <c r="H2033" s="203">
        <v>0</v>
      </c>
      <c r="I2033" s="203">
        <v>0</v>
      </c>
    </row>
    <row r="2034" spans="1:10" s="182" customFormat="1" ht="15" customHeight="1">
      <c r="A2034" s="183"/>
      <c r="B2034" s="86" t="s">
        <v>30</v>
      </c>
      <c r="C2034" s="84">
        <f t="shared" si="414"/>
        <v>162.21</v>
      </c>
      <c r="D2034" s="84">
        <v>162.21</v>
      </c>
      <c r="E2034" s="84">
        <v>0</v>
      </c>
      <c r="F2034" s="84">
        <v>0</v>
      </c>
      <c r="G2034" s="84">
        <v>0</v>
      </c>
      <c r="H2034" s="84">
        <v>0</v>
      </c>
      <c r="I2034" s="84">
        <v>0</v>
      </c>
      <c r="J2034" s="314"/>
    </row>
    <row r="2035" spans="1:10">
      <c r="A2035" s="635" t="s">
        <v>806</v>
      </c>
      <c r="B2035" s="636"/>
      <c r="C2035" s="636"/>
      <c r="D2035" s="636"/>
      <c r="E2035" s="636"/>
      <c r="F2035" s="636"/>
      <c r="G2035" s="636"/>
      <c r="H2035" s="636"/>
      <c r="I2035" s="637"/>
    </row>
    <row r="2036" spans="1:10">
      <c r="A2036" s="577" t="s">
        <v>54</v>
      </c>
      <c r="B2036" s="578"/>
      <c r="C2036" s="578"/>
      <c r="D2036" s="578"/>
      <c r="E2036" s="578"/>
      <c r="F2036" s="578"/>
      <c r="G2036" s="578"/>
      <c r="H2036" s="578"/>
      <c r="I2036" s="579"/>
    </row>
    <row r="2037" spans="1:10">
      <c r="A2037" s="11" t="s">
        <v>28</v>
      </c>
      <c r="B2037" s="59" t="s">
        <v>29</v>
      </c>
      <c r="C2037" s="130">
        <f>D2037+E2037+F2037+G2037+H2037+I2037</f>
        <v>258320.59</v>
      </c>
      <c r="D2037" s="130">
        <f t="shared" ref="D2037:I2042" si="415">D2039</f>
        <v>810.22</v>
      </c>
      <c r="E2037" s="130">
        <f t="shared" si="415"/>
        <v>19000</v>
      </c>
      <c r="F2037" s="130">
        <f t="shared" si="415"/>
        <v>87870.040000000008</v>
      </c>
      <c r="G2037" s="130">
        <f t="shared" si="415"/>
        <v>77818.009999999995</v>
      </c>
      <c r="H2037" s="130">
        <f t="shared" si="415"/>
        <v>65853.919999999998</v>
      </c>
      <c r="I2037" s="130">
        <f t="shared" si="415"/>
        <v>6968.4</v>
      </c>
    </row>
    <row r="2038" spans="1:10" ht="12.95" thickBot="1">
      <c r="A2038" s="60"/>
      <c r="B2038" s="61" t="s">
        <v>30</v>
      </c>
      <c r="C2038" s="130">
        <f>D2038+E2038+F2038+G2038+H2038+I2038</f>
        <v>258320.59</v>
      </c>
      <c r="D2038" s="130">
        <f t="shared" si="415"/>
        <v>810.22</v>
      </c>
      <c r="E2038" s="130">
        <f t="shared" si="415"/>
        <v>19000</v>
      </c>
      <c r="F2038" s="130">
        <f t="shared" si="415"/>
        <v>87870.040000000008</v>
      </c>
      <c r="G2038" s="130">
        <f t="shared" si="415"/>
        <v>77818.009999999995</v>
      </c>
      <c r="H2038" s="130">
        <f t="shared" si="415"/>
        <v>65853.919999999998</v>
      </c>
      <c r="I2038" s="130">
        <f t="shared" si="415"/>
        <v>6968.4</v>
      </c>
    </row>
    <row r="2039" spans="1:10">
      <c r="A2039" s="14" t="s">
        <v>31</v>
      </c>
      <c r="B2039" s="54" t="s">
        <v>29</v>
      </c>
      <c r="C2039" s="52">
        <f t="shared" ref="C2039:C2044" si="416">D2039+E2039+F2039+G2039+H2039+I2039</f>
        <v>258320.59</v>
      </c>
      <c r="D2039" s="64">
        <f t="shared" si="415"/>
        <v>810.22</v>
      </c>
      <c r="E2039" s="64">
        <f t="shared" si="415"/>
        <v>19000</v>
      </c>
      <c r="F2039" s="64">
        <f t="shared" si="415"/>
        <v>87870.040000000008</v>
      </c>
      <c r="G2039" s="64">
        <f t="shared" si="415"/>
        <v>77818.009999999995</v>
      </c>
      <c r="H2039" s="64">
        <f t="shared" si="415"/>
        <v>65853.919999999998</v>
      </c>
      <c r="I2039" s="64">
        <f t="shared" si="415"/>
        <v>6968.4</v>
      </c>
    </row>
    <row r="2040" spans="1:10">
      <c r="A2040" s="12" t="s">
        <v>32</v>
      </c>
      <c r="B2040" s="55" t="s">
        <v>30</v>
      </c>
      <c r="C2040" s="52">
        <f t="shared" si="416"/>
        <v>258320.59</v>
      </c>
      <c r="D2040" s="64">
        <f t="shared" si="415"/>
        <v>810.22</v>
      </c>
      <c r="E2040" s="64">
        <f t="shared" si="415"/>
        <v>19000</v>
      </c>
      <c r="F2040" s="64">
        <f t="shared" si="415"/>
        <v>87870.040000000008</v>
      </c>
      <c r="G2040" s="64">
        <f t="shared" si="415"/>
        <v>77818.009999999995</v>
      </c>
      <c r="H2040" s="64">
        <f t="shared" si="415"/>
        <v>65853.919999999998</v>
      </c>
      <c r="I2040" s="64">
        <f t="shared" si="415"/>
        <v>6968.4</v>
      </c>
    </row>
    <row r="2041" spans="1:10" ht="12.95">
      <c r="A2041" s="19" t="s">
        <v>37</v>
      </c>
      <c r="B2041" s="3" t="s">
        <v>29</v>
      </c>
      <c r="C2041" s="52">
        <f t="shared" si="416"/>
        <v>258320.59</v>
      </c>
      <c r="D2041" s="64">
        <f t="shared" si="415"/>
        <v>810.22</v>
      </c>
      <c r="E2041" s="64">
        <f t="shared" si="415"/>
        <v>19000</v>
      </c>
      <c r="F2041" s="64">
        <f t="shared" si="415"/>
        <v>87870.040000000008</v>
      </c>
      <c r="G2041" s="64">
        <f t="shared" si="415"/>
        <v>77818.009999999995</v>
      </c>
      <c r="H2041" s="64">
        <f t="shared" si="415"/>
        <v>65853.919999999998</v>
      </c>
      <c r="I2041" s="64">
        <f t="shared" si="415"/>
        <v>6968.4</v>
      </c>
    </row>
    <row r="2042" spans="1:10" ht="12.95">
      <c r="A2042" s="16"/>
      <c r="B2042" s="4" t="s">
        <v>30</v>
      </c>
      <c r="C2042" s="52">
        <f t="shared" si="416"/>
        <v>258320.59</v>
      </c>
      <c r="D2042" s="64">
        <f t="shared" si="415"/>
        <v>810.22</v>
      </c>
      <c r="E2042" s="64">
        <f t="shared" si="415"/>
        <v>19000</v>
      </c>
      <c r="F2042" s="64">
        <f t="shared" si="415"/>
        <v>87870.040000000008</v>
      </c>
      <c r="G2042" s="64">
        <f t="shared" si="415"/>
        <v>77818.009999999995</v>
      </c>
      <c r="H2042" s="64">
        <f t="shared" si="415"/>
        <v>65853.919999999998</v>
      </c>
      <c r="I2042" s="64">
        <f t="shared" si="415"/>
        <v>6968.4</v>
      </c>
    </row>
    <row r="2043" spans="1:10" ht="12.95">
      <c r="A2043" s="19" t="s">
        <v>52</v>
      </c>
      <c r="B2043" s="54" t="s">
        <v>29</v>
      </c>
      <c r="C2043" s="52">
        <f t="shared" si="416"/>
        <v>258320.59</v>
      </c>
      <c r="D2043" s="64">
        <f>D2052</f>
        <v>810.22</v>
      </c>
      <c r="E2043" s="64">
        <f t="shared" ref="E2043:I2044" si="417">E2052</f>
        <v>19000</v>
      </c>
      <c r="F2043" s="64">
        <f t="shared" si="417"/>
        <v>87870.040000000008</v>
      </c>
      <c r="G2043" s="64">
        <f t="shared" si="417"/>
        <v>77818.009999999995</v>
      </c>
      <c r="H2043" s="64">
        <f t="shared" si="417"/>
        <v>65853.919999999998</v>
      </c>
      <c r="I2043" s="64">
        <f t="shared" si="417"/>
        <v>6968.4</v>
      </c>
    </row>
    <row r="2044" spans="1:10" ht="12.95">
      <c r="A2044" s="16"/>
      <c r="B2044" s="55" t="s">
        <v>30</v>
      </c>
      <c r="C2044" s="52">
        <f t="shared" si="416"/>
        <v>258320.59</v>
      </c>
      <c r="D2044" s="64">
        <f>D2053</f>
        <v>810.22</v>
      </c>
      <c r="E2044" s="64">
        <f t="shared" si="417"/>
        <v>19000</v>
      </c>
      <c r="F2044" s="64">
        <f t="shared" si="417"/>
        <v>87870.040000000008</v>
      </c>
      <c r="G2044" s="64">
        <f t="shared" si="417"/>
        <v>77818.009999999995</v>
      </c>
      <c r="H2044" s="64">
        <f t="shared" si="417"/>
        <v>65853.919999999998</v>
      </c>
      <c r="I2044" s="64">
        <f t="shared" si="417"/>
        <v>6968.4</v>
      </c>
    </row>
    <row r="2045" spans="1:10">
      <c r="A2045" s="632" t="s">
        <v>59</v>
      </c>
      <c r="B2045" s="633"/>
      <c r="C2045" s="633"/>
      <c r="D2045" s="763"/>
      <c r="E2045" s="763"/>
      <c r="F2045" s="763"/>
      <c r="G2045" s="763"/>
      <c r="H2045" s="763"/>
      <c r="I2045" s="764"/>
    </row>
    <row r="2046" spans="1:10">
      <c r="A2046" s="180" t="s">
        <v>54</v>
      </c>
      <c r="B2046" s="63" t="s">
        <v>29</v>
      </c>
      <c r="C2046" s="52">
        <f t="shared" ref="C2046:C2057" si="418">D2046+E2046+F2046+G2046+H2046+I2046</f>
        <v>258320.59</v>
      </c>
      <c r="D2046" s="72">
        <f t="shared" ref="D2046:I2051" si="419">D2048</f>
        <v>810.22</v>
      </c>
      <c r="E2046" s="72">
        <f t="shared" si="419"/>
        <v>19000</v>
      </c>
      <c r="F2046" s="72">
        <f t="shared" si="419"/>
        <v>87870.040000000008</v>
      </c>
      <c r="G2046" s="72">
        <f t="shared" si="419"/>
        <v>77818.009999999995</v>
      </c>
      <c r="H2046" s="72">
        <f t="shared" si="419"/>
        <v>65853.919999999998</v>
      </c>
      <c r="I2046" s="72">
        <f t="shared" si="419"/>
        <v>6968.4</v>
      </c>
      <c r="J2046" s="211"/>
    </row>
    <row r="2047" spans="1:10">
      <c r="A2047" s="108" t="s">
        <v>87</v>
      </c>
      <c r="B2047" s="62" t="s">
        <v>30</v>
      </c>
      <c r="C2047" s="52">
        <f t="shared" si="418"/>
        <v>258320.59</v>
      </c>
      <c r="D2047" s="72">
        <f t="shared" si="419"/>
        <v>810.22</v>
      </c>
      <c r="E2047" s="72">
        <f t="shared" si="419"/>
        <v>19000</v>
      </c>
      <c r="F2047" s="72">
        <f t="shared" si="419"/>
        <v>87870.040000000008</v>
      </c>
      <c r="G2047" s="72">
        <f t="shared" si="419"/>
        <v>77818.009999999995</v>
      </c>
      <c r="H2047" s="72">
        <f t="shared" si="419"/>
        <v>65853.919999999998</v>
      </c>
      <c r="I2047" s="72">
        <f t="shared" si="419"/>
        <v>6968.4</v>
      </c>
      <c r="J2047" s="211"/>
    </row>
    <row r="2048" spans="1:10">
      <c r="A2048" s="121" t="s">
        <v>31</v>
      </c>
      <c r="B2048" s="62" t="s">
        <v>29</v>
      </c>
      <c r="C2048" s="52">
        <f t="shared" si="418"/>
        <v>258320.59</v>
      </c>
      <c r="D2048" s="72">
        <f t="shared" si="419"/>
        <v>810.22</v>
      </c>
      <c r="E2048" s="72">
        <f t="shared" si="419"/>
        <v>19000</v>
      </c>
      <c r="F2048" s="72">
        <f t="shared" si="419"/>
        <v>87870.040000000008</v>
      </c>
      <c r="G2048" s="72">
        <f t="shared" si="419"/>
        <v>77818.009999999995</v>
      </c>
      <c r="H2048" s="72">
        <f t="shared" si="419"/>
        <v>65853.919999999998</v>
      </c>
      <c r="I2048" s="72">
        <f t="shared" si="419"/>
        <v>6968.4</v>
      </c>
      <c r="J2048" s="211"/>
    </row>
    <row r="2049" spans="1:19">
      <c r="A2049" s="93" t="s">
        <v>32</v>
      </c>
      <c r="B2049" s="24" t="s">
        <v>30</v>
      </c>
      <c r="C2049" s="52">
        <f t="shared" si="418"/>
        <v>258320.59</v>
      </c>
      <c r="D2049" s="72">
        <f t="shared" si="419"/>
        <v>810.22</v>
      </c>
      <c r="E2049" s="72">
        <f t="shared" si="419"/>
        <v>19000</v>
      </c>
      <c r="F2049" s="72">
        <f t="shared" si="419"/>
        <v>87870.040000000008</v>
      </c>
      <c r="G2049" s="72">
        <f t="shared" si="419"/>
        <v>77818.009999999995</v>
      </c>
      <c r="H2049" s="72">
        <f t="shared" si="419"/>
        <v>65853.919999999998</v>
      </c>
      <c r="I2049" s="72">
        <f t="shared" si="419"/>
        <v>6968.4</v>
      </c>
      <c r="J2049" s="211"/>
      <c r="Q2049" s="252"/>
    </row>
    <row r="2050" spans="1:19" ht="12.95">
      <c r="A2050" s="19" t="s">
        <v>37</v>
      </c>
      <c r="B2050" s="24" t="s">
        <v>29</v>
      </c>
      <c r="C2050" s="52">
        <f t="shared" si="418"/>
        <v>258320.59</v>
      </c>
      <c r="D2050" s="72">
        <f t="shared" si="419"/>
        <v>810.22</v>
      </c>
      <c r="E2050" s="52">
        <f t="shared" si="419"/>
        <v>19000</v>
      </c>
      <c r="F2050" s="72">
        <f t="shared" si="419"/>
        <v>87870.040000000008</v>
      </c>
      <c r="G2050" s="72">
        <f t="shared" si="419"/>
        <v>77818.009999999995</v>
      </c>
      <c r="H2050" s="72">
        <f t="shared" si="419"/>
        <v>65853.919999999998</v>
      </c>
      <c r="I2050" s="72">
        <f t="shared" si="419"/>
        <v>6968.4</v>
      </c>
      <c r="J2050" s="211"/>
    </row>
    <row r="2051" spans="1:19" ht="12.95">
      <c r="A2051" s="16"/>
      <c r="B2051" s="26" t="s">
        <v>30</v>
      </c>
      <c r="C2051" s="52">
        <f t="shared" si="418"/>
        <v>258320.59</v>
      </c>
      <c r="D2051" s="72">
        <f t="shared" si="419"/>
        <v>810.22</v>
      </c>
      <c r="E2051" s="52">
        <f t="shared" si="419"/>
        <v>19000</v>
      </c>
      <c r="F2051" s="72">
        <f t="shared" si="419"/>
        <v>87870.040000000008</v>
      </c>
      <c r="G2051" s="72">
        <f t="shared" si="419"/>
        <v>77818.009999999995</v>
      </c>
      <c r="H2051" s="72">
        <f t="shared" si="419"/>
        <v>65853.919999999998</v>
      </c>
      <c r="I2051" s="72">
        <f t="shared" si="419"/>
        <v>6968.4</v>
      </c>
      <c r="J2051" s="211"/>
    </row>
    <row r="2052" spans="1:19" ht="12.95">
      <c r="A2052" s="19" t="s">
        <v>52</v>
      </c>
      <c r="B2052" s="24" t="s">
        <v>29</v>
      </c>
      <c r="C2052" s="52">
        <f t="shared" si="418"/>
        <v>258320.59</v>
      </c>
      <c r="D2052" s="72">
        <f>D2054+D2056</f>
        <v>810.22</v>
      </c>
      <c r="E2052" s="72">
        <f t="shared" ref="E2052:I2053" si="420">E2054+E2056</f>
        <v>19000</v>
      </c>
      <c r="F2052" s="72">
        <f t="shared" si="420"/>
        <v>87870.040000000008</v>
      </c>
      <c r="G2052" s="72">
        <f t="shared" si="420"/>
        <v>77818.009999999995</v>
      </c>
      <c r="H2052" s="72">
        <f t="shared" si="420"/>
        <v>65853.919999999998</v>
      </c>
      <c r="I2052" s="72">
        <f t="shared" si="420"/>
        <v>6968.4</v>
      </c>
      <c r="J2052" s="211"/>
      <c r="M2052" s="252"/>
      <c r="N2052" s="252"/>
      <c r="O2052" s="252"/>
      <c r="P2052" s="252"/>
      <c r="Q2052" s="252"/>
    </row>
    <row r="2053" spans="1:19">
      <c r="A2053" s="10"/>
      <c r="B2053" s="26" t="s">
        <v>30</v>
      </c>
      <c r="C2053" s="52">
        <f t="shared" si="418"/>
        <v>258320.59</v>
      </c>
      <c r="D2053" s="72">
        <f>D2055+D2057</f>
        <v>810.22</v>
      </c>
      <c r="E2053" s="72">
        <f t="shared" si="420"/>
        <v>19000</v>
      </c>
      <c r="F2053" s="72">
        <f t="shared" si="420"/>
        <v>87870.040000000008</v>
      </c>
      <c r="G2053" s="72">
        <f t="shared" si="420"/>
        <v>77818.009999999995</v>
      </c>
      <c r="H2053" s="72">
        <f t="shared" si="420"/>
        <v>65853.919999999998</v>
      </c>
      <c r="I2053" s="72">
        <f t="shared" si="420"/>
        <v>6968.4</v>
      </c>
      <c r="J2053" s="211"/>
    </row>
    <row r="2054" spans="1:19" s="407" customFormat="1">
      <c r="A2054" s="483" t="s">
        <v>807</v>
      </c>
      <c r="B2054" s="237" t="s">
        <v>29</v>
      </c>
      <c r="C2054" s="240">
        <f t="shared" si="418"/>
        <v>212009.00999999998</v>
      </c>
      <c r="D2054" s="240">
        <f>D2055</f>
        <v>686.69</v>
      </c>
      <c r="E2054" s="240">
        <f>1000+3000</f>
        <v>4000</v>
      </c>
      <c r="F2054" s="240">
        <v>69250</v>
      </c>
      <c r="G2054" s="240">
        <v>69250</v>
      </c>
      <c r="H2054" s="240">
        <f>68853.92-3000</f>
        <v>65853.919999999998</v>
      </c>
      <c r="I2054" s="240">
        <v>2968.4</v>
      </c>
      <c r="J2054" s="550" t="s">
        <v>808</v>
      </c>
      <c r="K2054" s="584"/>
      <c r="L2054" s="584"/>
      <c r="M2054" s="584"/>
      <c r="N2054" s="584"/>
      <c r="O2054" s="584"/>
      <c r="P2054" s="584"/>
      <c r="Q2054" s="584"/>
      <c r="R2054" s="584"/>
      <c r="S2054" s="584"/>
    </row>
    <row r="2055" spans="1:19" s="213" customFormat="1">
      <c r="A2055" s="300"/>
      <c r="B2055" s="226" t="s">
        <v>30</v>
      </c>
      <c r="C2055" s="240">
        <f t="shared" si="418"/>
        <v>212009.00999999998</v>
      </c>
      <c r="D2055" s="240">
        <f>264.6+390.32+31.77</f>
        <v>686.69</v>
      </c>
      <c r="E2055" s="240">
        <f>1000+3000</f>
        <v>4000</v>
      </c>
      <c r="F2055" s="240">
        <v>69250</v>
      </c>
      <c r="G2055" s="240">
        <v>69250</v>
      </c>
      <c r="H2055" s="240">
        <f>68853.92-3000</f>
        <v>65853.919999999998</v>
      </c>
      <c r="I2055" s="240">
        <v>2968.4</v>
      </c>
      <c r="J2055" s="550"/>
      <c r="K2055" s="584"/>
      <c r="L2055" s="584"/>
      <c r="M2055" s="584"/>
      <c r="N2055" s="584"/>
      <c r="O2055" s="584"/>
      <c r="P2055" s="584"/>
      <c r="Q2055" s="584"/>
      <c r="R2055" s="584"/>
      <c r="S2055" s="584"/>
    </row>
    <row r="2056" spans="1:19" s="407" customFormat="1" ht="37.35">
      <c r="A2056" s="419" t="s">
        <v>809</v>
      </c>
      <c r="B2056" s="237" t="s">
        <v>29</v>
      </c>
      <c r="C2056" s="240">
        <f t="shared" si="418"/>
        <v>46311.58</v>
      </c>
      <c r="D2056" s="240">
        <f>75+48.53</f>
        <v>123.53</v>
      </c>
      <c r="E2056" s="240">
        <v>15000</v>
      </c>
      <c r="F2056" s="240">
        <v>18620.04</v>
      </c>
      <c r="G2056" s="240">
        <f>8311.73+256.28</f>
        <v>8568.01</v>
      </c>
      <c r="H2056" s="240">
        <v>0</v>
      </c>
      <c r="I2056" s="240">
        <v>4000</v>
      </c>
      <c r="J2056" s="594" t="s">
        <v>810</v>
      </c>
      <c r="K2056" s="595"/>
      <c r="L2056" s="595"/>
      <c r="M2056" s="595"/>
      <c r="N2056" s="595"/>
      <c r="O2056" s="595"/>
      <c r="P2056" s="595"/>
      <c r="Q2056" s="595"/>
      <c r="R2056" s="595"/>
      <c r="S2056" s="595"/>
    </row>
    <row r="2057" spans="1:19" s="212" customFormat="1">
      <c r="A2057" s="300"/>
      <c r="B2057" s="226" t="s">
        <v>30</v>
      </c>
      <c r="C2057" s="240">
        <f t="shared" si="418"/>
        <v>46311.58</v>
      </c>
      <c r="D2057" s="240">
        <f>75+48.53</f>
        <v>123.53</v>
      </c>
      <c r="E2057" s="240">
        <v>15000</v>
      </c>
      <c r="F2057" s="240">
        <v>18620.04</v>
      </c>
      <c r="G2057" s="240">
        <f>8311.73+256.28</f>
        <v>8568.01</v>
      </c>
      <c r="H2057" s="240">
        <v>0</v>
      </c>
      <c r="I2057" s="240">
        <v>4000</v>
      </c>
      <c r="J2057" s="594"/>
      <c r="K2057" s="595"/>
      <c r="L2057" s="595"/>
      <c r="M2057" s="595"/>
      <c r="N2057" s="595"/>
      <c r="O2057" s="595"/>
      <c r="P2057" s="595"/>
      <c r="Q2057" s="595"/>
      <c r="R2057" s="595"/>
      <c r="S2057" s="595"/>
    </row>
    <row r="2058" spans="1:19">
      <c r="A2058" s="638" t="s">
        <v>811</v>
      </c>
      <c r="B2058" s="639"/>
      <c r="C2058" s="640"/>
      <c r="D2058" s="639"/>
      <c r="E2058" s="639"/>
      <c r="F2058" s="639"/>
      <c r="G2058" s="639"/>
      <c r="H2058" s="639"/>
      <c r="I2058" s="641"/>
    </row>
    <row r="2059" spans="1:19">
      <c r="A2059" s="628" t="s">
        <v>54</v>
      </c>
      <c r="B2059" s="629"/>
      <c r="C2059" s="630"/>
      <c r="D2059" s="630"/>
      <c r="E2059" s="630"/>
      <c r="F2059" s="630"/>
      <c r="G2059" s="630"/>
      <c r="H2059" s="630"/>
      <c r="I2059" s="631"/>
    </row>
    <row r="2060" spans="1:19">
      <c r="A2060" s="11" t="s">
        <v>28</v>
      </c>
      <c r="B2060" s="54" t="s">
        <v>29</v>
      </c>
      <c r="C2060" s="130">
        <f t="shared" ref="C2060:C2083" si="421">D2060+E2060+F2060+G2060+H2060+I2060</f>
        <v>111331.386</v>
      </c>
      <c r="D2060" s="130">
        <f>D2062+D2072</f>
        <v>15426.490000000002</v>
      </c>
      <c r="E2060" s="130">
        <f t="shared" ref="E2060:I2061" si="422">E2062+E2072</f>
        <v>50316</v>
      </c>
      <c r="F2060" s="130">
        <f t="shared" si="422"/>
        <v>2565</v>
      </c>
      <c r="G2060" s="130">
        <f t="shared" si="422"/>
        <v>2300</v>
      </c>
      <c r="H2060" s="130">
        <f t="shared" si="422"/>
        <v>0</v>
      </c>
      <c r="I2060" s="130">
        <f t="shared" si="422"/>
        <v>40723.896000000001</v>
      </c>
    </row>
    <row r="2061" spans="1:19" ht="12.95" thickBot="1">
      <c r="A2061" s="60"/>
      <c r="B2061" s="65" t="s">
        <v>30</v>
      </c>
      <c r="C2061" s="130">
        <f t="shared" si="421"/>
        <v>111331.386</v>
      </c>
      <c r="D2061" s="130">
        <f>D2063+D2073</f>
        <v>15426.490000000002</v>
      </c>
      <c r="E2061" s="130">
        <f t="shared" si="422"/>
        <v>50316</v>
      </c>
      <c r="F2061" s="130">
        <f t="shared" si="422"/>
        <v>2565</v>
      </c>
      <c r="G2061" s="130">
        <f t="shared" si="422"/>
        <v>2300</v>
      </c>
      <c r="H2061" s="130">
        <f t="shared" si="422"/>
        <v>0</v>
      </c>
      <c r="I2061" s="130">
        <f t="shared" si="422"/>
        <v>40723.896000000001</v>
      </c>
    </row>
    <row r="2062" spans="1:19">
      <c r="A2062" s="14" t="s">
        <v>31</v>
      </c>
      <c r="B2062" s="54" t="s">
        <v>29</v>
      </c>
      <c r="C2062" s="52">
        <f t="shared" si="421"/>
        <v>10248.021000000001</v>
      </c>
      <c r="D2062" s="64">
        <f>D2064</f>
        <v>5208.5700000000006</v>
      </c>
      <c r="E2062" s="64">
        <f t="shared" ref="E2062:I2063" si="423">E2064</f>
        <v>5020</v>
      </c>
      <c r="F2062" s="64">
        <f t="shared" si="423"/>
        <v>0</v>
      </c>
      <c r="G2062" s="64">
        <f t="shared" si="423"/>
        <v>0</v>
      </c>
      <c r="H2062" s="64">
        <f t="shared" si="423"/>
        <v>0</v>
      </c>
      <c r="I2062" s="64">
        <f t="shared" si="423"/>
        <v>19.451000000000022</v>
      </c>
    </row>
    <row r="2063" spans="1:19">
      <c r="A2063" s="12" t="s">
        <v>32</v>
      </c>
      <c r="B2063" s="55" t="s">
        <v>30</v>
      </c>
      <c r="C2063" s="52">
        <f t="shared" si="421"/>
        <v>10248.021000000001</v>
      </c>
      <c r="D2063" s="64">
        <f>D2065</f>
        <v>5208.5700000000006</v>
      </c>
      <c r="E2063" s="64">
        <f t="shared" si="423"/>
        <v>5020</v>
      </c>
      <c r="F2063" s="64">
        <f t="shared" si="423"/>
        <v>0</v>
      </c>
      <c r="G2063" s="64">
        <f t="shared" si="423"/>
        <v>0</v>
      </c>
      <c r="H2063" s="64">
        <f t="shared" si="423"/>
        <v>0</v>
      </c>
      <c r="I2063" s="64">
        <f t="shared" si="423"/>
        <v>19.451000000000022</v>
      </c>
    </row>
    <row r="2064" spans="1:19" ht="12.95">
      <c r="A2064" s="19" t="s">
        <v>37</v>
      </c>
      <c r="B2064" s="3" t="s">
        <v>29</v>
      </c>
      <c r="C2064" s="52">
        <f t="shared" si="421"/>
        <v>10248.021000000001</v>
      </c>
      <c r="D2064" s="64">
        <f>D2066+D2070</f>
        <v>5208.5700000000006</v>
      </c>
      <c r="E2064" s="64">
        <f t="shared" ref="E2064:I2065" si="424">E2066+E2070</f>
        <v>5020</v>
      </c>
      <c r="F2064" s="64">
        <f t="shared" si="424"/>
        <v>0</v>
      </c>
      <c r="G2064" s="64">
        <f t="shared" si="424"/>
        <v>0</v>
      </c>
      <c r="H2064" s="64">
        <f t="shared" si="424"/>
        <v>0</v>
      </c>
      <c r="I2064" s="64">
        <f t="shared" si="424"/>
        <v>19.451000000000022</v>
      </c>
    </row>
    <row r="2065" spans="1:9" ht="12.95">
      <c r="A2065" s="16"/>
      <c r="B2065" s="4" t="s">
        <v>30</v>
      </c>
      <c r="C2065" s="52">
        <f t="shared" si="421"/>
        <v>10248.021000000001</v>
      </c>
      <c r="D2065" s="64">
        <f>D2067+D2071</f>
        <v>5208.5700000000006</v>
      </c>
      <c r="E2065" s="64">
        <f t="shared" si="424"/>
        <v>5020</v>
      </c>
      <c r="F2065" s="64">
        <f t="shared" si="424"/>
        <v>0</v>
      </c>
      <c r="G2065" s="64">
        <f t="shared" si="424"/>
        <v>0</v>
      </c>
      <c r="H2065" s="64">
        <f t="shared" si="424"/>
        <v>0</v>
      </c>
      <c r="I2065" s="64">
        <f t="shared" si="424"/>
        <v>19.451000000000022</v>
      </c>
    </row>
    <row r="2066" spans="1:9">
      <c r="A2066" s="13" t="s">
        <v>50</v>
      </c>
      <c r="B2066" s="56" t="s">
        <v>29</v>
      </c>
      <c r="C2066" s="52">
        <f t="shared" si="421"/>
        <v>2382.4210000000003</v>
      </c>
      <c r="D2066" s="64">
        <f>D2068</f>
        <v>799.97</v>
      </c>
      <c r="E2066" s="64">
        <f t="shared" ref="E2066:I2067" si="425">E2068</f>
        <v>1563</v>
      </c>
      <c r="F2066" s="64">
        <f t="shared" si="425"/>
        <v>0</v>
      </c>
      <c r="G2066" s="64">
        <f t="shared" si="425"/>
        <v>0</v>
      </c>
      <c r="H2066" s="64">
        <f t="shared" si="425"/>
        <v>0</v>
      </c>
      <c r="I2066" s="64">
        <f t="shared" si="425"/>
        <v>19.451000000000022</v>
      </c>
    </row>
    <row r="2067" spans="1:9">
      <c r="A2067" s="12"/>
      <c r="B2067" s="55" t="s">
        <v>30</v>
      </c>
      <c r="C2067" s="52">
        <f t="shared" si="421"/>
        <v>2382.4210000000003</v>
      </c>
      <c r="D2067" s="64">
        <f>D2069</f>
        <v>799.97</v>
      </c>
      <c r="E2067" s="64">
        <f t="shared" si="425"/>
        <v>1563</v>
      </c>
      <c r="F2067" s="64">
        <f t="shared" si="425"/>
        <v>0</v>
      </c>
      <c r="G2067" s="64">
        <f t="shared" si="425"/>
        <v>0</v>
      </c>
      <c r="H2067" s="64">
        <f t="shared" si="425"/>
        <v>0</v>
      </c>
      <c r="I2067" s="64">
        <f t="shared" si="425"/>
        <v>19.451000000000022</v>
      </c>
    </row>
    <row r="2068" spans="1:9" ht="12.95">
      <c r="A2068" s="19" t="s">
        <v>812</v>
      </c>
      <c r="B2068" s="54" t="s">
        <v>29</v>
      </c>
      <c r="C2068" s="52">
        <f t="shared" si="421"/>
        <v>2382.4210000000003</v>
      </c>
      <c r="D2068" s="64">
        <f t="shared" ref="D2068:I2069" si="426">D2091+D2104+D2127+D2284+D2445</f>
        <v>799.97</v>
      </c>
      <c r="E2068" s="64">
        <f t="shared" si="426"/>
        <v>1563</v>
      </c>
      <c r="F2068" s="64">
        <f t="shared" si="426"/>
        <v>0</v>
      </c>
      <c r="G2068" s="64">
        <f t="shared" si="426"/>
        <v>0</v>
      </c>
      <c r="H2068" s="64">
        <f t="shared" si="426"/>
        <v>0</v>
      </c>
      <c r="I2068" s="64">
        <f t="shared" si="426"/>
        <v>19.451000000000022</v>
      </c>
    </row>
    <row r="2069" spans="1:9" ht="12.95">
      <c r="A2069" s="16"/>
      <c r="B2069" s="55" t="s">
        <v>30</v>
      </c>
      <c r="C2069" s="52">
        <f t="shared" si="421"/>
        <v>2382.4210000000003</v>
      </c>
      <c r="D2069" s="64">
        <f t="shared" si="426"/>
        <v>799.97</v>
      </c>
      <c r="E2069" s="64">
        <f t="shared" si="426"/>
        <v>1563</v>
      </c>
      <c r="F2069" s="64">
        <f t="shared" si="426"/>
        <v>0</v>
      </c>
      <c r="G2069" s="64">
        <f t="shared" si="426"/>
        <v>0</v>
      </c>
      <c r="H2069" s="64">
        <f t="shared" si="426"/>
        <v>0</v>
      </c>
      <c r="I2069" s="64">
        <f t="shared" si="426"/>
        <v>19.451000000000022</v>
      </c>
    </row>
    <row r="2070" spans="1:9" ht="12.95">
      <c r="A2070" s="19" t="s">
        <v>52</v>
      </c>
      <c r="B2070" s="54" t="s">
        <v>29</v>
      </c>
      <c r="C2070" s="52">
        <f t="shared" si="421"/>
        <v>7865.6</v>
      </c>
      <c r="D2070" s="64">
        <f t="shared" ref="D2070:I2071" si="427">D2110+D2364</f>
        <v>4408.6000000000004</v>
      </c>
      <c r="E2070" s="64">
        <f t="shared" si="427"/>
        <v>3457</v>
      </c>
      <c r="F2070" s="64">
        <f t="shared" si="427"/>
        <v>0</v>
      </c>
      <c r="G2070" s="64">
        <f t="shared" si="427"/>
        <v>0</v>
      </c>
      <c r="H2070" s="64">
        <f t="shared" si="427"/>
        <v>0</v>
      </c>
      <c r="I2070" s="64">
        <f t="shared" si="427"/>
        <v>0</v>
      </c>
    </row>
    <row r="2071" spans="1:9" ht="12.95">
      <c r="A2071" s="16"/>
      <c r="B2071" s="55" t="s">
        <v>30</v>
      </c>
      <c r="C2071" s="52">
        <f t="shared" si="421"/>
        <v>7865.6</v>
      </c>
      <c r="D2071" s="64">
        <f t="shared" si="427"/>
        <v>4408.6000000000004</v>
      </c>
      <c r="E2071" s="64">
        <f t="shared" si="427"/>
        <v>3457</v>
      </c>
      <c r="F2071" s="64">
        <f t="shared" si="427"/>
        <v>0</v>
      </c>
      <c r="G2071" s="64">
        <f t="shared" si="427"/>
        <v>0</v>
      </c>
      <c r="H2071" s="64">
        <f t="shared" si="427"/>
        <v>0</v>
      </c>
      <c r="I2071" s="64">
        <f t="shared" si="427"/>
        <v>0</v>
      </c>
    </row>
    <row r="2072" spans="1:9">
      <c r="A2072" s="47" t="s">
        <v>47</v>
      </c>
      <c r="B2072" s="54" t="s">
        <v>29</v>
      </c>
      <c r="C2072" s="130">
        <f t="shared" si="421"/>
        <v>101083.36499999999</v>
      </c>
      <c r="D2072" s="130">
        <f>D2074+D2076</f>
        <v>10217.92</v>
      </c>
      <c r="E2072" s="130">
        <f t="shared" ref="E2072:I2073" si="428">E2074+E2076</f>
        <v>45296</v>
      </c>
      <c r="F2072" s="130">
        <f t="shared" si="428"/>
        <v>2565</v>
      </c>
      <c r="G2072" s="130">
        <f t="shared" si="428"/>
        <v>2300</v>
      </c>
      <c r="H2072" s="130">
        <f t="shared" si="428"/>
        <v>0</v>
      </c>
      <c r="I2072" s="130">
        <f t="shared" si="428"/>
        <v>40704.445</v>
      </c>
    </row>
    <row r="2073" spans="1:9">
      <c r="A2073" s="12" t="s">
        <v>48</v>
      </c>
      <c r="B2073" s="55" t="s">
        <v>30</v>
      </c>
      <c r="C2073" s="130">
        <f t="shared" si="421"/>
        <v>101083.36499999999</v>
      </c>
      <c r="D2073" s="130">
        <f>D2075+D2077</f>
        <v>10217.92</v>
      </c>
      <c r="E2073" s="130">
        <f t="shared" si="428"/>
        <v>45296</v>
      </c>
      <c r="F2073" s="130">
        <f t="shared" si="428"/>
        <v>2565</v>
      </c>
      <c r="G2073" s="130">
        <f t="shared" si="428"/>
        <v>2300</v>
      </c>
      <c r="H2073" s="130">
        <f t="shared" si="428"/>
        <v>0</v>
      </c>
      <c r="I2073" s="130">
        <f t="shared" si="428"/>
        <v>40704.445</v>
      </c>
    </row>
    <row r="2074" spans="1:9" ht="28.35">
      <c r="A2074" s="394" t="s">
        <v>61</v>
      </c>
      <c r="B2074" s="3" t="s">
        <v>29</v>
      </c>
      <c r="C2074" s="52">
        <f t="shared" si="421"/>
        <v>21103</v>
      </c>
      <c r="D2074" s="64">
        <f>D2146</f>
        <v>427</v>
      </c>
      <c r="E2074" s="64">
        <f t="shared" ref="E2074:I2075" si="429">E2146</f>
        <v>20676</v>
      </c>
      <c r="F2074" s="64">
        <f t="shared" si="429"/>
        <v>0</v>
      </c>
      <c r="G2074" s="64">
        <f t="shared" si="429"/>
        <v>0</v>
      </c>
      <c r="H2074" s="64">
        <f t="shared" si="429"/>
        <v>0</v>
      </c>
      <c r="I2074" s="64">
        <f t="shared" si="429"/>
        <v>0</v>
      </c>
    </row>
    <row r="2075" spans="1:9" ht="12.95">
      <c r="A2075" s="16"/>
      <c r="B2075" s="4" t="s">
        <v>30</v>
      </c>
      <c r="C2075" s="52">
        <f t="shared" si="421"/>
        <v>21103</v>
      </c>
      <c r="D2075" s="64">
        <f>D2147</f>
        <v>427</v>
      </c>
      <c r="E2075" s="64">
        <f t="shared" si="429"/>
        <v>20676</v>
      </c>
      <c r="F2075" s="64">
        <f t="shared" si="429"/>
        <v>0</v>
      </c>
      <c r="G2075" s="64">
        <f t="shared" si="429"/>
        <v>0</v>
      </c>
      <c r="H2075" s="64">
        <f t="shared" si="429"/>
        <v>0</v>
      </c>
      <c r="I2075" s="64">
        <f t="shared" si="429"/>
        <v>0</v>
      </c>
    </row>
    <row r="2076" spans="1:9" ht="12.95">
      <c r="A2076" s="19" t="s">
        <v>37</v>
      </c>
      <c r="B2076" s="3" t="s">
        <v>29</v>
      </c>
      <c r="C2076" s="52">
        <f t="shared" si="421"/>
        <v>79980.364999999991</v>
      </c>
      <c r="D2076" s="64">
        <f>D2078+D2082</f>
        <v>9790.92</v>
      </c>
      <c r="E2076" s="64">
        <f t="shared" ref="E2076:I2077" si="430">E2078+E2082</f>
        <v>24620</v>
      </c>
      <c r="F2076" s="64">
        <f t="shared" si="430"/>
        <v>2565</v>
      </c>
      <c r="G2076" s="64">
        <f t="shared" si="430"/>
        <v>2300</v>
      </c>
      <c r="H2076" s="64">
        <f t="shared" si="430"/>
        <v>0</v>
      </c>
      <c r="I2076" s="64">
        <f t="shared" si="430"/>
        <v>40704.445</v>
      </c>
    </row>
    <row r="2077" spans="1:9" ht="12.95">
      <c r="A2077" s="16"/>
      <c r="B2077" s="4" t="s">
        <v>30</v>
      </c>
      <c r="C2077" s="52">
        <f t="shared" si="421"/>
        <v>79980.364999999991</v>
      </c>
      <c r="D2077" s="64">
        <f>D2079+D2083</f>
        <v>9790.92</v>
      </c>
      <c r="E2077" s="64">
        <f t="shared" si="430"/>
        <v>24620</v>
      </c>
      <c r="F2077" s="64">
        <f t="shared" si="430"/>
        <v>2565</v>
      </c>
      <c r="G2077" s="64">
        <f t="shared" si="430"/>
        <v>2300</v>
      </c>
      <c r="H2077" s="64">
        <f t="shared" si="430"/>
        <v>0</v>
      </c>
      <c r="I2077" s="64">
        <f t="shared" si="430"/>
        <v>40704.445</v>
      </c>
    </row>
    <row r="2078" spans="1:9">
      <c r="A2078" s="13" t="s">
        <v>50</v>
      </c>
      <c r="B2078" s="56" t="s">
        <v>29</v>
      </c>
      <c r="C2078" s="52">
        <f t="shared" si="421"/>
        <v>64914.114999999998</v>
      </c>
      <c r="D2078" s="64">
        <f>D2080</f>
        <v>5201.3500000000004</v>
      </c>
      <c r="E2078" s="64">
        <f t="shared" ref="E2078:I2079" si="431">E2080</f>
        <v>16812</v>
      </c>
      <c r="F2078" s="64">
        <f t="shared" si="431"/>
        <v>2565</v>
      </c>
      <c r="G2078" s="64">
        <f t="shared" si="431"/>
        <v>2300</v>
      </c>
      <c r="H2078" s="64">
        <f t="shared" si="431"/>
        <v>0</v>
      </c>
      <c r="I2078" s="64">
        <f t="shared" si="431"/>
        <v>38035.764999999999</v>
      </c>
    </row>
    <row r="2079" spans="1:9">
      <c r="A2079" s="12"/>
      <c r="B2079" s="55" t="s">
        <v>30</v>
      </c>
      <c r="C2079" s="52">
        <f t="shared" si="421"/>
        <v>64914.114999999998</v>
      </c>
      <c r="D2079" s="64">
        <f>D2081</f>
        <v>5201.3500000000004</v>
      </c>
      <c r="E2079" s="64">
        <f t="shared" si="431"/>
        <v>16812</v>
      </c>
      <c r="F2079" s="64">
        <f t="shared" si="431"/>
        <v>2565</v>
      </c>
      <c r="G2079" s="64">
        <f t="shared" si="431"/>
        <v>2300</v>
      </c>
      <c r="H2079" s="64">
        <f t="shared" si="431"/>
        <v>0</v>
      </c>
      <c r="I2079" s="64">
        <f t="shared" si="431"/>
        <v>38035.764999999999</v>
      </c>
    </row>
    <row r="2080" spans="1:9" ht="12.95">
      <c r="A2080" s="19" t="s">
        <v>812</v>
      </c>
      <c r="B2080" s="56" t="s">
        <v>29</v>
      </c>
      <c r="C2080" s="52">
        <f t="shared" si="421"/>
        <v>64914.114999999998</v>
      </c>
      <c r="D2080" s="64">
        <f t="shared" ref="D2080:I2081" si="432">D2376+D2156+D2241</f>
        <v>5201.3500000000004</v>
      </c>
      <c r="E2080" s="64">
        <f t="shared" si="432"/>
        <v>16812</v>
      </c>
      <c r="F2080" s="64">
        <f t="shared" si="432"/>
        <v>2565</v>
      </c>
      <c r="G2080" s="64">
        <f t="shared" si="432"/>
        <v>2300</v>
      </c>
      <c r="H2080" s="64">
        <f t="shared" si="432"/>
        <v>0</v>
      </c>
      <c r="I2080" s="64">
        <f t="shared" si="432"/>
        <v>38035.764999999999</v>
      </c>
    </row>
    <row r="2081" spans="1:19" ht="12.95">
      <c r="A2081" s="16"/>
      <c r="B2081" s="55" t="s">
        <v>30</v>
      </c>
      <c r="C2081" s="52">
        <f t="shared" si="421"/>
        <v>64914.114999999998</v>
      </c>
      <c r="D2081" s="64">
        <f t="shared" si="432"/>
        <v>5201.3500000000004</v>
      </c>
      <c r="E2081" s="64">
        <f t="shared" si="432"/>
        <v>16812</v>
      </c>
      <c r="F2081" s="64">
        <f t="shared" si="432"/>
        <v>2565</v>
      </c>
      <c r="G2081" s="64">
        <f t="shared" si="432"/>
        <v>2300</v>
      </c>
      <c r="H2081" s="64">
        <f t="shared" si="432"/>
        <v>0</v>
      </c>
      <c r="I2081" s="64">
        <f t="shared" si="432"/>
        <v>38035.764999999999</v>
      </c>
    </row>
    <row r="2082" spans="1:19" ht="12.95">
      <c r="A2082" s="19" t="s">
        <v>52</v>
      </c>
      <c r="B2082" s="54" t="s">
        <v>29</v>
      </c>
      <c r="C2082" s="52">
        <f t="shared" si="421"/>
        <v>15066.25</v>
      </c>
      <c r="D2082" s="64">
        <f t="shared" ref="D2082:I2083" si="433">D2212+D2269</f>
        <v>4589.57</v>
      </c>
      <c r="E2082" s="64">
        <f t="shared" si="433"/>
        <v>7808</v>
      </c>
      <c r="F2082" s="64">
        <f t="shared" si="433"/>
        <v>0</v>
      </c>
      <c r="G2082" s="64">
        <f t="shared" si="433"/>
        <v>0</v>
      </c>
      <c r="H2082" s="64">
        <f t="shared" si="433"/>
        <v>0</v>
      </c>
      <c r="I2082" s="64">
        <f t="shared" si="433"/>
        <v>2668.6800000000003</v>
      </c>
    </row>
    <row r="2083" spans="1:19" ht="12.95">
      <c r="A2083" s="16"/>
      <c r="B2083" s="55" t="s">
        <v>30</v>
      </c>
      <c r="C2083" s="52">
        <f t="shared" si="421"/>
        <v>15066.25</v>
      </c>
      <c r="D2083" s="64">
        <f t="shared" si="433"/>
        <v>4589.57</v>
      </c>
      <c r="E2083" s="64">
        <f t="shared" si="433"/>
        <v>7808</v>
      </c>
      <c r="F2083" s="64">
        <f t="shared" si="433"/>
        <v>0</v>
      </c>
      <c r="G2083" s="64">
        <f t="shared" si="433"/>
        <v>0</v>
      </c>
      <c r="H2083" s="64">
        <f t="shared" si="433"/>
        <v>0</v>
      </c>
      <c r="I2083" s="64">
        <f t="shared" si="433"/>
        <v>2668.6800000000003</v>
      </c>
    </row>
    <row r="2084" spans="1:19">
      <c r="A2084" s="632" t="s">
        <v>59</v>
      </c>
      <c r="B2084" s="633"/>
      <c r="C2084" s="633"/>
      <c r="D2084" s="763"/>
      <c r="E2084" s="763"/>
      <c r="F2084" s="763"/>
      <c r="G2084" s="763"/>
      <c r="H2084" s="763"/>
      <c r="I2084" s="764"/>
    </row>
    <row r="2085" spans="1:19">
      <c r="A2085" s="180" t="s">
        <v>54</v>
      </c>
      <c r="B2085" s="63" t="s">
        <v>29</v>
      </c>
      <c r="C2085" s="52">
        <f t="shared" ref="C2085:C2096" si="434">D2085+E2085+F2085+G2085+H2085+I2085</f>
        <v>573.46</v>
      </c>
      <c r="D2085" s="72">
        <f t="shared" ref="D2085:I2090" si="435">D2087</f>
        <v>223.46</v>
      </c>
      <c r="E2085" s="72">
        <f t="shared" si="435"/>
        <v>350</v>
      </c>
      <c r="F2085" s="72">
        <f t="shared" si="435"/>
        <v>0</v>
      </c>
      <c r="G2085" s="72">
        <f t="shared" si="435"/>
        <v>0</v>
      </c>
      <c r="H2085" s="72">
        <f t="shared" si="435"/>
        <v>0</v>
      </c>
      <c r="I2085" s="72">
        <f t="shared" si="435"/>
        <v>0</v>
      </c>
      <c r="J2085" s="211"/>
    </row>
    <row r="2086" spans="1:19">
      <c r="A2086" s="108" t="s">
        <v>87</v>
      </c>
      <c r="B2086" s="62" t="s">
        <v>30</v>
      </c>
      <c r="C2086" s="52">
        <f t="shared" si="434"/>
        <v>573.46</v>
      </c>
      <c r="D2086" s="72">
        <f t="shared" si="435"/>
        <v>223.46</v>
      </c>
      <c r="E2086" s="72">
        <f t="shared" si="435"/>
        <v>350</v>
      </c>
      <c r="F2086" s="72">
        <f t="shared" si="435"/>
        <v>0</v>
      </c>
      <c r="G2086" s="72">
        <f t="shared" si="435"/>
        <v>0</v>
      </c>
      <c r="H2086" s="72">
        <f t="shared" si="435"/>
        <v>0</v>
      </c>
      <c r="I2086" s="72">
        <f t="shared" si="435"/>
        <v>0</v>
      </c>
      <c r="J2086" s="211"/>
    </row>
    <row r="2087" spans="1:19">
      <c r="A2087" s="121" t="s">
        <v>31</v>
      </c>
      <c r="B2087" s="63" t="s">
        <v>29</v>
      </c>
      <c r="C2087" s="52">
        <f t="shared" si="434"/>
        <v>573.46</v>
      </c>
      <c r="D2087" s="72">
        <f t="shared" si="435"/>
        <v>223.46</v>
      </c>
      <c r="E2087" s="72">
        <f t="shared" si="435"/>
        <v>350</v>
      </c>
      <c r="F2087" s="72">
        <f t="shared" si="435"/>
        <v>0</v>
      </c>
      <c r="G2087" s="72">
        <f t="shared" si="435"/>
        <v>0</v>
      </c>
      <c r="H2087" s="72">
        <f t="shared" si="435"/>
        <v>0</v>
      </c>
      <c r="I2087" s="72">
        <f t="shared" si="435"/>
        <v>0</v>
      </c>
      <c r="J2087" s="211"/>
    </row>
    <row r="2088" spans="1:19">
      <c r="A2088" s="93" t="s">
        <v>32</v>
      </c>
      <c r="B2088" s="26" t="s">
        <v>30</v>
      </c>
      <c r="C2088" s="52">
        <f t="shared" si="434"/>
        <v>573.46</v>
      </c>
      <c r="D2088" s="72">
        <f t="shared" si="435"/>
        <v>223.46</v>
      </c>
      <c r="E2088" s="72">
        <f t="shared" si="435"/>
        <v>350</v>
      </c>
      <c r="F2088" s="72">
        <f t="shared" si="435"/>
        <v>0</v>
      </c>
      <c r="G2088" s="72">
        <f t="shared" si="435"/>
        <v>0</v>
      </c>
      <c r="H2088" s="72">
        <f t="shared" si="435"/>
        <v>0</v>
      </c>
      <c r="I2088" s="72">
        <f t="shared" si="435"/>
        <v>0</v>
      </c>
      <c r="J2088" s="211"/>
      <c r="Q2088" s="252"/>
    </row>
    <row r="2089" spans="1:19" ht="12.95">
      <c r="A2089" s="19" t="s">
        <v>37</v>
      </c>
      <c r="B2089" s="24" t="s">
        <v>29</v>
      </c>
      <c r="C2089" s="52">
        <f t="shared" si="434"/>
        <v>573.46</v>
      </c>
      <c r="D2089" s="72">
        <f>D2091</f>
        <v>223.46</v>
      </c>
      <c r="E2089" s="72">
        <f t="shared" si="435"/>
        <v>350</v>
      </c>
      <c r="F2089" s="72">
        <f t="shared" si="435"/>
        <v>0</v>
      </c>
      <c r="G2089" s="72">
        <f t="shared" si="435"/>
        <v>0</v>
      </c>
      <c r="H2089" s="72">
        <f t="shared" si="435"/>
        <v>0</v>
      </c>
      <c r="I2089" s="72">
        <f t="shared" si="435"/>
        <v>0</v>
      </c>
      <c r="J2089" s="211"/>
    </row>
    <row r="2090" spans="1:19" ht="12.95">
      <c r="A2090" s="16"/>
      <c r="B2090" s="26" t="s">
        <v>30</v>
      </c>
      <c r="C2090" s="52">
        <f t="shared" si="434"/>
        <v>573.46</v>
      </c>
      <c r="D2090" s="72">
        <f>D2092</f>
        <v>223.46</v>
      </c>
      <c r="E2090" s="72">
        <f t="shared" si="435"/>
        <v>350</v>
      </c>
      <c r="F2090" s="72">
        <f t="shared" si="435"/>
        <v>0</v>
      </c>
      <c r="G2090" s="72">
        <f t="shared" si="435"/>
        <v>0</v>
      </c>
      <c r="H2090" s="72">
        <f t="shared" si="435"/>
        <v>0</v>
      </c>
      <c r="I2090" s="72">
        <f t="shared" si="435"/>
        <v>0</v>
      </c>
      <c r="J2090" s="211"/>
    </row>
    <row r="2091" spans="1:19" ht="12.95">
      <c r="A2091" s="19" t="s">
        <v>812</v>
      </c>
      <c r="B2091" s="54" t="s">
        <v>29</v>
      </c>
      <c r="C2091" s="52">
        <f t="shared" si="434"/>
        <v>573.46</v>
      </c>
      <c r="D2091" s="64">
        <f>D2093+D2095</f>
        <v>223.46</v>
      </c>
      <c r="E2091" s="64">
        <f t="shared" ref="E2091:I2092" si="436">E2093+E2095</f>
        <v>350</v>
      </c>
      <c r="F2091" s="64">
        <f t="shared" si="436"/>
        <v>0</v>
      </c>
      <c r="G2091" s="64">
        <f t="shared" si="436"/>
        <v>0</v>
      </c>
      <c r="H2091" s="64">
        <f t="shared" si="436"/>
        <v>0</v>
      </c>
      <c r="I2091" s="64">
        <f t="shared" si="436"/>
        <v>0</v>
      </c>
    </row>
    <row r="2092" spans="1:19" ht="12.95">
      <c r="A2092" s="16"/>
      <c r="B2092" s="55" t="s">
        <v>30</v>
      </c>
      <c r="C2092" s="52">
        <f t="shared" si="434"/>
        <v>573.46</v>
      </c>
      <c r="D2092" s="64">
        <f>D2094+D2096</f>
        <v>223.46</v>
      </c>
      <c r="E2092" s="64">
        <f t="shared" si="436"/>
        <v>350</v>
      </c>
      <c r="F2092" s="64">
        <f t="shared" si="436"/>
        <v>0</v>
      </c>
      <c r="G2092" s="64">
        <f t="shared" si="436"/>
        <v>0</v>
      </c>
      <c r="H2092" s="64">
        <f t="shared" si="436"/>
        <v>0</v>
      </c>
      <c r="I2092" s="64">
        <f t="shared" si="436"/>
        <v>0</v>
      </c>
    </row>
    <row r="2093" spans="1:19" s="407" customFormat="1" ht="27.75" customHeight="1">
      <c r="A2093" s="325" t="s">
        <v>813</v>
      </c>
      <c r="B2093" s="237" t="s">
        <v>29</v>
      </c>
      <c r="C2093" s="240">
        <f t="shared" si="434"/>
        <v>501.77</v>
      </c>
      <c r="D2093" s="240">
        <v>151.77000000000001</v>
      </c>
      <c r="E2093" s="240">
        <v>350</v>
      </c>
      <c r="F2093" s="240">
        <v>0</v>
      </c>
      <c r="G2093" s="240">
        <v>0</v>
      </c>
      <c r="H2093" s="240">
        <v>0</v>
      </c>
      <c r="I2093" s="240">
        <v>0</v>
      </c>
      <c r="J2093" s="550" t="s">
        <v>814</v>
      </c>
      <c r="K2093" s="584"/>
      <c r="L2093" s="584"/>
      <c r="M2093" s="584"/>
      <c r="N2093" s="584"/>
      <c r="O2093" s="584"/>
      <c r="P2093" s="584"/>
      <c r="Q2093" s="584"/>
      <c r="R2093" s="584"/>
      <c r="S2093" s="584"/>
    </row>
    <row r="2094" spans="1:19" s="213" customFormat="1">
      <c r="A2094" s="300"/>
      <c r="B2094" s="226" t="s">
        <v>30</v>
      </c>
      <c r="C2094" s="240">
        <f t="shared" si="434"/>
        <v>501.77</v>
      </c>
      <c r="D2094" s="240">
        <v>151.77000000000001</v>
      </c>
      <c r="E2094" s="240">
        <v>350</v>
      </c>
      <c r="F2094" s="240">
        <v>0</v>
      </c>
      <c r="G2094" s="240">
        <v>0</v>
      </c>
      <c r="H2094" s="240">
        <v>0</v>
      </c>
      <c r="I2094" s="240">
        <v>0</v>
      </c>
      <c r="J2094" s="550"/>
      <c r="K2094" s="584"/>
      <c r="L2094" s="584"/>
      <c r="M2094" s="584"/>
      <c r="N2094" s="584"/>
      <c r="O2094" s="584"/>
      <c r="P2094" s="584"/>
      <c r="Q2094" s="584"/>
      <c r="R2094" s="584"/>
      <c r="S2094" s="584"/>
    </row>
    <row r="2095" spans="1:19" s="212" customFormat="1" ht="26.25" customHeight="1">
      <c r="A2095" s="325" t="s">
        <v>815</v>
      </c>
      <c r="B2095" s="237" t="s">
        <v>29</v>
      </c>
      <c r="C2095" s="240">
        <f t="shared" si="434"/>
        <v>71.69</v>
      </c>
      <c r="D2095" s="240">
        <v>71.69</v>
      </c>
      <c r="E2095" s="240">
        <v>0</v>
      </c>
      <c r="F2095" s="240">
        <v>0</v>
      </c>
      <c r="G2095" s="240">
        <v>0</v>
      </c>
      <c r="H2095" s="240">
        <v>0</v>
      </c>
      <c r="I2095" s="240">
        <v>0</v>
      </c>
      <c r="J2095" s="585"/>
      <c r="K2095" s="586"/>
      <c r="L2095" s="586"/>
      <c r="M2095" s="586"/>
      <c r="N2095" s="586"/>
      <c r="O2095" s="586"/>
      <c r="P2095" s="586"/>
      <c r="Q2095" s="586"/>
      <c r="R2095" s="586"/>
      <c r="S2095" s="586"/>
    </row>
    <row r="2096" spans="1:19" s="212" customFormat="1">
      <c r="A2096" s="300"/>
      <c r="B2096" s="226" t="s">
        <v>30</v>
      </c>
      <c r="C2096" s="240">
        <f t="shared" si="434"/>
        <v>71.69</v>
      </c>
      <c r="D2096" s="240">
        <v>71.69</v>
      </c>
      <c r="E2096" s="240">
        <v>0</v>
      </c>
      <c r="F2096" s="240">
        <v>0</v>
      </c>
      <c r="G2096" s="240">
        <v>0</v>
      </c>
      <c r="H2096" s="240">
        <v>0</v>
      </c>
      <c r="I2096" s="240">
        <v>0</v>
      </c>
      <c r="J2096" s="585"/>
      <c r="K2096" s="586"/>
      <c r="L2096" s="586"/>
      <c r="M2096" s="586"/>
      <c r="N2096" s="586"/>
      <c r="O2096" s="586"/>
      <c r="P2096" s="586"/>
      <c r="Q2096" s="586"/>
      <c r="R2096" s="586"/>
      <c r="S2096" s="586"/>
    </row>
    <row r="2097" spans="1:13">
      <c r="A2097" s="634" t="s">
        <v>285</v>
      </c>
      <c r="B2097" s="575"/>
      <c r="C2097" s="575"/>
      <c r="D2097" s="575"/>
      <c r="E2097" s="575"/>
      <c r="F2097" s="575"/>
      <c r="G2097" s="575"/>
      <c r="H2097" s="575"/>
      <c r="I2097" s="576"/>
    </row>
    <row r="2098" spans="1:13" s="155" customFormat="1">
      <c r="A2098" s="36" t="s">
        <v>54</v>
      </c>
      <c r="B2098" s="63" t="s">
        <v>29</v>
      </c>
      <c r="C2098" s="154">
        <f t="shared" ref="C2098:C2117" si="437">D2098+E2098+F2098+G2098+H2098+I2098</f>
        <v>6985.1900000000005</v>
      </c>
      <c r="D2098" s="64">
        <f t="shared" ref="D2098:I2111" si="438">D2100</f>
        <v>3528.19</v>
      </c>
      <c r="E2098" s="64">
        <f t="shared" si="438"/>
        <v>3457</v>
      </c>
      <c r="F2098" s="64">
        <f t="shared" si="438"/>
        <v>0</v>
      </c>
      <c r="G2098" s="64">
        <f t="shared" si="438"/>
        <v>0</v>
      </c>
      <c r="H2098" s="64">
        <f t="shared" si="438"/>
        <v>0</v>
      </c>
      <c r="I2098" s="64">
        <f t="shared" si="438"/>
        <v>0</v>
      </c>
    </row>
    <row r="2099" spans="1:13" s="155" customFormat="1">
      <c r="A2099" s="197" t="s">
        <v>87</v>
      </c>
      <c r="B2099" s="62" t="s">
        <v>30</v>
      </c>
      <c r="C2099" s="154">
        <f t="shared" si="437"/>
        <v>6985.1900000000005</v>
      </c>
      <c r="D2099" s="64">
        <f t="shared" si="438"/>
        <v>3528.19</v>
      </c>
      <c r="E2099" s="64">
        <f t="shared" si="438"/>
        <v>3457</v>
      </c>
      <c r="F2099" s="64">
        <f t="shared" si="438"/>
        <v>0</v>
      </c>
      <c r="G2099" s="64">
        <f t="shared" si="438"/>
        <v>0</v>
      </c>
      <c r="H2099" s="64">
        <f t="shared" si="438"/>
        <v>0</v>
      </c>
      <c r="I2099" s="64">
        <f t="shared" si="438"/>
        <v>0</v>
      </c>
    </row>
    <row r="2100" spans="1:13" s="155" customFormat="1">
      <c r="A2100" s="198" t="s">
        <v>31</v>
      </c>
      <c r="B2100" s="63" t="s">
        <v>29</v>
      </c>
      <c r="C2100" s="154">
        <f t="shared" si="437"/>
        <v>6985.1900000000005</v>
      </c>
      <c r="D2100" s="64">
        <f t="shared" si="438"/>
        <v>3528.19</v>
      </c>
      <c r="E2100" s="64">
        <f t="shared" si="438"/>
        <v>3457</v>
      </c>
      <c r="F2100" s="64">
        <f t="shared" si="438"/>
        <v>0</v>
      </c>
      <c r="G2100" s="64">
        <f t="shared" si="438"/>
        <v>0</v>
      </c>
      <c r="H2100" s="64">
        <f t="shared" si="438"/>
        <v>0</v>
      </c>
      <c r="I2100" s="64">
        <f t="shared" si="438"/>
        <v>0</v>
      </c>
    </row>
    <row r="2101" spans="1:13" s="155" customFormat="1">
      <c r="A2101" s="197" t="s">
        <v>32</v>
      </c>
      <c r="B2101" s="62" t="s">
        <v>30</v>
      </c>
      <c r="C2101" s="154">
        <f t="shared" si="437"/>
        <v>6985.1900000000005</v>
      </c>
      <c r="D2101" s="64">
        <f t="shared" si="438"/>
        <v>3528.19</v>
      </c>
      <c r="E2101" s="64">
        <f t="shared" si="438"/>
        <v>3457</v>
      </c>
      <c r="F2101" s="64">
        <f t="shared" si="438"/>
        <v>0</v>
      </c>
      <c r="G2101" s="64">
        <f t="shared" si="438"/>
        <v>0</v>
      </c>
      <c r="H2101" s="64">
        <f t="shared" si="438"/>
        <v>0</v>
      </c>
      <c r="I2101" s="64">
        <f t="shared" si="438"/>
        <v>0</v>
      </c>
    </row>
    <row r="2102" spans="1:13" s="155" customFormat="1">
      <c r="A2102" s="192" t="s">
        <v>37</v>
      </c>
      <c r="B2102" s="63" t="s">
        <v>29</v>
      </c>
      <c r="C2102" s="154">
        <f t="shared" si="437"/>
        <v>6985.1900000000005</v>
      </c>
      <c r="D2102" s="64">
        <f>D2104+D2110</f>
        <v>3528.19</v>
      </c>
      <c r="E2102" s="64">
        <f t="shared" ref="E2102:I2103" si="439">E2104+E2110</f>
        <v>3457</v>
      </c>
      <c r="F2102" s="64">
        <f t="shared" si="439"/>
        <v>0</v>
      </c>
      <c r="G2102" s="64">
        <f t="shared" si="439"/>
        <v>0</v>
      </c>
      <c r="H2102" s="64">
        <f t="shared" si="439"/>
        <v>0</v>
      </c>
      <c r="I2102" s="64">
        <f t="shared" si="439"/>
        <v>0</v>
      </c>
    </row>
    <row r="2103" spans="1:13" s="155" customFormat="1" ht="12.95">
      <c r="A2103" s="30"/>
      <c r="B2103" s="62" t="s">
        <v>30</v>
      </c>
      <c r="C2103" s="154">
        <f t="shared" si="437"/>
        <v>6985.1900000000005</v>
      </c>
      <c r="D2103" s="64">
        <f>D2105+D2111</f>
        <v>3528.19</v>
      </c>
      <c r="E2103" s="64">
        <f t="shared" si="439"/>
        <v>3457</v>
      </c>
      <c r="F2103" s="64">
        <f t="shared" si="439"/>
        <v>0</v>
      </c>
      <c r="G2103" s="64">
        <f t="shared" si="439"/>
        <v>0</v>
      </c>
      <c r="H2103" s="64">
        <f t="shared" si="439"/>
        <v>0</v>
      </c>
      <c r="I2103" s="64">
        <f t="shared" si="439"/>
        <v>0</v>
      </c>
    </row>
    <row r="2104" spans="1:13" s="95" customFormat="1" ht="12.95">
      <c r="A2104" s="17" t="s">
        <v>42</v>
      </c>
      <c r="B2104" s="59" t="s">
        <v>29</v>
      </c>
      <c r="C2104" s="78">
        <f t="shared" si="437"/>
        <v>20</v>
      </c>
      <c r="D2104" s="64">
        <f>D2106</f>
        <v>20</v>
      </c>
      <c r="E2104" s="64">
        <f t="shared" ref="E2104:I2107" si="440">E2106</f>
        <v>0</v>
      </c>
      <c r="F2104" s="64">
        <f t="shared" si="440"/>
        <v>0</v>
      </c>
      <c r="G2104" s="64">
        <f t="shared" si="440"/>
        <v>0</v>
      </c>
      <c r="H2104" s="64">
        <f t="shared" si="440"/>
        <v>0</v>
      </c>
      <c r="I2104" s="64">
        <f t="shared" si="440"/>
        <v>0</v>
      </c>
    </row>
    <row r="2105" spans="1:13" s="95" customFormat="1">
      <c r="A2105" s="135"/>
      <c r="B2105" s="62" t="s">
        <v>30</v>
      </c>
      <c r="C2105" s="78">
        <f t="shared" si="437"/>
        <v>20</v>
      </c>
      <c r="D2105" s="64">
        <f>D2107</f>
        <v>20</v>
      </c>
      <c r="E2105" s="64">
        <f t="shared" si="440"/>
        <v>0</v>
      </c>
      <c r="F2105" s="64">
        <f t="shared" si="440"/>
        <v>0</v>
      </c>
      <c r="G2105" s="64">
        <f t="shared" si="440"/>
        <v>0</v>
      </c>
      <c r="H2105" s="64">
        <f t="shared" si="440"/>
        <v>0</v>
      </c>
      <c r="I2105" s="64">
        <f t="shared" si="440"/>
        <v>0</v>
      </c>
    </row>
    <row r="2106" spans="1:13" s="155" customFormat="1">
      <c r="A2106" s="198" t="s">
        <v>816</v>
      </c>
      <c r="B2106" s="63" t="s">
        <v>29</v>
      </c>
      <c r="C2106" s="154">
        <f>D2106+E2106+F2106+G2106+H2106+I2106</f>
        <v>20</v>
      </c>
      <c r="D2106" s="64">
        <f>D2108</f>
        <v>20</v>
      </c>
      <c r="E2106" s="64">
        <f t="shared" si="440"/>
        <v>0</v>
      </c>
      <c r="F2106" s="64">
        <f t="shared" si="440"/>
        <v>0</v>
      </c>
      <c r="G2106" s="64">
        <f t="shared" si="440"/>
        <v>0</v>
      </c>
      <c r="H2106" s="64">
        <f t="shared" si="440"/>
        <v>0</v>
      </c>
      <c r="I2106" s="64">
        <f t="shared" si="440"/>
        <v>0</v>
      </c>
    </row>
    <row r="2107" spans="1:13" s="155" customFormat="1">
      <c r="A2107" s="231"/>
      <c r="B2107" s="62" t="s">
        <v>30</v>
      </c>
      <c r="C2107" s="154">
        <f>D2107+E2107+F2107+G2107+H2107+I2107</f>
        <v>20</v>
      </c>
      <c r="D2107" s="64">
        <f>D2109</f>
        <v>20</v>
      </c>
      <c r="E2107" s="64">
        <f t="shared" si="440"/>
        <v>0</v>
      </c>
      <c r="F2107" s="64">
        <f t="shared" si="440"/>
        <v>0</v>
      </c>
      <c r="G2107" s="64">
        <f t="shared" si="440"/>
        <v>0</v>
      </c>
      <c r="H2107" s="64">
        <f t="shared" si="440"/>
        <v>0</v>
      </c>
      <c r="I2107" s="64">
        <f t="shared" si="440"/>
        <v>0</v>
      </c>
    </row>
    <row r="2108" spans="1:13" s="213" customFormat="1" ht="27.75" customHeight="1">
      <c r="A2108" s="484" t="s">
        <v>817</v>
      </c>
      <c r="B2108" s="237" t="s">
        <v>29</v>
      </c>
      <c r="C2108" s="271">
        <f t="shared" ref="C2108:C2109" si="441">D2108+E2108+F2108+G2108+H2108+I2108</f>
        <v>20</v>
      </c>
      <c r="D2108" s="240">
        <v>20</v>
      </c>
      <c r="E2108" s="240">
        <v>0</v>
      </c>
      <c r="F2108" s="240">
        <v>0</v>
      </c>
      <c r="G2108" s="240">
        <v>0</v>
      </c>
      <c r="H2108" s="240">
        <v>0</v>
      </c>
      <c r="I2108" s="240">
        <v>0</v>
      </c>
      <c r="J2108" s="758"/>
      <c r="K2108" s="759"/>
      <c r="L2108" s="759"/>
      <c r="M2108" s="759"/>
    </row>
    <row r="2109" spans="1:13" s="208" customFormat="1">
      <c r="A2109" s="37"/>
      <c r="B2109" s="26" t="s">
        <v>30</v>
      </c>
      <c r="C2109" s="196">
        <f t="shared" si="441"/>
        <v>20</v>
      </c>
      <c r="D2109" s="72">
        <v>20</v>
      </c>
      <c r="E2109" s="72">
        <v>0</v>
      </c>
      <c r="F2109" s="72">
        <v>0</v>
      </c>
      <c r="G2109" s="72">
        <v>0</v>
      </c>
      <c r="H2109" s="72">
        <v>0</v>
      </c>
      <c r="I2109" s="72">
        <v>0</v>
      </c>
    </row>
    <row r="2110" spans="1:13" s="155" customFormat="1" ht="12.95">
      <c r="A2110" s="201" t="s">
        <v>52</v>
      </c>
      <c r="B2110" s="63" t="s">
        <v>29</v>
      </c>
      <c r="C2110" s="154">
        <f t="shared" si="437"/>
        <v>6965.1900000000005</v>
      </c>
      <c r="D2110" s="64">
        <f t="shared" si="438"/>
        <v>3508.19</v>
      </c>
      <c r="E2110" s="64">
        <f t="shared" si="438"/>
        <v>3457</v>
      </c>
      <c r="F2110" s="64">
        <f t="shared" si="438"/>
        <v>0</v>
      </c>
      <c r="G2110" s="64">
        <f t="shared" si="438"/>
        <v>0</v>
      </c>
      <c r="H2110" s="64">
        <f t="shared" si="438"/>
        <v>0</v>
      </c>
      <c r="I2110" s="64">
        <f t="shared" si="438"/>
        <v>0</v>
      </c>
    </row>
    <row r="2111" spans="1:13" s="155" customFormat="1" ht="12.95">
      <c r="A2111" s="232"/>
      <c r="B2111" s="62" t="s">
        <v>30</v>
      </c>
      <c r="C2111" s="154">
        <f t="shared" si="437"/>
        <v>6965.1900000000005</v>
      </c>
      <c r="D2111" s="64">
        <f t="shared" si="438"/>
        <v>3508.19</v>
      </c>
      <c r="E2111" s="64">
        <f t="shared" si="438"/>
        <v>3457</v>
      </c>
      <c r="F2111" s="64">
        <f t="shared" si="438"/>
        <v>0</v>
      </c>
      <c r="G2111" s="64">
        <f t="shared" si="438"/>
        <v>0</v>
      </c>
      <c r="H2111" s="64">
        <f t="shared" si="438"/>
        <v>0</v>
      </c>
      <c r="I2111" s="64">
        <f t="shared" si="438"/>
        <v>0</v>
      </c>
    </row>
    <row r="2112" spans="1:13" s="155" customFormat="1">
      <c r="A2112" s="198" t="s">
        <v>816</v>
      </c>
      <c r="B2112" s="63" t="s">
        <v>29</v>
      </c>
      <c r="C2112" s="154">
        <f t="shared" si="437"/>
        <v>6965.1900000000005</v>
      </c>
      <c r="D2112" s="64">
        <f>D2114+D2116</f>
        <v>3508.19</v>
      </c>
      <c r="E2112" s="64">
        <f t="shared" ref="E2112:I2113" si="442">E2114+E2116</f>
        <v>3457</v>
      </c>
      <c r="F2112" s="64">
        <f t="shared" si="442"/>
        <v>0</v>
      </c>
      <c r="G2112" s="64">
        <f t="shared" si="442"/>
        <v>0</v>
      </c>
      <c r="H2112" s="64">
        <f t="shared" si="442"/>
        <v>0</v>
      </c>
      <c r="I2112" s="64">
        <f t="shared" si="442"/>
        <v>0</v>
      </c>
    </row>
    <row r="2113" spans="1:16" s="155" customFormat="1">
      <c r="A2113" s="231"/>
      <c r="B2113" s="62" t="s">
        <v>30</v>
      </c>
      <c r="C2113" s="154">
        <f t="shared" si="437"/>
        <v>6965.1900000000005</v>
      </c>
      <c r="D2113" s="64">
        <f>D2115+D2117</f>
        <v>3508.19</v>
      </c>
      <c r="E2113" s="64">
        <f t="shared" si="442"/>
        <v>3457</v>
      </c>
      <c r="F2113" s="64">
        <f t="shared" si="442"/>
        <v>0</v>
      </c>
      <c r="G2113" s="64">
        <f t="shared" si="442"/>
        <v>0</v>
      </c>
      <c r="H2113" s="64">
        <f t="shared" si="442"/>
        <v>0</v>
      </c>
      <c r="I2113" s="64">
        <f t="shared" si="442"/>
        <v>0</v>
      </c>
    </row>
    <row r="2114" spans="1:16" s="27" customFormat="1" ht="24.95">
      <c r="A2114" s="515" t="s">
        <v>818</v>
      </c>
      <c r="B2114" s="24" t="s">
        <v>29</v>
      </c>
      <c r="C2114" s="196">
        <f t="shared" si="437"/>
        <v>48.73</v>
      </c>
      <c r="D2114" s="72">
        <v>48.73</v>
      </c>
      <c r="E2114" s="72">
        <v>0</v>
      </c>
      <c r="F2114" s="72">
        <v>0</v>
      </c>
      <c r="G2114" s="72">
        <v>0</v>
      </c>
      <c r="H2114" s="72">
        <v>0</v>
      </c>
      <c r="I2114" s="72">
        <v>0</v>
      </c>
      <c r="J2114" s="765"/>
      <c r="K2114" s="756"/>
      <c r="L2114" s="756"/>
      <c r="M2114" s="756"/>
    </row>
    <row r="2115" spans="1:16" s="208" customFormat="1">
      <c r="A2115" s="37"/>
      <c r="B2115" s="26" t="s">
        <v>30</v>
      </c>
      <c r="C2115" s="196">
        <f t="shared" si="437"/>
        <v>48.73</v>
      </c>
      <c r="D2115" s="72">
        <v>48.73</v>
      </c>
      <c r="E2115" s="72">
        <v>0</v>
      </c>
      <c r="F2115" s="72">
        <v>0</v>
      </c>
      <c r="G2115" s="72">
        <v>0</v>
      </c>
      <c r="H2115" s="72">
        <v>0</v>
      </c>
      <c r="I2115" s="72">
        <v>0</v>
      </c>
    </row>
    <row r="2116" spans="1:16" s="212" customFormat="1" ht="24.95">
      <c r="A2116" s="485" t="s">
        <v>819</v>
      </c>
      <c r="B2116" s="237" t="s">
        <v>29</v>
      </c>
      <c r="C2116" s="271">
        <f t="shared" si="437"/>
        <v>6916.46</v>
      </c>
      <c r="D2116" s="240">
        <f>19.46+2481+959</f>
        <v>3459.46</v>
      </c>
      <c r="E2116" s="64">
        <f>541+2916</f>
        <v>3457</v>
      </c>
      <c r="F2116" s="240">
        <v>0</v>
      </c>
      <c r="G2116" s="240">
        <v>0</v>
      </c>
      <c r="H2116" s="240">
        <v>0</v>
      </c>
      <c r="I2116" s="240">
        <v>0</v>
      </c>
      <c r="J2116" s="624" t="s">
        <v>820</v>
      </c>
      <c r="K2116" s="625"/>
      <c r="L2116" s="625"/>
      <c r="M2116" s="625"/>
      <c r="N2116" s="551"/>
      <c r="O2116" s="551"/>
      <c r="P2116" s="551"/>
    </row>
    <row r="2117" spans="1:16" s="208" customFormat="1">
      <c r="A2117" s="38"/>
      <c r="B2117" s="62" t="s">
        <v>30</v>
      </c>
      <c r="C2117" s="326">
        <f t="shared" si="437"/>
        <v>6916.46</v>
      </c>
      <c r="D2117" s="64">
        <f>19.46+2481+959</f>
        <v>3459.46</v>
      </c>
      <c r="E2117" s="64">
        <f>541+2916</f>
        <v>3457</v>
      </c>
      <c r="F2117" s="64">
        <v>0</v>
      </c>
      <c r="G2117" s="64">
        <v>0</v>
      </c>
      <c r="H2117" s="64">
        <v>0</v>
      </c>
      <c r="I2117" s="64">
        <v>0</v>
      </c>
      <c r="J2117" s="552"/>
      <c r="K2117" s="551"/>
      <c r="L2117" s="551"/>
      <c r="M2117" s="551"/>
      <c r="N2117" s="551"/>
      <c r="O2117" s="551"/>
      <c r="P2117" s="551"/>
    </row>
    <row r="2118" spans="1:16">
      <c r="A2118" s="341" t="s">
        <v>297</v>
      </c>
      <c r="B2118" s="342"/>
      <c r="C2118" s="342"/>
      <c r="D2118" s="342"/>
      <c r="E2118" s="342"/>
      <c r="F2118" s="342"/>
      <c r="G2118" s="342"/>
      <c r="H2118" s="342"/>
      <c r="I2118" s="343"/>
    </row>
    <row r="2119" spans="1:16">
      <c r="A2119" s="31" t="s">
        <v>54</v>
      </c>
      <c r="B2119" s="129" t="s">
        <v>29</v>
      </c>
      <c r="C2119" s="130">
        <f t="shared" ref="C2119:C2140" si="443">D2119+E2119+F2119+G2119+H2119+I2119</f>
        <v>423.95100000000002</v>
      </c>
      <c r="D2119" s="130">
        <f t="shared" ref="D2119:I2126" si="444">D2121</f>
        <v>161.5</v>
      </c>
      <c r="E2119" s="130">
        <f t="shared" si="444"/>
        <v>243</v>
      </c>
      <c r="F2119" s="130">
        <f t="shared" si="444"/>
        <v>0</v>
      </c>
      <c r="G2119" s="130">
        <f t="shared" si="444"/>
        <v>0</v>
      </c>
      <c r="H2119" s="130">
        <f t="shared" si="444"/>
        <v>0</v>
      </c>
      <c r="I2119" s="130">
        <f t="shared" si="444"/>
        <v>19.451000000000022</v>
      </c>
    </row>
    <row r="2120" spans="1:16">
      <c r="A2120" s="21" t="s">
        <v>87</v>
      </c>
      <c r="B2120" s="132" t="s">
        <v>30</v>
      </c>
      <c r="C2120" s="130">
        <f t="shared" si="443"/>
        <v>423.95100000000002</v>
      </c>
      <c r="D2120" s="130">
        <f t="shared" si="444"/>
        <v>161.5</v>
      </c>
      <c r="E2120" s="130">
        <f t="shared" si="444"/>
        <v>243</v>
      </c>
      <c r="F2120" s="130">
        <f t="shared" si="444"/>
        <v>0</v>
      </c>
      <c r="G2120" s="130">
        <f t="shared" si="444"/>
        <v>0</v>
      </c>
      <c r="H2120" s="130">
        <f t="shared" si="444"/>
        <v>0</v>
      </c>
      <c r="I2120" s="130">
        <f t="shared" si="444"/>
        <v>19.451000000000022</v>
      </c>
    </row>
    <row r="2121" spans="1:16">
      <c r="A2121" s="307" t="s">
        <v>60</v>
      </c>
      <c r="B2121" s="24" t="s">
        <v>29</v>
      </c>
      <c r="C2121" s="52">
        <f t="shared" si="443"/>
        <v>423.95100000000002</v>
      </c>
      <c r="D2121" s="52">
        <f t="shared" si="444"/>
        <v>161.5</v>
      </c>
      <c r="E2121" s="52">
        <f t="shared" si="444"/>
        <v>243</v>
      </c>
      <c r="F2121" s="52">
        <f t="shared" si="444"/>
        <v>0</v>
      </c>
      <c r="G2121" s="52">
        <f t="shared" si="444"/>
        <v>0</v>
      </c>
      <c r="H2121" s="52">
        <f t="shared" si="444"/>
        <v>0</v>
      </c>
      <c r="I2121" s="52">
        <f t="shared" si="444"/>
        <v>19.451000000000022</v>
      </c>
    </row>
    <row r="2122" spans="1:16">
      <c r="A2122" s="10" t="s">
        <v>32</v>
      </c>
      <c r="B2122" s="26" t="s">
        <v>30</v>
      </c>
      <c r="C2122" s="52">
        <f t="shared" si="443"/>
        <v>423.95100000000002</v>
      </c>
      <c r="D2122" s="52">
        <f t="shared" si="444"/>
        <v>161.5</v>
      </c>
      <c r="E2122" s="52">
        <f t="shared" si="444"/>
        <v>243</v>
      </c>
      <c r="F2122" s="52">
        <f t="shared" si="444"/>
        <v>0</v>
      </c>
      <c r="G2122" s="52">
        <f t="shared" si="444"/>
        <v>0</v>
      </c>
      <c r="H2122" s="52">
        <f t="shared" si="444"/>
        <v>0</v>
      </c>
      <c r="I2122" s="52">
        <f t="shared" si="444"/>
        <v>19.451000000000022</v>
      </c>
    </row>
    <row r="2123" spans="1:16" ht="12.95">
      <c r="A2123" s="19" t="s">
        <v>37</v>
      </c>
      <c r="B2123" s="3" t="s">
        <v>29</v>
      </c>
      <c r="C2123" s="52">
        <f t="shared" si="443"/>
        <v>423.95100000000002</v>
      </c>
      <c r="D2123" s="52">
        <f t="shared" si="444"/>
        <v>161.5</v>
      </c>
      <c r="E2123" s="52">
        <f t="shared" si="444"/>
        <v>243</v>
      </c>
      <c r="F2123" s="52">
        <f t="shared" si="444"/>
        <v>0</v>
      </c>
      <c r="G2123" s="52">
        <f t="shared" si="444"/>
        <v>0</v>
      </c>
      <c r="H2123" s="52">
        <f t="shared" si="444"/>
        <v>0</v>
      </c>
      <c r="I2123" s="52">
        <f t="shared" si="444"/>
        <v>19.451000000000022</v>
      </c>
    </row>
    <row r="2124" spans="1:16" ht="12.95">
      <c r="A2124" s="16"/>
      <c r="B2124" s="4" t="s">
        <v>30</v>
      </c>
      <c r="C2124" s="52">
        <f t="shared" si="443"/>
        <v>423.95100000000002</v>
      </c>
      <c r="D2124" s="52">
        <f t="shared" si="444"/>
        <v>161.5</v>
      </c>
      <c r="E2124" s="52">
        <f t="shared" si="444"/>
        <v>243</v>
      </c>
      <c r="F2124" s="52">
        <f t="shared" si="444"/>
        <v>0</v>
      </c>
      <c r="G2124" s="52">
        <f t="shared" si="444"/>
        <v>0</v>
      </c>
      <c r="H2124" s="52">
        <f t="shared" si="444"/>
        <v>0</v>
      </c>
      <c r="I2124" s="52">
        <f t="shared" si="444"/>
        <v>19.451000000000022</v>
      </c>
    </row>
    <row r="2125" spans="1:16" ht="12.95">
      <c r="A2125" s="18" t="s">
        <v>38</v>
      </c>
      <c r="B2125" s="3" t="s">
        <v>29</v>
      </c>
      <c r="C2125" s="52">
        <f t="shared" si="443"/>
        <v>423.95100000000002</v>
      </c>
      <c r="D2125" s="52">
        <f t="shared" si="444"/>
        <v>161.5</v>
      </c>
      <c r="E2125" s="52">
        <f t="shared" si="444"/>
        <v>243</v>
      </c>
      <c r="F2125" s="52">
        <f t="shared" si="444"/>
        <v>0</v>
      </c>
      <c r="G2125" s="52">
        <f t="shared" si="444"/>
        <v>0</v>
      </c>
      <c r="H2125" s="52">
        <f t="shared" si="444"/>
        <v>0</v>
      </c>
      <c r="I2125" s="52">
        <f t="shared" si="444"/>
        <v>19.451000000000022</v>
      </c>
    </row>
    <row r="2126" spans="1:16">
      <c r="A2126" s="12"/>
      <c r="B2126" s="4" t="s">
        <v>30</v>
      </c>
      <c r="C2126" s="52">
        <f t="shared" si="443"/>
        <v>423.95100000000002</v>
      </c>
      <c r="D2126" s="52">
        <f t="shared" si="444"/>
        <v>161.5</v>
      </c>
      <c r="E2126" s="52">
        <f t="shared" si="444"/>
        <v>243</v>
      </c>
      <c r="F2126" s="52">
        <f t="shared" si="444"/>
        <v>0</v>
      </c>
      <c r="G2126" s="52">
        <f t="shared" si="444"/>
        <v>0</v>
      </c>
      <c r="H2126" s="52">
        <f t="shared" si="444"/>
        <v>0</v>
      </c>
      <c r="I2126" s="52">
        <f t="shared" si="444"/>
        <v>19.451000000000022</v>
      </c>
    </row>
    <row r="2127" spans="1:16" s="95" customFormat="1">
      <c r="A2127" s="58" t="s">
        <v>42</v>
      </c>
      <c r="B2127" s="129" t="s">
        <v>29</v>
      </c>
      <c r="C2127" s="130">
        <f t="shared" si="443"/>
        <v>423.95100000000002</v>
      </c>
      <c r="D2127" s="130">
        <f>D2129+D2137</f>
        <v>161.5</v>
      </c>
      <c r="E2127" s="130">
        <f t="shared" ref="E2127:I2128" si="445">E2129+E2137</f>
        <v>243</v>
      </c>
      <c r="F2127" s="130">
        <f t="shared" si="445"/>
        <v>0</v>
      </c>
      <c r="G2127" s="130">
        <f t="shared" si="445"/>
        <v>0</v>
      </c>
      <c r="H2127" s="130">
        <f t="shared" si="445"/>
        <v>0</v>
      </c>
      <c r="I2127" s="130">
        <f t="shared" si="445"/>
        <v>19.451000000000022</v>
      </c>
    </row>
    <row r="2128" spans="1:16" s="95" customFormat="1">
      <c r="A2128" s="134"/>
      <c r="B2128" s="127" t="s">
        <v>30</v>
      </c>
      <c r="C2128" s="125">
        <f t="shared" si="443"/>
        <v>423.95100000000002</v>
      </c>
      <c r="D2128" s="130">
        <f>D2130+D2138</f>
        <v>161.5</v>
      </c>
      <c r="E2128" s="130">
        <f t="shared" si="445"/>
        <v>243</v>
      </c>
      <c r="F2128" s="130">
        <f t="shared" si="445"/>
        <v>0</v>
      </c>
      <c r="G2128" s="130">
        <f t="shared" si="445"/>
        <v>0</v>
      </c>
      <c r="H2128" s="130">
        <f t="shared" si="445"/>
        <v>0</v>
      </c>
      <c r="I2128" s="130">
        <f t="shared" si="445"/>
        <v>19.451000000000022</v>
      </c>
    </row>
    <row r="2129" spans="1:16" s="126" customFormat="1" ht="24.95">
      <c r="A2129" s="522" t="s">
        <v>821</v>
      </c>
      <c r="B2129" s="124" t="s">
        <v>29</v>
      </c>
      <c r="C2129" s="125">
        <f t="shared" si="443"/>
        <v>418.95100000000002</v>
      </c>
      <c r="D2129" s="125">
        <f>D2131+D2133+D2135</f>
        <v>156.5</v>
      </c>
      <c r="E2129" s="125">
        <f t="shared" ref="E2129:I2130" si="446">E2131+E2133+E2135</f>
        <v>243</v>
      </c>
      <c r="F2129" s="125">
        <f t="shared" si="446"/>
        <v>0</v>
      </c>
      <c r="G2129" s="125">
        <f t="shared" si="446"/>
        <v>0</v>
      </c>
      <c r="H2129" s="125">
        <f t="shared" si="446"/>
        <v>0</v>
      </c>
      <c r="I2129" s="125">
        <f t="shared" si="446"/>
        <v>19.451000000000022</v>
      </c>
    </row>
    <row r="2130" spans="1:16" s="126" customFormat="1">
      <c r="A2130" s="134"/>
      <c r="B2130" s="127" t="s">
        <v>30</v>
      </c>
      <c r="C2130" s="125">
        <f t="shared" si="443"/>
        <v>418.95100000000002</v>
      </c>
      <c r="D2130" s="125">
        <f>D2132+D2134+D2136</f>
        <v>156.5</v>
      </c>
      <c r="E2130" s="125">
        <f t="shared" si="446"/>
        <v>243</v>
      </c>
      <c r="F2130" s="125">
        <f t="shared" si="446"/>
        <v>0</v>
      </c>
      <c r="G2130" s="125">
        <f t="shared" si="446"/>
        <v>0</v>
      </c>
      <c r="H2130" s="125">
        <f t="shared" si="446"/>
        <v>0</v>
      </c>
      <c r="I2130" s="125">
        <f t="shared" si="446"/>
        <v>19.451000000000022</v>
      </c>
    </row>
    <row r="2131" spans="1:16" s="212" customFormat="1" ht="28.5" customHeight="1">
      <c r="A2131" s="332" t="s">
        <v>822</v>
      </c>
      <c r="B2131" s="237" t="s">
        <v>29</v>
      </c>
      <c r="C2131" s="240">
        <f t="shared" si="443"/>
        <v>262.45100000000002</v>
      </c>
      <c r="D2131" s="240">
        <v>0</v>
      </c>
      <c r="E2131" s="240">
        <v>243</v>
      </c>
      <c r="F2131" s="240">
        <v>0</v>
      </c>
      <c r="G2131" s="240">
        <v>0</v>
      </c>
      <c r="H2131" s="240">
        <v>0</v>
      </c>
      <c r="I2131" s="240">
        <f>262.451-243</f>
        <v>19.451000000000022</v>
      </c>
      <c r="J2131" s="550" t="s">
        <v>823</v>
      </c>
      <c r="K2131" s="551"/>
      <c r="L2131" s="551"/>
      <c r="M2131" s="551"/>
      <c r="N2131" s="551"/>
      <c r="O2131" s="551"/>
    </row>
    <row r="2132" spans="1:16" s="213" customFormat="1">
      <c r="A2132" s="215"/>
      <c r="B2132" s="226" t="s">
        <v>30</v>
      </c>
      <c r="C2132" s="240">
        <f t="shared" si="443"/>
        <v>262.45100000000002</v>
      </c>
      <c r="D2132" s="240">
        <v>0</v>
      </c>
      <c r="E2132" s="240">
        <v>243</v>
      </c>
      <c r="F2132" s="240">
        <v>0</v>
      </c>
      <c r="G2132" s="240">
        <v>0</v>
      </c>
      <c r="H2132" s="240">
        <v>0</v>
      </c>
      <c r="I2132" s="240">
        <f>262.451-243</f>
        <v>19.451000000000022</v>
      </c>
      <c r="J2132" s="552"/>
      <c r="K2132" s="551"/>
      <c r="L2132" s="551"/>
      <c r="M2132" s="551"/>
      <c r="N2132" s="551"/>
      <c r="O2132" s="551"/>
    </row>
    <row r="2133" spans="1:16" s="212" customFormat="1" ht="27" customHeight="1">
      <c r="A2133" s="332" t="s">
        <v>824</v>
      </c>
      <c r="B2133" s="237" t="s">
        <v>29</v>
      </c>
      <c r="C2133" s="240">
        <f t="shared" si="443"/>
        <v>7</v>
      </c>
      <c r="D2133" s="240">
        <v>7</v>
      </c>
      <c r="E2133" s="240">
        <v>0</v>
      </c>
      <c r="F2133" s="240">
        <v>0</v>
      </c>
      <c r="G2133" s="240">
        <v>0</v>
      </c>
      <c r="H2133" s="240">
        <v>0</v>
      </c>
      <c r="I2133" s="240">
        <v>0</v>
      </c>
    </row>
    <row r="2134" spans="1:16" s="213" customFormat="1">
      <c r="A2134" s="215"/>
      <c r="B2134" s="226" t="s">
        <v>30</v>
      </c>
      <c r="C2134" s="240">
        <f t="shared" si="443"/>
        <v>7</v>
      </c>
      <c r="D2134" s="240">
        <v>7</v>
      </c>
      <c r="E2134" s="240">
        <v>0</v>
      </c>
      <c r="F2134" s="240">
        <v>0</v>
      </c>
      <c r="G2134" s="240">
        <v>0</v>
      </c>
      <c r="H2134" s="240">
        <v>0</v>
      </c>
      <c r="I2134" s="240">
        <v>0</v>
      </c>
    </row>
    <row r="2135" spans="1:16" s="212" customFormat="1" ht="24.75" customHeight="1">
      <c r="A2135" s="332" t="s">
        <v>825</v>
      </c>
      <c r="B2135" s="237" t="s">
        <v>29</v>
      </c>
      <c r="C2135" s="240">
        <f t="shared" si="443"/>
        <v>149.5</v>
      </c>
      <c r="D2135" s="240">
        <v>149.5</v>
      </c>
      <c r="E2135" s="240">
        <v>0</v>
      </c>
      <c r="F2135" s="240">
        <v>0</v>
      </c>
      <c r="G2135" s="240">
        <v>0</v>
      </c>
      <c r="H2135" s="240">
        <v>0</v>
      </c>
      <c r="I2135" s="240">
        <v>0</v>
      </c>
    </row>
    <row r="2136" spans="1:16" s="213" customFormat="1">
      <c r="A2136" s="215"/>
      <c r="B2136" s="226" t="s">
        <v>30</v>
      </c>
      <c r="C2136" s="240">
        <f t="shared" si="443"/>
        <v>149.5</v>
      </c>
      <c r="D2136" s="240">
        <v>149.5</v>
      </c>
      <c r="E2136" s="240">
        <v>0</v>
      </c>
      <c r="F2136" s="240">
        <v>0</v>
      </c>
      <c r="G2136" s="240">
        <v>0</v>
      </c>
      <c r="H2136" s="240">
        <v>0</v>
      </c>
      <c r="I2136" s="240">
        <v>0</v>
      </c>
    </row>
    <row r="2137" spans="1:16" s="247" customFormat="1" ht="24.95">
      <c r="A2137" s="521" t="s">
        <v>826</v>
      </c>
      <c r="B2137" s="365" t="s">
        <v>29</v>
      </c>
      <c r="C2137" s="291">
        <f t="shared" si="443"/>
        <v>5</v>
      </c>
      <c r="D2137" s="291">
        <f t="shared" ref="D2137:I2138" si="447">D2139</f>
        <v>5</v>
      </c>
      <c r="E2137" s="291">
        <f t="shared" si="447"/>
        <v>0</v>
      </c>
      <c r="F2137" s="291">
        <f t="shared" si="447"/>
        <v>0</v>
      </c>
      <c r="G2137" s="291">
        <f t="shared" si="447"/>
        <v>0</v>
      </c>
      <c r="H2137" s="291">
        <f t="shared" si="447"/>
        <v>0</v>
      </c>
      <c r="I2137" s="291">
        <f t="shared" si="447"/>
        <v>0</v>
      </c>
    </row>
    <row r="2138" spans="1:16" s="247" customFormat="1">
      <c r="A2138" s="313"/>
      <c r="B2138" s="289" t="s">
        <v>30</v>
      </c>
      <c r="C2138" s="291">
        <f t="shared" si="443"/>
        <v>5</v>
      </c>
      <c r="D2138" s="291">
        <f t="shared" si="447"/>
        <v>5</v>
      </c>
      <c r="E2138" s="291">
        <f t="shared" si="447"/>
        <v>0</v>
      </c>
      <c r="F2138" s="291">
        <f t="shared" si="447"/>
        <v>0</v>
      </c>
      <c r="G2138" s="291">
        <f t="shared" si="447"/>
        <v>0</v>
      </c>
      <c r="H2138" s="291">
        <f t="shared" si="447"/>
        <v>0</v>
      </c>
      <c r="I2138" s="291">
        <f t="shared" si="447"/>
        <v>0</v>
      </c>
    </row>
    <row r="2139" spans="1:16" s="212" customFormat="1" ht="14.25" customHeight="1">
      <c r="A2139" s="415" t="s">
        <v>827</v>
      </c>
      <c r="B2139" s="237" t="s">
        <v>29</v>
      </c>
      <c r="C2139" s="240">
        <f t="shared" si="443"/>
        <v>5</v>
      </c>
      <c r="D2139" s="240">
        <v>5</v>
      </c>
      <c r="E2139" s="240">
        <v>0</v>
      </c>
      <c r="F2139" s="240">
        <v>0</v>
      </c>
      <c r="G2139" s="240">
        <v>0</v>
      </c>
      <c r="H2139" s="240">
        <v>0</v>
      </c>
      <c r="I2139" s="240">
        <v>0</v>
      </c>
      <c r="J2139" s="626" t="s">
        <v>828</v>
      </c>
      <c r="K2139" s="616"/>
      <c r="L2139" s="616"/>
      <c r="M2139" s="616"/>
      <c r="N2139" s="616"/>
      <c r="O2139" s="616"/>
      <c r="P2139" s="616"/>
    </row>
    <row r="2140" spans="1:16" s="102" customFormat="1">
      <c r="A2140" s="88"/>
      <c r="B2140" s="123" t="s">
        <v>30</v>
      </c>
      <c r="C2140" s="78">
        <f t="shared" si="443"/>
        <v>5</v>
      </c>
      <c r="D2140" s="78">
        <v>5</v>
      </c>
      <c r="E2140" s="78">
        <v>0</v>
      </c>
      <c r="F2140" s="78">
        <v>0</v>
      </c>
      <c r="G2140" s="78">
        <v>0</v>
      </c>
      <c r="H2140" s="78">
        <v>0</v>
      </c>
      <c r="I2140" s="78">
        <v>0</v>
      </c>
      <c r="J2140" s="617"/>
      <c r="K2140" s="616"/>
      <c r="L2140" s="616"/>
      <c r="M2140" s="616"/>
      <c r="N2140" s="616"/>
      <c r="O2140" s="616"/>
      <c r="P2140" s="616"/>
    </row>
    <row r="2141" spans="1:16">
      <c r="A2141" s="587" t="s">
        <v>86</v>
      </c>
      <c r="B2141" s="588"/>
      <c r="C2141" s="589"/>
      <c r="D2141" s="589"/>
      <c r="E2141" s="589"/>
      <c r="F2141" s="589"/>
      <c r="G2141" s="589"/>
      <c r="H2141" s="589"/>
      <c r="I2141" s="590"/>
    </row>
    <row r="2142" spans="1:16">
      <c r="A2142" s="11" t="s">
        <v>54</v>
      </c>
      <c r="B2142" s="54" t="s">
        <v>29</v>
      </c>
      <c r="C2142" s="52">
        <f t="shared" ref="C2142:C2229" si="448">D2142+E2142+F2142+G2142+H2142+I2142</f>
        <v>89399.574999999997</v>
      </c>
      <c r="D2142" s="64">
        <f t="shared" ref="D2142:I2143" si="449">D2144</f>
        <v>7381.36</v>
      </c>
      <c r="E2142" s="64">
        <f t="shared" si="449"/>
        <v>42294</v>
      </c>
      <c r="F2142" s="64">
        <f t="shared" si="449"/>
        <v>0</v>
      </c>
      <c r="G2142" s="64">
        <f t="shared" si="449"/>
        <v>0</v>
      </c>
      <c r="H2142" s="64">
        <f t="shared" si="449"/>
        <v>0</v>
      </c>
      <c r="I2142" s="64">
        <f t="shared" si="449"/>
        <v>39724.214999999997</v>
      </c>
    </row>
    <row r="2143" spans="1:16">
      <c r="A2143" s="12" t="s">
        <v>87</v>
      </c>
      <c r="B2143" s="55" t="s">
        <v>30</v>
      </c>
      <c r="C2143" s="52">
        <f t="shared" si="448"/>
        <v>89399.574999999997</v>
      </c>
      <c r="D2143" s="64">
        <f t="shared" si="449"/>
        <v>7381.36</v>
      </c>
      <c r="E2143" s="64">
        <f t="shared" si="449"/>
        <v>42294</v>
      </c>
      <c r="F2143" s="64">
        <f t="shared" si="449"/>
        <v>0</v>
      </c>
      <c r="G2143" s="64">
        <f t="shared" si="449"/>
        <v>0</v>
      </c>
      <c r="H2143" s="64">
        <f t="shared" si="449"/>
        <v>0</v>
      </c>
      <c r="I2143" s="64">
        <f t="shared" si="449"/>
        <v>39724.214999999997</v>
      </c>
    </row>
    <row r="2144" spans="1:16">
      <c r="A2144" s="47" t="s">
        <v>47</v>
      </c>
      <c r="B2144" s="56" t="s">
        <v>29</v>
      </c>
      <c r="C2144" s="52">
        <f t="shared" si="448"/>
        <v>89399.574999999997</v>
      </c>
      <c r="D2144" s="64">
        <f>D2146+D2152</f>
        <v>7381.36</v>
      </c>
      <c r="E2144" s="64">
        <f t="shared" ref="E2144:I2145" si="450">E2146+E2152</f>
        <v>42294</v>
      </c>
      <c r="F2144" s="64">
        <f t="shared" si="450"/>
        <v>0</v>
      </c>
      <c r="G2144" s="64">
        <f t="shared" si="450"/>
        <v>0</v>
      </c>
      <c r="H2144" s="64">
        <f t="shared" si="450"/>
        <v>0</v>
      </c>
      <c r="I2144" s="64">
        <f t="shared" si="450"/>
        <v>39724.214999999997</v>
      </c>
    </row>
    <row r="2145" spans="1:16">
      <c r="A2145" s="12" t="s">
        <v>48</v>
      </c>
      <c r="B2145" s="55" t="s">
        <v>30</v>
      </c>
      <c r="C2145" s="52">
        <f t="shared" si="448"/>
        <v>89399.574999999997</v>
      </c>
      <c r="D2145" s="64">
        <f>D2147+D2153</f>
        <v>7381.36</v>
      </c>
      <c r="E2145" s="64">
        <f t="shared" si="450"/>
        <v>42294</v>
      </c>
      <c r="F2145" s="64">
        <f t="shared" si="450"/>
        <v>0</v>
      </c>
      <c r="G2145" s="64">
        <f t="shared" si="450"/>
        <v>0</v>
      </c>
      <c r="H2145" s="64">
        <f t="shared" si="450"/>
        <v>0</v>
      </c>
      <c r="I2145" s="64">
        <f t="shared" si="450"/>
        <v>39724.214999999997</v>
      </c>
    </row>
    <row r="2146" spans="1:16" ht="28.35">
      <c r="A2146" s="394" t="s">
        <v>61</v>
      </c>
      <c r="B2146" s="3" t="s">
        <v>29</v>
      </c>
      <c r="C2146" s="52">
        <f t="shared" si="448"/>
        <v>21103</v>
      </c>
      <c r="D2146" s="64">
        <f>D2148</f>
        <v>427</v>
      </c>
      <c r="E2146" s="64">
        <f t="shared" ref="E2146:I2149" si="451">E2148</f>
        <v>20676</v>
      </c>
      <c r="F2146" s="64">
        <f t="shared" si="451"/>
        <v>0</v>
      </c>
      <c r="G2146" s="64">
        <f t="shared" si="451"/>
        <v>0</v>
      </c>
      <c r="H2146" s="64">
        <f t="shared" si="451"/>
        <v>0</v>
      </c>
      <c r="I2146" s="64">
        <f t="shared" si="451"/>
        <v>0</v>
      </c>
    </row>
    <row r="2147" spans="1:16" ht="12.95">
      <c r="A2147" s="16"/>
      <c r="B2147" s="4" t="s">
        <v>30</v>
      </c>
      <c r="C2147" s="52">
        <f t="shared" si="448"/>
        <v>21103</v>
      </c>
      <c r="D2147" s="64">
        <f>D2149</f>
        <v>427</v>
      </c>
      <c r="E2147" s="64">
        <f t="shared" si="451"/>
        <v>20676</v>
      </c>
      <c r="F2147" s="64">
        <f t="shared" si="451"/>
        <v>0</v>
      </c>
      <c r="G2147" s="64">
        <f t="shared" si="451"/>
        <v>0</v>
      </c>
      <c r="H2147" s="64">
        <f t="shared" si="451"/>
        <v>0</v>
      </c>
      <c r="I2147" s="64">
        <f t="shared" si="451"/>
        <v>0</v>
      </c>
    </row>
    <row r="2148" spans="1:16">
      <c r="A2148" s="227" t="s">
        <v>829</v>
      </c>
      <c r="B2148" s="3" t="s">
        <v>29</v>
      </c>
      <c r="C2148" s="52">
        <f t="shared" si="448"/>
        <v>21103</v>
      </c>
      <c r="D2148" s="64">
        <f>D2150</f>
        <v>427</v>
      </c>
      <c r="E2148" s="64">
        <f t="shared" si="451"/>
        <v>20676</v>
      </c>
      <c r="F2148" s="64">
        <f t="shared" si="451"/>
        <v>0</v>
      </c>
      <c r="G2148" s="64">
        <f t="shared" si="451"/>
        <v>0</v>
      </c>
      <c r="H2148" s="64">
        <f t="shared" si="451"/>
        <v>0</v>
      </c>
      <c r="I2148" s="64">
        <f t="shared" si="451"/>
        <v>0</v>
      </c>
    </row>
    <row r="2149" spans="1:16" ht="12.95">
      <c r="A2149" s="16"/>
      <c r="B2149" s="4" t="s">
        <v>30</v>
      </c>
      <c r="C2149" s="52">
        <f t="shared" si="448"/>
        <v>21103</v>
      </c>
      <c r="D2149" s="64">
        <f>D2151</f>
        <v>427</v>
      </c>
      <c r="E2149" s="64">
        <f t="shared" si="451"/>
        <v>20676</v>
      </c>
      <c r="F2149" s="64">
        <f t="shared" si="451"/>
        <v>0</v>
      </c>
      <c r="G2149" s="64">
        <f t="shared" si="451"/>
        <v>0</v>
      </c>
      <c r="H2149" s="64">
        <f t="shared" si="451"/>
        <v>0</v>
      </c>
      <c r="I2149" s="64">
        <f t="shared" si="451"/>
        <v>0</v>
      </c>
    </row>
    <row r="2150" spans="1:16" s="212" customFormat="1" ht="26.25" customHeight="1">
      <c r="A2150" s="516" t="s">
        <v>830</v>
      </c>
      <c r="B2150" s="281" t="s">
        <v>29</v>
      </c>
      <c r="C2150" s="240">
        <f t="shared" si="448"/>
        <v>21103</v>
      </c>
      <c r="D2150" s="240">
        <v>427</v>
      </c>
      <c r="E2150" s="240">
        <f>21103-427</f>
        <v>20676</v>
      </c>
      <c r="F2150" s="240">
        <f t="shared" ref="F2150:H2151" si="452">F2156+F2214</f>
        <v>0</v>
      </c>
      <c r="G2150" s="240">
        <f t="shared" si="452"/>
        <v>0</v>
      </c>
      <c r="H2150" s="240">
        <f t="shared" si="452"/>
        <v>0</v>
      </c>
      <c r="I2150" s="240">
        <v>0</v>
      </c>
      <c r="J2150" s="585" t="s">
        <v>831</v>
      </c>
      <c r="K2150" s="627"/>
      <c r="L2150" s="627"/>
      <c r="M2150" s="627"/>
      <c r="N2150" s="627"/>
      <c r="O2150" s="627"/>
    </row>
    <row r="2151" spans="1:16" ht="12.95">
      <c r="A2151" s="16"/>
      <c r="B2151" s="4" t="s">
        <v>30</v>
      </c>
      <c r="C2151" s="52">
        <f t="shared" si="448"/>
        <v>21103</v>
      </c>
      <c r="D2151" s="64">
        <v>427</v>
      </c>
      <c r="E2151" s="64">
        <f>21103-427</f>
        <v>20676</v>
      </c>
      <c r="F2151" s="64">
        <f t="shared" si="452"/>
        <v>0</v>
      </c>
      <c r="G2151" s="64">
        <f t="shared" si="452"/>
        <v>0</v>
      </c>
      <c r="H2151" s="64">
        <f t="shared" si="452"/>
        <v>0</v>
      </c>
      <c r="I2151" s="64">
        <v>0</v>
      </c>
    </row>
    <row r="2152" spans="1:16" ht="12.95">
      <c r="A2152" s="19" t="s">
        <v>37</v>
      </c>
      <c r="B2152" s="3" t="s">
        <v>29</v>
      </c>
      <c r="C2152" s="52">
        <f t="shared" si="448"/>
        <v>68296.574999999997</v>
      </c>
      <c r="D2152" s="64">
        <f t="shared" ref="D2152:I2153" si="453">D2154+D2212</f>
        <v>6954.36</v>
      </c>
      <c r="E2152" s="64">
        <f t="shared" si="453"/>
        <v>21618</v>
      </c>
      <c r="F2152" s="64">
        <f t="shared" si="453"/>
        <v>0</v>
      </c>
      <c r="G2152" s="64">
        <f t="shared" si="453"/>
        <v>0</v>
      </c>
      <c r="H2152" s="64">
        <f t="shared" si="453"/>
        <v>0</v>
      </c>
      <c r="I2152" s="64">
        <f t="shared" si="453"/>
        <v>39724.214999999997</v>
      </c>
    </row>
    <row r="2153" spans="1:16" ht="12.95">
      <c r="A2153" s="16"/>
      <c r="B2153" s="4" t="s">
        <v>30</v>
      </c>
      <c r="C2153" s="52">
        <f t="shared" si="448"/>
        <v>68296.574999999997</v>
      </c>
      <c r="D2153" s="64">
        <f t="shared" si="453"/>
        <v>6954.36</v>
      </c>
      <c r="E2153" s="64">
        <f t="shared" si="453"/>
        <v>21618</v>
      </c>
      <c r="F2153" s="64">
        <f t="shared" si="453"/>
        <v>0</v>
      </c>
      <c r="G2153" s="64">
        <f t="shared" si="453"/>
        <v>0</v>
      </c>
      <c r="H2153" s="64">
        <f t="shared" si="453"/>
        <v>0</v>
      </c>
      <c r="I2153" s="64">
        <f t="shared" si="453"/>
        <v>39724.214999999997</v>
      </c>
    </row>
    <row r="2154" spans="1:16" ht="12.95">
      <c r="A2154" s="19" t="s">
        <v>38</v>
      </c>
      <c r="B2154" s="3" t="s">
        <v>29</v>
      </c>
      <c r="C2154" s="52">
        <f t="shared" si="448"/>
        <v>53382.324999999997</v>
      </c>
      <c r="D2154" s="64">
        <f t="shared" ref="D2154:I2155" si="454">D2156</f>
        <v>2516.79</v>
      </c>
      <c r="E2154" s="64">
        <f t="shared" si="454"/>
        <v>13810</v>
      </c>
      <c r="F2154" s="64">
        <f t="shared" si="454"/>
        <v>0</v>
      </c>
      <c r="G2154" s="64">
        <f t="shared" si="454"/>
        <v>0</v>
      </c>
      <c r="H2154" s="64">
        <f t="shared" si="454"/>
        <v>0</v>
      </c>
      <c r="I2154" s="64">
        <f t="shared" si="454"/>
        <v>37055.534999999996</v>
      </c>
    </row>
    <row r="2155" spans="1:16" ht="12.95">
      <c r="A2155" s="16"/>
      <c r="B2155" s="4" t="s">
        <v>30</v>
      </c>
      <c r="C2155" s="52">
        <f t="shared" si="448"/>
        <v>53382.324999999997</v>
      </c>
      <c r="D2155" s="64">
        <f t="shared" si="454"/>
        <v>2516.79</v>
      </c>
      <c r="E2155" s="64">
        <f t="shared" si="454"/>
        <v>13810</v>
      </c>
      <c r="F2155" s="64">
        <f t="shared" si="454"/>
        <v>0</v>
      </c>
      <c r="G2155" s="64">
        <f t="shared" si="454"/>
        <v>0</v>
      </c>
      <c r="H2155" s="64">
        <f t="shared" si="454"/>
        <v>0</v>
      </c>
      <c r="I2155" s="64">
        <f t="shared" si="454"/>
        <v>37055.534999999996</v>
      </c>
    </row>
    <row r="2156" spans="1:16" s="95" customFormat="1">
      <c r="A2156" s="47" t="s">
        <v>812</v>
      </c>
      <c r="B2156" s="97" t="s">
        <v>29</v>
      </c>
      <c r="C2156" s="130">
        <f t="shared" si="448"/>
        <v>53382.324999999997</v>
      </c>
      <c r="D2156" s="130">
        <f t="shared" ref="D2156:I2157" si="455">D2158+D2168+D2176+D2180+D2184+D2188+D2196+D2206</f>
        <v>2516.79</v>
      </c>
      <c r="E2156" s="130">
        <f t="shared" si="455"/>
        <v>13810</v>
      </c>
      <c r="F2156" s="130">
        <f t="shared" si="455"/>
        <v>0</v>
      </c>
      <c r="G2156" s="130">
        <f t="shared" si="455"/>
        <v>0</v>
      </c>
      <c r="H2156" s="130">
        <f t="shared" si="455"/>
        <v>0</v>
      </c>
      <c r="I2156" s="130">
        <f t="shared" si="455"/>
        <v>37055.534999999996</v>
      </c>
    </row>
    <row r="2157" spans="1:16" s="95" customFormat="1">
      <c r="A2157" s="135"/>
      <c r="B2157" s="132" t="s">
        <v>30</v>
      </c>
      <c r="C2157" s="130">
        <f t="shared" si="448"/>
        <v>53382.324999999997</v>
      </c>
      <c r="D2157" s="130">
        <f t="shared" si="455"/>
        <v>2516.79</v>
      </c>
      <c r="E2157" s="130">
        <f t="shared" si="455"/>
        <v>13810</v>
      </c>
      <c r="F2157" s="130">
        <f t="shared" si="455"/>
        <v>0</v>
      </c>
      <c r="G2157" s="130">
        <f t="shared" si="455"/>
        <v>0</v>
      </c>
      <c r="H2157" s="130">
        <f t="shared" si="455"/>
        <v>0</v>
      </c>
      <c r="I2157" s="130">
        <f t="shared" si="455"/>
        <v>37055.534999999996</v>
      </c>
    </row>
    <row r="2158" spans="1:16" s="126" customFormat="1">
      <c r="A2158" s="141" t="s">
        <v>307</v>
      </c>
      <c r="B2158" s="136" t="s">
        <v>29</v>
      </c>
      <c r="C2158" s="125">
        <f t="shared" si="448"/>
        <v>29366.54</v>
      </c>
      <c r="D2158" s="125">
        <f>D2160+D2162+D2164+D2166</f>
        <v>19</v>
      </c>
      <c r="E2158" s="125">
        <f t="shared" ref="E2158:I2158" si="456">E2160+E2162+E2164+E2166</f>
        <v>1680</v>
      </c>
      <c r="F2158" s="125">
        <f t="shared" si="456"/>
        <v>0</v>
      </c>
      <c r="G2158" s="125">
        <f t="shared" si="456"/>
        <v>0</v>
      </c>
      <c r="H2158" s="125">
        <f t="shared" si="456"/>
        <v>0</v>
      </c>
      <c r="I2158" s="125">
        <f t="shared" si="456"/>
        <v>27667.54</v>
      </c>
    </row>
    <row r="2159" spans="1:16" s="126" customFormat="1">
      <c r="A2159" s="146"/>
      <c r="B2159" s="137" t="s">
        <v>30</v>
      </c>
      <c r="C2159" s="125">
        <f>D2159+E2159+F2159+G2159+H2159+I2159</f>
        <v>29366.54</v>
      </c>
      <c r="D2159" s="125">
        <f>D2161+D2163+D2165+D2167</f>
        <v>19</v>
      </c>
      <c r="E2159" s="125">
        <f t="shared" ref="E2159:I2159" si="457">E2161+E2163+E2165+E2167</f>
        <v>1680</v>
      </c>
      <c r="F2159" s="125">
        <f t="shared" si="457"/>
        <v>0</v>
      </c>
      <c r="G2159" s="125">
        <f t="shared" si="457"/>
        <v>0</v>
      </c>
      <c r="H2159" s="125">
        <f t="shared" si="457"/>
        <v>0</v>
      </c>
      <c r="I2159" s="125">
        <f t="shared" si="457"/>
        <v>27667.54</v>
      </c>
    </row>
    <row r="2160" spans="1:16" s="249" customFormat="1" ht="41.25" customHeight="1">
      <c r="A2160" s="325" t="s">
        <v>832</v>
      </c>
      <c r="B2160" s="324" t="s">
        <v>29</v>
      </c>
      <c r="C2160" s="203">
        <f t="shared" si="448"/>
        <v>19</v>
      </c>
      <c r="D2160" s="203">
        <v>19</v>
      </c>
      <c r="E2160" s="203">
        <v>0</v>
      </c>
      <c r="F2160" s="203">
        <v>0</v>
      </c>
      <c r="G2160" s="203">
        <v>0</v>
      </c>
      <c r="H2160" s="203">
        <v>0</v>
      </c>
      <c r="I2160" s="203">
        <v>0</v>
      </c>
      <c r="J2160" s="615"/>
      <c r="K2160" s="616"/>
      <c r="L2160" s="616"/>
      <c r="M2160" s="616"/>
      <c r="N2160" s="616"/>
      <c r="O2160" s="616"/>
      <c r="P2160" s="616"/>
    </row>
    <row r="2161" spans="1:18" s="145" customFormat="1" ht="12.75" customHeight="1">
      <c r="A2161" s="21"/>
      <c r="B2161" s="41" t="s">
        <v>30</v>
      </c>
      <c r="C2161" s="84">
        <f t="shared" si="448"/>
        <v>19</v>
      </c>
      <c r="D2161" s="84">
        <v>19</v>
      </c>
      <c r="E2161" s="84">
        <v>0</v>
      </c>
      <c r="F2161" s="84">
        <v>0</v>
      </c>
      <c r="G2161" s="84">
        <v>0</v>
      </c>
      <c r="H2161" s="84">
        <v>0</v>
      </c>
      <c r="I2161" s="84">
        <v>0</v>
      </c>
      <c r="J2161" s="617"/>
      <c r="K2161" s="616"/>
      <c r="L2161" s="616"/>
      <c r="M2161" s="616"/>
      <c r="N2161" s="616"/>
      <c r="O2161" s="616"/>
      <c r="P2161" s="616"/>
    </row>
    <row r="2162" spans="1:18" s="249" customFormat="1" ht="39.75" customHeight="1">
      <c r="A2162" s="410" t="s">
        <v>833</v>
      </c>
      <c r="B2162" s="324" t="s">
        <v>29</v>
      </c>
      <c r="C2162" s="203">
        <f t="shared" si="448"/>
        <v>95</v>
      </c>
      <c r="D2162" s="203">
        <v>0</v>
      </c>
      <c r="E2162" s="203">
        <v>0</v>
      </c>
      <c r="F2162" s="203">
        <v>0</v>
      </c>
      <c r="G2162" s="203">
        <v>0</v>
      </c>
      <c r="H2162" s="203">
        <v>0</v>
      </c>
      <c r="I2162" s="203">
        <v>95</v>
      </c>
      <c r="J2162" s="618" t="s">
        <v>834</v>
      </c>
      <c r="K2162" s="619"/>
      <c r="L2162" s="619"/>
      <c r="M2162" s="619"/>
      <c r="N2162" s="619"/>
      <c r="O2162" s="619"/>
      <c r="P2162" s="619"/>
      <c r="Q2162" s="619"/>
      <c r="R2162" s="619"/>
    </row>
    <row r="2163" spans="1:18" s="249" customFormat="1">
      <c r="A2163" s="202"/>
      <c r="B2163" s="218" t="s">
        <v>30</v>
      </c>
      <c r="C2163" s="203">
        <f t="shared" si="448"/>
        <v>95</v>
      </c>
      <c r="D2163" s="203">
        <v>0</v>
      </c>
      <c r="E2163" s="203">
        <v>0</v>
      </c>
      <c r="F2163" s="203">
        <v>0</v>
      </c>
      <c r="G2163" s="203">
        <v>0</v>
      </c>
      <c r="H2163" s="203">
        <v>0</v>
      </c>
      <c r="I2163" s="203">
        <v>95</v>
      </c>
      <c r="J2163" s="618"/>
      <c r="K2163" s="619"/>
      <c r="L2163" s="619"/>
      <c r="M2163" s="619"/>
      <c r="N2163" s="619"/>
      <c r="O2163" s="619"/>
      <c r="P2163" s="619"/>
      <c r="Q2163" s="619"/>
      <c r="R2163" s="619"/>
    </row>
    <row r="2164" spans="1:18" s="249" customFormat="1" ht="16.5" customHeight="1">
      <c r="A2164" s="543" t="s">
        <v>835</v>
      </c>
      <c r="B2164" s="324" t="s">
        <v>29</v>
      </c>
      <c r="C2164" s="203">
        <f t="shared" ref="C2164:C2165" si="458">D2164+E2164+F2164+G2164+H2164+I2164</f>
        <v>680</v>
      </c>
      <c r="D2164" s="203">
        <v>0</v>
      </c>
      <c r="E2164" s="203">
        <v>680</v>
      </c>
      <c r="F2164" s="203">
        <v>0</v>
      </c>
      <c r="G2164" s="203">
        <v>0</v>
      </c>
      <c r="H2164" s="203">
        <v>0</v>
      </c>
      <c r="I2164" s="203"/>
      <c r="J2164" s="618"/>
      <c r="K2164" s="619"/>
      <c r="L2164" s="619"/>
      <c r="M2164" s="619"/>
      <c r="N2164" s="619"/>
      <c r="O2164" s="619"/>
      <c r="P2164" s="619"/>
      <c r="Q2164" s="619"/>
      <c r="R2164" s="619"/>
    </row>
    <row r="2165" spans="1:18" s="249" customFormat="1">
      <c r="A2165" s="202"/>
      <c r="B2165" s="218" t="s">
        <v>30</v>
      </c>
      <c r="C2165" s="203">
        <f t="shared" si="458"/>
        <v>680</v>
      </c>
      <c r="D2165" s="203">
        <v>0</v>
      </c>
      <c r="E2165" s="203">
        <v>680</v>
      </c>
      <c r="F2165" s="203">
        <v>0</v>
      </c>
      <c r="G2165" s="203">
        <v>0</v>
      </c>
      <c r="H2165" s="203">
        <v>0</v>
      </c>
      <c r="I2165" s="203"/>
      <c r="J2165" s="618"/>
      <c r="K2165" s="619"/>
      <c r="L2165" s="619"/>
      <c r="M2165" s="619"/>
      <c r="N2165" s="619"/>
      <c r="O2165" s="619"/>
      <c r="P2165" s="619"/>
      <c r="Q2165" s="619"/>
      <c r="R2165" s="619"/>
    </row>
    <row r="2166" spans="1:18" s="249" customFormat="1" ht="13.5" customHeight="1">
      <c r="A2166" s="546" t="s">
        <v>836</v>
      </c>
      <c r="B2166" s="324" t="s">
        <v>29</v>
      </c>
      <c r="C2166" s="203">
        <f t="shared" ref="C2166:C2167" si="459">D2166+E2166+F2166+G2166+H2166+I2166</f>
        <v>28572.54</v>
      </c>
      <c r="D2166" s="203">
        <v>0</v>
      </c>
      <c r="E2166" s="203">
        <v>1000</v>
      </c>
      <c r="F2166" s="203">
        <v>0</v>
      </c>
      <c r="G2166" s="203">
        <v>0</v>
      </c>
      <c r="H2166" s="203">
        <v>0</v>
      </c>
      <c r="I2166" s="203">
        <v>27572.54</v>
      </c>
      <c r="J2166" s="618" t="s">
        <v>837</v>
      </c>
      <c r="K2166" s="619"/>
      <c r="L2166" s="619"/>
      <c r="M2166" s="619"/>
      <c r="N2166" s="619"/>
      <c r="O2166" s="619"/>
      <c r="P2166" s="619"/>
      <c r="Q2166" s="619"/>
      <c r="R2166" s="619"/>
    </row>
    <row r="2167" spans="1:18" s="249" customFormat="1">
      <c r="A2167" s="202"/>
      <c r="B2167" s="218" t="s">
        <v>30</v>
      </c>
      <c r="C2167" s="203">
        <f t="shared" si="459"/>
        <v>28572.54</v>
      </c>
      <c r="D2167" s="203">
        <v>0</v>
      </c>
      <c r="E2167" s="203">
        <v>1000</v>
      </c>
      <c r="F2167" s="203">
        <v>0</v>
      </c>
      <c r="G2167" s="203">
        <v>0</v>
      </c>
      <c r="H2167" s="203">
        <v>0</v>
      </c>
      <c r="I2167" s="203">
        <v>27572.54</v>
      </c>
      <c r="J2167" s="618"/>
      <c r="K2167" s="619"/>
      <c r="L2167" s="619"/>
      <c r="M2167" s="619"/>
      <c r="N2167" s="619"/>
      <c r="O2167" s="619"/>
      <c r="P2167" s="619"/>
      <c r="Q2167" s="619"/>
      <c r="R2167" s="619"/>
    </row>
    <row r="2168" spans="1:18" s="247" customFormat="1">
      <c r="A2168" s="227" t="s">
        <v>371</v>
      </c>
      <c r="B2168" s="233" t="s">
        <v>29</v>
      </c>
      <c r="C2168" s="240">
        <f t="shared" si="448"/>
        <v>6302.51</v>
      </c>
      <c r="D2168" s="291">
        <f>D2170+D2172+D2174</f>
        <v>0</v>
      </c>
      <c r="E2168" s="291">
        <f t="shared" ref="E2168:I2169" si="460">E2170+E2172+E2174</f>
        <v>5992</v>
      </c>
      <c r="F2168" s="291">
        <f t="shared" si="460"/>
        <v>0</v>
      </c>
      <c r="G2168" s="291">
        <f t="shared" si="460"/>
        <v>0</v>
      </c>
      <c r="H2168" s="291">
        <f t="shared" si="460"/>
        <v>0</v>
      </c>
      <c r="I2168" s="291">
        <f t="shared" si="460"/>
        <v>310.51000000000022</v>
      </c>
    </row>
    <row r="2169" spans="1:18" s="247" customFormat="1">
      <c r="A2169" s="375"/>
      <c r="B2169" s="234" t="s">
        <v>30</v>
      </c>
      <c r="C2169" s="240">
        <f t="shared" si="448"/>
        <v>6302.51</v>
      </c>
      <c r="D2169" s="291">
        <f>D2171+D2173+D2175</f>
        <v>0</v>
      </c>
      <c r="E2169" s="291">
        <f t="shared" si="460"/>
        <v>5992</v>
      </c>
      <c r="F2169" s="291">
        <f t="shared" si="460"/>
        <v>0</v>
      </c>
      <c r="G2169" s="291">
        <f t="shared" si="460"/>
        <v>0</v>
      </c>
      <c r="H2169" s="291">
        <f t="shared" si="460"/>
        <v>0</v>
      </c>
      <c r="I2169" s="291">
        <f t="shared" si="460"/>
        <v>310.51000000000022</v>
      </c>
    </row>
    <row r="2170" spans="1:18" s="213" customFormat="1" ht="15.75" customHeight="1">
      <c r="A2170" s="517" t="s">
        <v>838</v>
      </c>
      <c r="B2170" s="228" t="s">
        <v>29</v>
      </c>
      <c r="C2170" s="240">
        <f t="shared" si="448"/>
        <v>4910.51</v>
      </c>
      <c r="D2170" s="240">
        <v>0</v>
      </c>
      <c r="E2170" s="240">
        <v>4600</v>
      </c>
      <c r="F2170" s="240">
        <v>0</v>
      </c>
      <c r="G2170" s="240">
        <v>0</v>
      </c>
      <c r="H2170" s="240">
        <v>0</v>
      </c>
      <c r="I2170" s="240">
        <f>4910.51-4600</f>
        <v>310.51000000000022</v>
      </c>
      <c r="J2170" s="550" t="s">
        <v>839</v>
      </c>
      <c r="K2170" s="551"/>
      <c r="L2170" s="551"/>
      <c r="M2170" s="551"/>
      <c r="N2170" s="551"/>
    </row>
    <row r="2171" spans="1:18" s="213" customFormat="1">
      <c r="A2171" s="215"/>
      <c r="B2171" s="219" t="s">
        <v>30</v>
      </c>
      <c r="C2171" s="240">
        <f t="shared" si="448"/>
        <v>4910.51</v>
      </c>
      <c r="D2171" s="240">
        <v>0</v>
      </c>
      <c r="E2171" s="240">
        <v>4600</v>
      </c>
      <c r="F2171" s="240">
        <v>0</v>
      </c>
      <c r="G2171" s="240">
        <v>0</v>
      </c>
      <c r="H2171" s="240">
        <v>0</v>
      </c>
      <c r="I2171" s="240">
        <f>4910.51-4600</f>
        <v>310.51000000000022</v>
      </c>
      <c r="J2171" s="552"/>
      <c r="K2171" s="551"/>
      <c r="L2171" s="551"/>
      <c r="M2171" s="551"/>
      <c r="N2171" s="551"/>
    </row>
    <row r="2172" spans="1:18" s="213" customFormat="1" ht="15" customHeight="1">
      <c r="A2172" s="517" t="s">
        <v>840</v>
      </c>
      <c r="B2172" s="228" t="s">
        <v>29</v>
      </c>
      <c r="C2172" s="240">
        <f t="shared" si="448"/>
        <v>968</v>
      </c>
      <c r="D2172" s="240">
        <v>0</v>
      </c>
      <c r="E2172" s="240">
        <v>968</v>
      </c>
      <c r="F2172" s="240">
        <v>0</v>
      </c>
      <c r="G2172" s="240">
        <v>0</v>
      </c>
      <c r="H2172" s="240">
        <v>0</v>
      </c>
      <c r="I2172" s="240">
        <v>0</v>
      </c>
    </row>
    <row r="2173" spans="1:18" s="213" customFormat="1">
      <c r="A2173" s="215"/>
      <c r="B2173" s="219" t="s">
        <v>30</v>
      </c>
      <c r="C2173" s="240">
        <f t="shared" si="448"/>
        <v>968</v>
      </c>
      <c r="D2173" s="240">
        <v>0</v>
      </c>
      <c r="E2173" s="240">
        <v>968</v>
      </c>
      <c r="F2173" s="240">
        <v>0</v>
      </c>
      <c r="G2173" s="240">
        <v>0</v>
      </c>
      <c r="H2173" s="240">
        <v>0</v>
      </c>
      <c r="I2173" s="240">
        <v>0</v>
      </c>
    </row>
    <row r="2174" spans="1:18" s="213" customFormat="1" ht="27.75" customHeight="1">
      <c r="A2174" s="517" t="s">
        <v>841</v>
      </c>
      <c r="B2174" s="228" t="s">
        <v>29</v>
      </c>
      <c r="C2174" s="240">
        <f t="shared" si="448"/>
        <v>424</v>
      </c>
      <c r="D2174" s="240">
        <v>0</v>
      </c>
      <c r="E2174" s="240">
        <v>424</v>
      </c>
      <c r="F2174" s="240">
        <v>0</v>
      </c>
      <c r="G2174" s="240">
        <v>0</v>
      </c>
      <c r="H2174" s="240">
        <v>0</v>
      </c>
      <c r="I2174" s="240">
        <v>0</v>
      </c>
    </row>
    <row r="2175" spans="1:18" s="208" customFormat="1">
      <c r="A2175" s="21"/>
      <c r="B2175" s="41" t="s">
        <v>30</v>
      </c>
      <c r="C2175" s="72">
        <f t="shared" si="448"/>
        <v>424</v>
      </c>
      <c r="D2175" s="72">
        <v>0</v>
      </c>
      <c r="E2175" s="72">
        <v>424</v>
      </c>
      <c r="F2175" s="72">
        <v>0</v>
      </c>
      <c r="G2175" s="72">
        <v>0</v>
      </c>
      <c r="H2175" s="72">
        <v>0</v>
      </c>
      <c r="I2175" s="72">
        <v>0</v>
      </c>
    </row>
    <row r="2176" spans="1:18" s="95" customFormat="1">
      <c r="A2176" s="230" t="s">
        <v>656</v>
      </c>
      <c r="B2176" s="151" t="s">
        <v>29</v>
      </c>
      <c r="C2176" s="130">
        <f>D2176+E2176+F2176+G2176+H2176+I2176</f>
        <v>3735.375</v>
      </c>
      <c r="D2176" s="130">
        <f>D2178</f>
        <v>1010.31</v>
      </c>
      <c r="E2176" s="130">
        <f t="shared" ref="E2176:I2177" si="461">E2178</f>
        <v>2528</v>
      </c>
      <c r="F2176" s="130">
        <f t="shared" si="461"/>
        <v>0</v>
      </c>
      <c r="G2176" s="130">
        <f t="shared" si="461"/>
        <v>0</v>
      </c>
      <c r="H2176" s="130">
        <f t="shared" si="461"/>
        <v>0</v>
      </c>
      <c r="I2176" s="130">
        <f t="shared" si="461"/>
        <v>197.06500000000005</v>
      </c>
    </row>
    <row r="2177" spans="1:16" s="95" customFormat="1">
      <c r="A2177" s="135"/>
      <c r="B2177" s="139" t="s">
        <v>30</v>
      </c>
      <c r="C2177" s="130">
        <f>D2177+E2177+F2177+G2177+H2177+I2177</f>
        <v>3735.375</v>
      </c>
      <c r="D2177" s="130">
        <f>D2179</f>
        <v>1010.31</v>
      </c>
      <c r="E2177" s="130">
        <f t="shared" si="461"/>
        <v>2528</v>
      </c>
      <c r="F2177" s="130">
        <f t="shared" si="461"/>
        <v>0</v>
      </c>
      <c r="G2177" s="130">
        <f t="shared" si="461"/>
        <v>0</v>
      </c>
      <c r="H2177" s="130">
        <f t="shared" si="461"/>
        <v>0</v>
      </c>
      <c r="I2177" s="130">
        <f t="shared" si="461"/>
        <v>197.06500000000005</v>
      </c>
    </row>
    <row r="2178" spans="1:16" s="213" customFormat="1" ht="24.95">
      <c r="A2178" s="339" t="s">
        <v>842</v>
      </c>
      <c r="B2178" s="228" t="s">
        <v>29</v>
      </c>
      <c r="C2178" s="240">
        <f t="shared" ref="C2178:C2179" si="462">D2178+E2178+F2178+G2178+H2178+I2178</f>
        <v>3735.375</v>
      </c>
      <c r="D2178" s="240">
        <f>950.81+59.5</f>
        <v>1010.31</v>
      </c>
      <c r="E2178" s="240">
        <v>2528</v>
      </c>
      <c r="F2178" s="240">
        <v>0</v>
      </c>
      <c r="G2178" s="240">
        <v>0</v>
      </c>
      <c r="H2178" s="240">
        <v>0</v>
      </c>
      <c r="I2178" s="240">
        <f>3735.375-1010.31-2619+91</f>
        <v>197.06500000000005</v>
      </c>
      <c r="J2178" s="620" t="s">
        <v>843</v>
      </c>
      <c r="K2178" s="560"/>
      <c r="L2178" s="560"/>
      <c r="M2178" s="560"/>
      <c r="N2178" s="560"/>
      <c r="O2178" s="560"/>
      <c r="P2178" s="560"/>
    </row>
    <row r="2179" spans="1:16" s="249" customFormat="1">
      <c r="A2179" s="202"/>
      <c r="B2179" s="218" t="s">
        <v>30</v>
      </c>
      <c r="C2179" s="203">
        <f t="shared" si="462"/>
        <v>3735.375</v>
      </c>
      <c r="D2179" s="203">
        <f>950.81+59.5</f>
        <v>1010.31</v>
      </c>
      <c r="E2179" s="203">
        <v>2528</v>
      </c>
      <c r="F2179" s="203">
        <v>0</v>
      </c>
      <c r="G2179" s="203">
        <v>0</v>
      </c>
      <c r="H2179" s="203">
        <v>0</v>
      </c>
      <c r="I2179" s="203">
        <f>3735.375-1010.31-2619+91</f>
        <v>197.06500000000005</v>
      </c>
      <c r="J2179" s="621"/>
      <c r="K2179" s="560"/>
      <c r="L2179" s="560"/>
      <c r="M2179" s="560"/>
      <c r="N2179" s="560"/>
      <c r="O2179" s="560"/>
      <c r="P2179" s="560"/>
    </row>
    <row r="2180" spans="1:16" s="95" customFormat="1">
      <c r="A2180" s="58" t="s">
        <v>844</v>
      </c>
      <c r="B2180" s="151" t="s">
        <v>29</v>
      </c>
      <c r="C2180" s="130">
        <f>D2180+E2180+F2180+G2180+H2180+I2180</f>
        <v>118</v>
      </c>
      <c r="D2180" s="130">
        <f>D2182</f>
        <v>0</v>
      </c>
      <c r="E2180" s="130">
        <f t="shared" ref="E2180:I2181" si="463">E2182</f>
        <v>118</v>
      </c>
      <c r="F2180" s="130">
        <f t="shared" si="463"/>
        <v>0</v>
      </c>
      <c r="G2180" s="130">
        <f t="shared" si="463"/>
        <v>0</v>
      </c>
      <c r="H2180" s="130">
        <f t="shared" si="463"/>
        <v>0</v>
      </c>
      <c r="I2180" s="130">
        <f t="shared" si="463"/>
        <v>0</v>
      </c>
    </row>
    <row r="2181" spans="1:16" s="95" customFormat="1">
      <c r="A2181" s="135"/>
      <c r="B2181" s="139" t="s">
        <v>30</v>
      </c>
      <c r="C2181" s="130">
        <f>D2181+E2181+F2181+G2181+H2181+I2181</f>
        <v>118</v>
      </c>
      <c r="D2181" s="130">
        <f>D2183</f>
        <v>0</v>
      </c>
      <c r="E2181" s="130">
        <f t="shared" si="463"/>
        <v>118</v>
      </c>
      <c r="F2181" s="130">
        <f t="shared" si="463"/>
        <v>0</v>
      </c>
      <c r="G2181" s="130">
        <f t="shared" si="463"/>
        <v>0</v>
      </c>
      <c r="H2181" s="130">
        <f t="shared" si="463"/>
        <v>0</v>
      </c>
      <c r="I2181" s="130">
        <f t="shared" si="463"/>
        <v>0</v>
      </c>
    </row>
    <row r="2182" spans="1:16" s="213" customFormat="1" ht="24.95">
      <c r="A2182" s="478" t="s">
        <v>845</v>
      </c>
      <c r="B2182" s="228" t="s">
        <v>29</v>
      </c>
      <c r="C2182" s="240">
        <f t="shared" ref="C2182:C2183" si="464">D2182+E2182+F2182+G2182+H2182+I2182</f>
        <v>118</v>
      </c>
      <c r="D2182" s="240">
        <v>0</v>
      </c>
      <c r="E2182" s="240">
        <v>118</v>
      </c>
      <c r="F2182" s="240">
        <v>0</v>
      </c>
      <c r="G2182" s="240">
        <v>0</v>
      </c>
      <c r="H2182" s="240">
        <v>0</v>
      </c>
      <c r="I2182" s="240">
        <v>0</v>
      </c>
      <c r="J2182" s="610"/>
      <c r="K2182" s="611"/>
      <c r="L2182" s="611"/>
      <c r="M2182" s="611"/>
      <c r="N2182" s="611"/>
      <c r="O2182" s="611"/>
    </row>
    <row r="2183" spans="1:16" s="213" customFormat="1">
      <c r="A2183" s="215"/>
      <c r="B2183" s="219" t="s">
        <v>30</v>
      </c>
      <c r="C2183" s="240">
        <f t="shared" si="464"/>
        <v>118</v>
      </c>
      <c r="D2183" s="240">
        <v>0</v>
      </c>
      <c r="E2183" s="240">
        <v>118</v>
      </c>
      <c r="F2183" s="240">
        <v>0</v>
      </c>
      <c r="G2183" s="240">
        <v>0</v>
      </c>
      <c r="H2183" s="240">
        <v>0</v>
      </c>
      <c r="I2183" s="240">
        <v>0</v>
      </c>
      <c r="J2183" s="610"/>
      <c r="K2183" s="611"/>
      <c r="L2183" s="611"/>
      <c r="M2183" s="611"/>
      <c r="N2183" s="611"/>
      <c r="O2183" s="611"/>
    </row>
    <row r="2184" spans="1:16" s="247" customFormat="1">
      <c r="A2184" s="276" t="s">
        <v>846</v>
      </c>
      <c r="B2184" s="233" t="s">
        <v>29</v>
      </c>
      <c r="C2184" s="291">
        <f>D2184+E2184+F2184+G2184+H2184+I2184</f>
        <v>14.74</v>
      </c>
      <c r="D2184" s="291">
        <f>D2186</f>
        <v>14.74</v>
      </c>
      <c r="E2184" s="291">
        <f t="shared" ref="E2184:I2185" si="465">E2186</f>
        <v>0</v>
      </c>
      <c r="F2184" s="291">
        <f t="shared" si="465"/>
        <v>0</v>
      </c>
      <c r="G2184" s="291">
        <f t="shared" si="465"/>
        <v>0</v>
      </c>
      <c r="H2184" s="291">
        <f t="shared" si="465"/>
        <v>0</v>
      </c>
      <c r="I2184" s="291">
        <f t="shared" si="465"/>
        <v>0</v>
      </c>
      <c r="J2184" s="376"/>
      <c r="K2184" s="376"/>
      <c r="L2184" s="376"/>
      <c r="M2184" s="376"/>
      <c r="N2184" s="376"/>
    </row>
    <row r="2185" spans="1:16" s="247" customFormat="1">
      <c r="A2185" s="235"/>
      <c r="B2185" s="234" t="s">
        <v>30</v>
      </c>
      <c r="C2185" s="291">
        <f>D2185+E2185+F2185+G2185+H2185+I2185</f>
        <v>14.74</v>
      </c>
      <c r="D2185" s="291">
        <f>D2187</f>
        <v>14.74</v>
      </c>
      <c r="E2185" s="291">
        <f t="shared" si="465"/>
        <v>0</v>
      </c>
      <c r="F2185" s="291">
        <f t="shared" si="465"/>
        <v>0</v>
      </c>
      <c r="G2185" s="291">
        <f t="shared" si="465"/>
        <v>0</v>
      </c>
      <c r="H2185" s="291">
        <f t="shared" si="465"/>
        <v>0</v>
      </c>
      <c r="I2185" s="291">
        <f t="shared" si="465"/>
        <v>0</v>
      </c>
      <c r="J2185" s="376"/>
      <c r="K2185" s="376"/>
      <c r="L2185" s="376"/>
      <c r="M2185" s="376"/>
      <c r="N2185" s="376"/>
    </row>
    <row r="2186" spans="1:16" s="213" customFormat="1" ht="12" customHeight="1">
      <c r="A2186" s="486" t="s">
        <v>847</v>
      </c>
      <c r="B2186" s="228" t="s">
        <v>29</v>
      </c>
      <c r="C2186" s="240">
        <f t="shared" ref="C2186:C2187" si="466">D2186+E2186+F2186+G2186+H2186+I2186</f>
        <v>14.74</v>
      </c>
      <c r="D2186" s="240">
        <v>14.74</v>
      </c>
      <c r="E2186" s="240">
        <v>0</v>
      </c>
      <c r="F2186" s="240">
        <v>0</v>
      </c>
      <c r="G2186" s="240">
        <v>0</v>
      </c>
      <c r="H2186" s="240">
        <v>0</v>
      </c>
      <c r="I2186" s="240">
        <v>0</v>
      </c>
      <c r="J2186" s="622"/>
      <c r="K2186" s="623"/>
      <c r="L2186" s="623"/>
      <c r="M2186" s="623"/>
      <c r="N2186" s="623"/>
      <c r="O2186" s="623"/>
    </row>
    <row r="2187" spans="1:16" s="20" customFormat="1">
      <c r="A2187" s="215"/>
      <c r="B2187" s="55" t="s">
        <v>30</v>
      </c>
      <c r="C2187" s="64">
        <f t="shared" si="466"/>
        <v>14.74</v>
      </c>
      <c r="D2187" s="64">
        <v>14.74</v>
      </c>
      <c r="E2187" s="64">
        <v>0</v>
      </c>
      <c r="F2187" s="64">
        <v>0</v>
      </c>
      <c r="G2187" s="64">
        <v>0</v>
      </c>
      <c r="H2187" s="64">
        <v>0</v>
      </c>
      <c r="I2187" s="64">
        <v>0</v>
      </c>
      <c r="J2187" s="622"/>
      <c r="K2187" s="623"/>
      <c r="L2187" s="623"/>
      <c r="M2187" s="623"/>
      <c r="N2187" s="623"/>
      <c r="O2187" s="623"/>
    </row>
    <row r="2188" spans="1:16" s="126" customFormat="1" ht="14.1">
      <c r="A2188" s="388" t="s">
        <v>848</v>
      </c>
      <c r="B2188" s="136" t="s">
        <v>29</v>
      </c>
      <c r="C2188" s="125">
        <f>D2188+E2188+F2188+G2188+H2188+I2188</f>
        <v>12295.67</v>
      </c>
      <c r="D2188" s="125">
        <f>D2190+D2192+D2194</f>
        <v>98.02000000000001</v>
      </c>
      <c r="E2188" s="125">
        <f t="shared" ref="E2188:I2189" si="467">E2190+E2192+E2194</f>
        <v>3350</v>
      </c>
      <c r="F2188" s="125">
        <f t="shared" si="467"/>
        <v>0</v>
      </c>
      <c r="G2188" s="125">
        <f t="shared" si="467"/>
        <v>0</v>
      </c>
      <c r="H2188" s="125">
        <f t="shared" si="467"/>
        <v>0</v>
      </c>
      <c r="I2188" s="125">
        <f t="shared" si="467"/>
        <v>8847.65</v>
      </c>
      <c r="J2188" s="279"/>
      <c r="K2188" s="279"/>
      <c r="L2188" s="279"/>
      <c r="M2188" s="279"/>
      <c r="N2188" s="279"/>
    </row>
    <row r="2189" spans="1:16" s="126" customFormat="1">
      <c r="A2189" s="146"/>
      <c r="B2189" s="137" t="s">
        <v>30</v>
      </c>
      <c r="C2189" s="125">
        <f>D2189+E2189+F2189+G2189+H2189+I2189</f>
        <v>12295.67</v>
      </c>
      <c r="D2189" s="125">
        <f>D2191+D2193+D2195</f>
        <v>98.02000000000001</v>
      </c>
      <c r="E2189" s="125">
        <f t="shared" si="467"/>
        <v>3350</v>
      </c>
      <c r="F2189" s="125">
        <f t="shared" si="467"/>
        <v>0</v>
      </c>
      <c r="G2189" s="125">
        <f t="shared" si="467"/>
        <v>0</v>
      </c>
      <c r="H2189" s="125">
        <f t="shared" si="467"/>
        <v>0</v>
      </c>
      <c r="I2189" s="125">
        <f t="shared" si="467"/>
        <v>8847.65</v>
      </c>
      <c r="J2189" s="279"/>
      <c r="K2189" s="279"/>
      <c r="L2189" s="279"/>
      <c r="M2189" s="279"/>
      <c r="N2189" s="279"/>
    </row>
    <row r="2190" spans="1:16" s="213" customFormat="1" ht="14.25" customHeight="1">
      <c r="A2190" s="478" t="s">
        <v>849</v>
      </c>
      <c r="B2190" s="228" t="s">
        <v>29</v>
      </c>
      <c r="C2190" s="240">
        <f t="shared" ref="C2190:C2211" si="468">D2190+E2190+F2190+G2190+H2190+I2190</f>
        <v>435.82</v>
      </c>
      <c r="D2190" s="240">
        <v>6.65</v>
      </c>
      <c r="E2190" s="240">
        <v>350</v>
      </c>
      <c r="F2190" s="240">
        <v>0</v>
      </c>
      <c r="G2190" s="240">
        <v>0</v>
      </c>
      <c r="H2190" s="240">
        <v>0</v>
      </c>
      <c r="I2190" s="240">
        <f>435.82-6.65-350</f>
        <v>79.170000000000016</v>
      </c>
      <c r="J2190" s="610" t="s">
        <v>850</v>
      </c>
      <c r="K2190" s="611"/>
      <c r="L2190" s="611"/>
      <c r="M2190" s="611"/>
      <c r="N2190" s="611"/>
      <c r="O2190" s="611"/>
    </row>
    <row r="2191" spans="1:16" s="213" customFormat="1">
      <c r="A2191" s="215"/>
      <c r="B2191" s="219" t="s">
        <v>30</v>
      </c>
      <c r="C2191" s="240">
        <f t="shared" si="468"/>
        <v>435.82</v>
      </c>
      <c r="D2191" s="240">
        <v>6.65</v>
      </c>
      <c r="E2191" s="240">
        <v>350</v>
      </c>
      <c r="F2191" s="240">
        <v>0</v>
      </c>
      <c r="G2191" s="240">
        <v>0</v>
      </c>
      <c r="H2191" s="240">
        <v>0</v>
      </c>
      <c r="I2191" s="240">
        <f>435.82-6.65-350</f>
        <v>79.170000000000016</v>
      </c>
      <c r="J2191" s="610"/>
      <c r="K2191" s="611"/>
      <c r="L2191" s="611"/>
      <c r="M2191" s="611"/>
      <c r="N2191" s="611"/>
      <c r="O2191" s="611"/>
    </row>
    <row r="2192" spans="1:16" s="213" customFormat="1" ht="25.5" customHeight="1">
      <c r="A2192" s="439" t="s">
        <v>851</v>
      </c>
      <c r="B2192" s="228" t="s">
        <v>29</v>
      </c>
      <c r="C2192" s="240">
        <f t="shared" si="468"/>
        <v>91.37</v>
      </c>
      <c r="D2192" s="240">
        <v>91.37</v>
      </c>
      <c r="E2192" s="240">
        <v>0</v>
      </c>
      <c r="F2192" s="240">
        <v>0</v>
      </c>
      <c r="G2192" s="240">
        <v>0</v>
      </c>
      <c r="H2192" s="240">
        <v>0</v>
      </c>
      <c r="I2192" s="240">
        <v>0</v>
      </c>
      <c r="J2192" s="610"/>
      <c r="K2192" s="611"/>
      <c r="L2192" s="611"/>
      <c r="M2192" s="611"/>
      <c r="N2192" s="611"/>
      <c r="O2192" s="611"/>
    </row>
    <row r="2193" spans="1:16" s="213" customFormat="1">
      <c r="A2193" s="215"/>
      <c r="B2193" s="219" t="s">
        <v>30</v>
      </c>
      <c r="C2193" s="240">
        <f t="shared" si="468"/>
        <v>91.37</v>
      </c>
      <c r="D2193" s="240">
        <v>91.37</v>
      </c>
      <c r="E2193" s="240">
        <v>0</v>
      </c>
      <c r="F2193" s="240">
        <v>0</v>
      </c>
      <c r="G2193" s="240">
        <v>0</v>
      </c>
      <c r="H2193" s="240">
        <v>0</v>
      </c>
      <c r="I2193" s="240">
        <v>0</v>
      </c>
      <c r="J2193" s="610"/>
      <c r="K2193" s="611"/>
      <c r="L2193" s="611"/>
      <c r="M2193" s="611"/>
      <c r="N2193" s="611"/>
      <c r="O2193" s="611"/>
    </row>
    <row r="2194" spans="1:16" s="213" customFormat="1" ht="27" customHeight="1">
      <c r="A2194" s="518" t="s">
        <v>852</v>
      </c>
      <c r="B2194" s="228" t="s">
        <v>29</v>
      </c>
      <c r="C2194" s="240">
        <f t="shared" si="468"/>
        <v>11768.48</v>
      </c>
      <c r="D2194" s="240">
        <v>0</v>
      </c>
      <c r="E2194" s="240">
        <v>3000</v>
      </c>
      <c r="F2194" s="240">
        <v>0</v>
      </c>
      <c r="G2194" s="240">
        <v>0</v>
      </c>
      <c r="H2194" s="240">
        <v>0</v>
      </c>
      <c r="I2194" s="240">
        <f>12048.13-3000-279.65</f>
        <v>8768.48</v>
      </c>
      <c r="J2194" s="610" t="s">
        <v>853</v>
      </c>
      <c r="K2194" s="611"/>
      <c r="L2194" s="611"/>
      <c r="M2194" s="611"/>
      <c r="N2194" s="611"/>
      <c r="O2194" s="611"/>
    </row>
    <row r="2195" spans="1:16" s="213" customFormat="1">
      <c r="A2195" s="215"/>
      <c r="B2195" s="219" t="s">
        <v>30</v>
      </c>
      <c r="C2195" s="240">
        <f t="shared" si="468"/>
        <v>11768.48</v>
      </c>
      <c r="D2195" s="240">
        <v>0</v>
      </c>
      <c r="E2195" s="240">
        <v>3000</v>
      </c>
      <c r="F2195" s="240">
        <v>0</v>
      </c>
      <c r="G2195" s="240">
        <v>0</v>
      </c>
      <c r="H2195" s="240">
        <v>0</v>
      </c>
      <c r="I2195" s="240">
        <f>12048.13-3000-279.65</f>
        <v>8768.48</v>
      </c>
      <c r="J2195" s="610"/>
      <c r="K2195" s="611"/>
      <c r="L2195" s="611"/>
      <c r="M2195" s="611"/>
      <c r="N2195" s="611"/>
      <c r="O2195" s="611"/>
    </row>
    <row r="2196" spans="1:16" s="126" customFormat="1" ht="24.95">
      <c r="A2196" s="147" t="s">
        <v>854</v>
      </c>
      <c r="B2196" s="136" t="s">
        <v>29</v>
      </c>
      <c r="C2196" s="125">
        <f t="shared" si="468"/>
        <v>267.49</v>
      </c>
      <c r="D2196" s="125">
        <f>D2198+D2200+D2202+D2204</f>
        <v>148.72</v>
      </c>
      <c r="E2196" s="125">
        <f t="shared" ref="E2196:I2197" si="469">E2198+E2200+E2202+E2204</f>
        <v>86</v>
      </c>
      <c r="F2196" s="125">
        <f t="shared" si="469"/>
        <v>0</v>
      </c>
      <c r="G2196" s="125">
        <f t="shared" si="469"/>
        <v>0</v>
      </c>
      <c r="H2196" s="125">
        <f t="shared" si="469"/>
        <v>0</v>
      </c>
      <c r="I2196" s="125">
        <f t="shared" si="469"/>
        <v>32.769999999999996</v>
      </c>
    </row>
    <row r="2197" spans="1:16" s="126" customFormat="1">
      <c r="A2197" s="146"/>
      <c r="B2197" s="137" t="s">
        <v>30</v>
      </c>
      <c r="C2197" s="125">
        <f t="shared" si="468"/>
        <v>267.49</v>
      </c>
      <c r="D2197" s="125">
        <f>D2199+D2201+D2203+D2205</f>
        <v>148.72</v>
      </c>
      <c r="E2197" s="125">
        <f t="shared" si="469"/>
        <v>86</v>
      </c>
      <c r="F2197" s="125">
        <f t="shared" si="469"/>
        <v>0</v>
      </c>
      <c r="G2197" s="125">
        <f t="shared" si="469"/>
        <v>0</v>
      </c>
      <c r="H2197" s="125">
        <f t="shared" si="469"/>
        <v>0</v>
      </c>
      <c r="I2197" s="125">
        <f t="shared" si="469"/>
        <v>32.769999999999996</v>
      </c>
    </row>
    <row r="2198" spans="1:16" s="249" customFormat="1">
      <c r="A2198" s="473" t="s">
        <v>855</v>
      </c>
      <c r="B2198" s="324" t="s">
        <v>29</v>
      </c>
      <c r="C2198" s="203">
        <f t="shared" si="468"/>
        <v>11</v>
      </c>
      <c r="D2198" s="203">
        <v>11</v>
      </c>
      <c r="E2198" s="203">
        <v>0</v>
      </c>
      <c r="F2198" s="203">
        <v>0</v>
      </c>
      <c r="G2198" s="203">
        <v>0</v>
      </c>
      <c r="H2198" s="203">
        <v>0</v>
      </c>
      <c r="I2198" s="203">
        <v>0</v>
      </c>
      <c r="J2198" s="766"/>
      <c r="K2198" s="767"/>
      <c r="L2198" s="767"/>
      <c r="M2198" s="767"/>
      <c r="N2198" s="767"/>
      <c r="O2198" s="759"/>
      <c r="P2198" s="759"/>
    </row>
    <row r="2199" spans="1:16" s="249" customFormat="1">
      <c r="A2199" s="340"/>
      <c r="B2199" s="218" t="s">
        <v>30</v>
      </c>
      <c r="C2199" s="203">
        <f t="shared" si="468"/>
        <v>11</v>
      </c>
      <c r="D2199" s="203">
        <v>11</v>
      </c>
      <c r="E2199" s="203">
        <v>0</v>
      </c>
      <c r="F2199" s="203">
        <v>0</v>
      </c>
      <c r="G2199" s="203">
        <v>0</v>
      </c>
      <c r="H2199" s="203">
        <v>0</v>
      </c>
      <c r="I2199" s="203">
        <v>0</v>
      </c>
      <c r="J2199" s="766"/>
      <c r="K2199" s="767"/>
      <c r="L2199" s="767"/>
      <c r="M2199" s="767"/>
      <c r="N2199" s="767"/>
      <c r="O2199" s="759"/>
      <c r="P2199" s="759"/>
    </row>
    <row r="2200" spans="1:16" s="212" customFormat="1" ht="24" customHeight="1">
      <c r="A2200" s="332" t="s">
        <v>856</v>
      </c>
      <c r="B2200" s="228" t="s">
        <v>29</v>
      </c>
      <c r="C2200" s="240">
        <f t="shared" si="468"/>
        <v>25.49</v>
      </c>
      <c r="D2200" s="240">
        <v>25.49</v>
      </c>
      <c r="E2200" s="240">
        <v>0</v>
      </c>
      <c r="F2200" s="240">
        <v>0</v>
      </c>
      <c r="G2200" s="240">
        <v>0</v>
      </c>
      <c r="H2200" s="240">
        <v>0</v>
      </c>
      <c r="I2200" s="240">
        <v>0</v>
      </c>
      <c r="J2200" s="612" t="s">
        <v>857</v>
      </c>
      <c r="K2200" s="613"/>
      <c r="L2200" s="613"/>
      <c r="M2200" s="613"/>
      <c r="N2200" s="613"/>
      <c r="O2200" s="613"/>
      <c r="P2200" s="613"/>
    </row>
    <row r="2201" spans="1:16" s="249" customFormat="1">
      <c r="A2201" s="340"/>
      <c r="B2201" s="219" t="s">
        <v>30</v>
      </c>
      <c r="C2201" s="240">
        <f t="shared" si="468"/>
        <v>25.49</v>
      </c>
      <c r="D2201" s="240">
        <v>25.49</v>
      </c>
      <c r="E2201" s="240">
        <v>0</v>
      </c>
      <c r="F2201" s="240">
        <v>0</v>
      </c>
      <c r="G2201" s="240">
        <v>0</v>
      </c>
      <c r="H2201" s="240">
        <v>0</v>
      </c>
      <c r="I2201" s="240">
        <v>0</v>
      </c>
      <c r="J2201" s="612"/>
      <c r="K2201" s="613"/>
      <c r="L2201" s="613"/>
      <c r="M2201" s="613"/>
      <c r="N2201" s="613"/>
      <c r="O2201" s="613"/>
      <c r="P2201" s="613"/>
    </row>
    <row r="2202" spans="1:16" s="212" customFormat="1">
      <c r="A2202" s="519" t="s">
        <v>858</v>
      </c>
      <c r="B2202" s="228" t="s">
        <v>29</v>
      </c>
      <c r="C2202" s="240">
        <f t="shared" si="468"/>
        <v>206</v>
      </c>
      <c r="D2202" s="240">
        <v>112.23</v>
      </c>
      <c r="E2202" s="240">
        <v>61</v>
      </c>
      <c r="F2202" s="240">
        <v>0</v>
      </c>
      <c r="G2202" s="240">
        <v>0</v>
      </c>
      <c r="H2202" s="240">
        <v>0</v>
      </c>
      <c r="I2202" s="240">
        <f>206-112.23-61</f>
        <v>32.769999999999996</v>
      </c>
      <c r="J2202" s="612" t="s">
        <v>859</v>
      </c>
      <c r="K2202" s="613"/>
      <c r="L2202" s="613"/>
      <c r="M2202" s="613"/>
      <c r="N2202" s="613"/>
      <c r="O2202" s="614"/>
      <c r="P2202" s="614"/>
    </row>
    <row r="2203" spans="1:16" s="253" customFormat="1">
      <c r="A2203" s="340"/>
      <c r="B2203" s="219" t="s">
        <v>30</v>
      </c>
      <c r="C2203" s="240">
        <f t="shared" si="468"/>
        <v>206</v>
      </c>
      <c r="D2203" s="240">
        <v>112.23</v>
      </c>
      <c r="E2203" s="240">
        <v>61</v>
      </c>
      <c r="F2203" s="240">
        <v>0</v>
      </c>
      <c r="G2203" s="240">
        <v>0</v>
      </c>
      <c r="H2203" s="240">
        <v>0</v>
      </c>
      <c r="I2203" s="240">
        <f>206-112.23-61</f>
        <v>32.769999999999996</v>
      </c>
      <c r="J2203" s="612"/>
      <c r="K2203" s="613"/>
      <c r="L2203" s="613"/>
      <c r="M2203" s="613"/>
      <c r="N2203" s="613"/>
      <c r="O2203" s="614"/>
      <c r="P2203" s="614"/>
    </row>
    <row r="2204" spans="1:16" s="212" customFormat="1" ht="26.25" customHeight="1">
      <c r="A2204" s="332" t="s">
        <v>860</v>
      </c>
      <c r="B2204" s="228" t="s">
        <v>29</v>
      </c>
      <c r="C2204" s="240">
        <f t="shared" si="468"/>
        <v>25</v>
      </c>
      <c r="D2204" s="240">
        <v>0</v>
      </c>
      <c r="E2204" s="240">
        <v>25</v>
      </c>
      <c r="F2204" s="240">
        <v>0</v>
      </c>
      <c r="G2204" s="240">
        <v>0</v>
      </c>
      <c r="H2204" s="240">
        <v>0</v>
      </c>
      <c r="I2204" s="240">
        <v>0</v>
      </c>
      <c r="J2204" s="612"/>
      <c r="K2204" s="613"/>
      <c r="L2204" s="613"/>
      <c r="M2204" s="613"/>
      <c r="N2204" s="613"/>
      <c r="O2204" s="613"/>
      <c r="P2204" s="613"/>
    </row>
    <row r="2205" spans="1:16" s="249" customFormat="1">
      <c r="A2205" s="250"/>
      <c r="B2205" s="218" t="s">
        <v>30</v>
      </c>
      <c r="C2205" s="203">
        <f t="shared" si="468"/>
        <v>25</v>
      </c>
      <c r="D2205" s="203">
        <v>0</v>
      </c>
      <c r="E2205" s="203">
        <v>25</v>
      </c>
      <c r="F2205" s="203">
        <v>0</v>
      </c>
      <c r="G2205" s="203">
        <v>0</v>
      </c>
      <c r="H2205" s="203">
        <v>0</v>
      </c>
      <c r="I2205" s="203">
        <v>0</v>
      </c>
      <c r="J2205" s="612"/>
      <c r="K2205" s="613"/>
      <c r="L2205" s="613"/>
      <c r="M2205" s="613"/>
      <c r="N2205" s="613"/>
      <c r="O2205" s="613"/>
      <c r="P2205" s="613"/>
    </row>
    <row r="2206" spans="1:16" s="126" customFormat="1" ht="14.1">
      <c r="A2206" s="413" t="s">
        <v>861</v>
      </c>
      <c r="B2206" s="136" t="s">
        <v>29</v>
      </c>
      <c r="C2206" s="125">
        <f t="shared" si="468"/>
        <v>1282</v>
      </c>
      <c r="D2206" s="125">
        <f>D2208+D2210</f>
        <v>1226</v>
      </c>
      <c r="E2206" s="125">
        <f t="shared" ref="E2206:I2207" si="470">E2208+E2210</f>
        <v>56</v>
      </c>
      <c r="F2206" s="125">
        <f t="shared" si="470"/>
        <v>0</v>
      </c>
      <c r="G2206" s="125">
        <f t="shared" si="470"/>
        <v>0</v>
      </c>
      <c r="H2206" s="125">
        <f t="shared" si="470"/>
        <v>0</v>
      </c>
      <c r="I2206" s="125">
        <f t="shared" si="470"/>
        <v>0</v>
      </c>
    </row>
    <row r="2207" spans="1:16" s="126" customFormat="1">
      <c r="A2207" s="146"/>
      <c r="B2207" s="137" t="s">
        <v>30</v>
      </c>
      <c r="C2207" s="125">
        <f t="shared" si="468"/>
        <v>1282</v>
      </c>
      <c r="D2207" s="125">
        <f>D2209+D2211</f>
        <v>1226</v>
      </c>
      <c r="E2207" s="125">
        <f t="shared" si="470"/>
        <v>56</v>
      </c>
      <c r="F2207" s="125">
        <f t="shared" si="470"/>
        <v>0</v>
      </c>
      <c r="G2207" s="125">
        <f t="shared" si="470"/>
        <v>0</v>
      </c>
      <c r="H2207" s="125">
        <f t="shared" si="470"/>
        <v>0</v>
      </c>
      <c r="I2207" s="125">
        <f t="shared" si="470"/>
        <v>0</v>
      </c>
    </row>
    <row r="2208" spans="1:16" s="213" customFormat="1" ht="24.95">
      <c r="A2208" s="325" t="s">
        <v>862</v>
      </c>
      <c r="B2208" s="228" t="s">
        <v>29</v>
      </c>
      <c r="C2208" s="240">
        <f t="shared" si="468"/>
        <v>1226</v>
      </c>
      <c r="D2208" s="240">
        <v>1226</v>
      </c>
      <c r="E2208" s="240">
        <v>0</v>
      </c>
      <c r="F2208" s="240">
        <v>0</v>
      </c>
      <c r="G2208" s="240">
        <v>0</v>
      </c>
      <c r="H2208" s="240">
        <v>0</v>
      </c>
      <c r="I2208" s="240">
        <v>0</v>
      </c>
      <c r="J2208" s="599" t="s">
        <v>863</v>
      </c>
      <c r="K2208" s="600"/>
      <c r="L2208" s="600"/>
      <c r="M2208" s="600"/>
      <c r="N2208" s="600"/>
      <c r="O2208" s="600"/>
      <c r="P2208" s="600"/>
    </row>
    <row r="2209" spans="1:19" s="213" customFormat="1">
      <c r="A2209" s="340"/>
      <c r="B2209" s="219" t="s">
        <v>30</v>
      </c>
      <c r="C2209" s="240">
        <f t="shared" si="468"/>
        <v>1226</v>
      </c>
      <c r="D2209" s="240">
        <v>1226</v>
      </c>
      <c r="E2209" s="240">
        <v>0</v>
      </c>
      <c r="F2209" s="240">
        <v>0</v>
      </c>
      <c r="G2209" s="240">
        <v>0</v>
      </c>
      <c r="H2209" s="240">
        <v>0</v>
      </c>
      <c r="I2209" s="240">
        <v>0</v>
      </c>
      <c r="J2209" s="599"/>
      <c r="K2209" s="600"/>
      <c r="L2209" s="600"/>
      <c r="M2209" s="600"/>
      <c r="N2209" s="600"/>
      <c r="O2209" s="600"/>
      <c r="P2209" s="600"/>
    </row>
    <row r="2210" spans="1:19" s="213" customFormat="1">
      <c r="A2210" s="505" t="s">
        <v>864</v>
      </c>
      <c r="B2210" s="228" t="s">
        <v>29</v>
      </c>
      <c r="C2210" s="240">
        <f t="shared" si="468"/>
        <v>56</v>
      </c>
      <c r="D2210" s="240">
        <v>0</v>
      </c>
      <c r="E2210" s="240">
        <v>56</v>
      </c>
      <c r="F2210" s="240">
        <v>0</v>
      </c>
      <c r="G2210" s="240">
        <v>0</v>
      </c>
      <c r="H2210" s="240">
        <v>0</v>
      </c>
      <c r="I2210" s="240">
        <v>0</v>
      </c>
      <c r="J2210" s="601"/>
      <c r="K2210" s="602"/>
      <c r="L2210" s="602"/>
      <c r="M2210" s="602"/>
      <c r="N2210" s="602"/>
      <c r="O2210" s="560"/>
      <c r="P2210" s="560"/>
    </row>
    <row r="2211" spans="1:19" s="208" customFormat="1">
      <c r="A2211" s="250"/>
      <c r="B2211" s="218" t="s">
        <v>30</v>
      </c>
      <c r="C2211" s="84">
        <f t="shared" si="468"/>
        <v>56</v>
      </c>
      <c r="D2211" s="72">
        <v>0</v>
      </c>
      <c r="E2211" s="72">
        <v>56</v>
      </c>
      <c r="F2211" s="72">
        <v>0</v>
      </c>
      <c r="G2211" s="72">
        <v>0</v>
      </c>
      <c r="H2211" s="72">
        <v>0</v>
      </c>
      <c r="I2211" s="72">
        <v>0</v>
      </c>
      <c r="J2211" s="601"/>
      <c r="K2211" s="602"/>
      <c r="L2211" s="602"/>
      <c r="M2211" s="602"/>
      <c r="N2211" s="602"/>
      <c r="O2211" s="560"/>
      <c r="P2211" s="560"/>
    </row>
    <row r="2212" spans="1:19" s="95" customFormat="1">
      <c r="A2212" s="47" t="s">
        <v>52</v>
      </c>
      <c r="B2212" s="151" t="s">
        <v>29</v>
      </c>
      <c r="C2212" s="130">
        <f t="shared" si="448"/>
        <v>14914.25</v>
      </c>
      <c r="D2212" s="130">
        <f t="shared" ref="D2212:I2213" si="471">D2214+D2220+D2228</f>
        <v>4437.57</v>
      </c>
      <c r="E2212" s="130">
        <f t="shared" si="471"/>
        <v>7808</v>
      </c>
      <c r="F2212" s="130">
        <f t="shared" si="471"/>
        <v>0</v>
      </c>
      <c r="G2212" s="130">
        <f t="shared" si="471"/>
        <v>0</v>
      </c>
      <c r="H2212" s="130">
        <f t="shared" si="471"/>
        <v>0</v>
      </c>
      <c r="I2212" s="130">
        <f t="shared" si="471"/>
        <v>2668.6800000000003</v>
      </c>
      <c r="J2212" s="279"/>
      <c r="K2212" s="279"/>
      <c r="L2212" s="279"/>
      <c r="M2212" s="279"/>
      <c r="N2212" s="279"/>
    </row>
    <row r="2213" spans="1:19" s="95" customFormat="1">
      <c r="A2213" s="131"/>
      <c r="B2213" s="139" t="s">
        <v>30</v>
      </c>
      <c r="C2213" s="130">
        <f t="shared" si="448"/>
        <v>14914.25</v>
      </c>
      <c r="D2213" s="130">
        <f t="shared" si="471"/>
        <v>4437.57</v>
      </c>
      <c r="E2213" s="130">
        <f t="shared" si="471"/>
        <v>7808</v>
      </c>
      <c r="F2213" s="130">
        <f t="shared" si="471"/>
        <v>0</v>
      </c>
      <c r="G2213" s="130">
        <f t="shared" si="471"/>
        <v>0</v>
      </c>
      <c r="H2213" s="130">
        <f t="shared" si="471"/>
        <v>0</v>
      </c>
      <c r="I2213" s="130">
        <f t="shared" si="471"/>
        <v>2668.6800000000003</v>
      </c>
    </row>
    <row r="2214" spans="1:19" s="95" customFormat="1">
      <c r="A2214" s="96" t="s">
        <v>90</v>
      </c>
      <c r="B2214" s="151" t="s">
        <v>29</v>
      </c>
      <c r="C2214" s="130">
        <f t="shared" si="448"/>
        <v>1318.83</v>
      </c>
      <c r="D2214" s="130">
        <f>D2216+D2218</f>
        <v>195</v>
      </c>
      <c r="E2214" s="130">
        <f t="shared" ref="E2214:I2215" si="472">E2216+E2218</f>
        <v>908</v>
      </c>
      <c r="F2214" s="130">
        <f t="shared" si="472"/>
        <v>0</v>
      </c>
      <c r="G2214" s="130">
        <f t="shared" si="472"/>
        <v>0</v>
      </c>
      <c r="H2214" s="130">
        <f t="shared" si="472"/>
        <v>0</v>
      </c>
      <c r="I2214" s="130">
        <f t="shared" si="472"/>
        <v>215.82999999999993</v>
      </c>
    </row>
    <row r="2215" spans="1:19" s="95" customFormat="1">
      <c r="A2215" s="161"/>
      <c r="B2215" s="139" t="s">
        <v>30</v>
      </c>
      <c r="C2215" s="130">
        <f t="shared" si="448"/>
        <v>1318.83</v>
      </c>
      <c r="D2215" s="130">
        <f>D2217+D2219</f>
        <v>195</v>
      </c>
      <c r="E2215" s="130">
        <f t="shared" si="472"/>
        <v>908</v>
      </c>
      <c r="F2215" s="130">
        <f t="shared" si="472"/>
        <v>0</v>
      </c>
      <c r="G2215" s="130">
        <f t="shared" si="472"/>
        <v>0</v>
      </c>
      <c r="H2215" s="130">
        <f t="shared" si="472"/>
        <v>0</v>
      </c>
      <c r="I2215" s="130">
        <f t="shared" si="472"/>
        <v>215.82999999999993</v>
      </c>
    </row>
    <row r="2216" spans="1:19" s="213" customFormat="1" ht="14.1">
      <c r="A2216" s="363" t="s">
        <v>865</v>
      </c>
      <c r="B2216" s="228" t="s">
        <v>29</v>
      </c>
      <c r="C2216" s="240">
        <f t="shared" si="448"/>
        <v>195</v>
      </c>
      <c r="D2216" s="240">
        <v>195</v>
      </c>
      <c r="E2216" s="240">
        <v>0</v>
      </c>
      <c r="F2216" s="240">
        <v>0</v>
      </c>
      <c r="G2216" s="240">
        <v>0</v>
      </c>
      <c r="H2216" s="240">
        <v>0</v>
      </c>
      <c r="I2216" s="240">
        <v>0</v>
      </c>
    </row>
    <row r="2217" spans="1:19" s="213" customFormat="1">
      <c r="A2217" s="340"/>
      <c r="B2217" s="219" t="s">
        <v>30</v>
      </c>
      <c r="C2217" s="240">
        <f t="shared" si="448"/>
        <v>195</v>
      </c>
      <c r="D2217" s="240">
        <v>195</v>
      </c>
      <c r="E2217" s="240">
        <v>0</v>
      </c>
      <c r="F2217" s="240">
        <v>0</v>
      </c>
      <c r="G2217" s="240">
        <v>0</v>
      </c>
      <c r="H2217" s="240">
        <v>0</v>
      </c>
      <c r="I2217" s="240">
        <v>0</v>
      </c>
    </row>
    <row r="2218" spans="1:19" s="409" customFormat="1" ht="24.95">
      <c r="A2218" s="487" t="s">
        <v>866</v>
      </c>
      <c r="B2218" s="228" t="s">
        <v>29</v>
      </c>
      <c r="C2218" s="240">
        <f t="shared" si="448"/>
        <v>1123.83</v>
      </c>
      <c r="D2218" s="240">
        <v>0</v>
      </c>
      <c r="E2218" s="240">
        <v>908</v>
      </c>
      <c r="F2218" s="240">
        <v>0</v>
      </c>
      <c r="G2218" s="240">
        <v>0</v>
      </c>
      <c r="H2218" s="240">
        <v>0</v>
      </c>
      <c r="I2218" s="240">
        <f>1123.83-908</f>
        <v>215.82999999999993</v>
      </c>
      <c r="J2218" s="603" t="s">
        <v>867</v>
      </c>
      <c r="K2218" s="604"/>
      <c r="L2218" s="604"/>
      <c r="M2218" s="604"/>
      <c r="N2218" s="604"/>
      <c r="O2218" s="604"/>
      <c r="P2218" s="604"/>
      <c r="Q2218" s="213"/>
      <c r="R2218" s="213"/>
      <c r="S2218" s="213"/>
    </row>
    <row r="2219" spans="1:19" s="213" customFormat="1">
      <c r="A2219" s="340"/>
      <c r="B2219" s="219" t="s">
        <v>30</v>
      </c>
      <c r="C2219" s="240">
        <f t="shared" si="448"/>
        <v>1123.83</v>
      </c>
      <c r="D2219" s="240">
        <v>0</v>
      </c>
      <c r="E2219" s="240">
        <v>908</v>
      </c>
      <c r="F2219" s="240">
        <v>0</v>
      </c>
      <c r="G2219" s="240">
        <v>0</v>
      </c>
      <c r="H2219" s="240">
        <v>0</v>
      </c>
      <c r="I2219" s="240">
        <f>1123.83-908</f>
        <v>215.82999999999993</v>
      </c>
      <c r="J2219" s="605"/>
      <c r="K2219" s="604"/>
      <c r="L2219" s="604"/>
      <c r="M2219" s="604"/>
      <c r="N2219" s="604"/>
      <c r="O2219" s="604"/>
      <c r="P2219" s="604"/>
    </row>
    <row r="2220" spans="1:19" s="126" customFormat="1">
      <c r="A2220" s="141" t="s">
        <v>868</v>
      </c>
      <c r="B2220" s="136" t="s">
        <v>29</v>
      </c>
      <c r="C2220" s="125">
        <f t="shared" si="448"/>
        <v>13447.02</v>
      </c>
      <c r="D2220" s="125">
        <f>D2222+D2224+D2226</f>
        <v>4094.17</v>
      </c>
      <c r="E2220" s="125">
        <f t="shared" ref="E2220:I2221" si="473">E2222+E2224+E2226</f>
        <v>6900</v>
      </c>
      <c r="F2220" s="125">
        <f t="shared" si="473"/>
        <v>0</v>
      </c>
      <c r="G2220" s="125">
        <f t="shared" si="473"/>
        <v>0</v>
      </c>
      <c r="H2220" s="125">
        <f t="shared" si="473"/>
        <v>0</v>
      </c>
      <c r="I2220" s="125">
        <f t="shared" si="473"/>
        <v>2452.8500000000004</v>
      </c>
    </row>
    <row r="2221" spans="1:19" s="126" customFormat="1">
      <c r="A2221" s="146"/>
      <c r="B2221" s="137" t="s">
        <v>30</v>
      </c>
      <c r="C2221" s="125">
        <f t="shared" si="448"/>
        <v>13447.02</v>
      </c>
      <c r="D2221" s="125">
        <f>D2223+D2225+D2227</f>
        <v>4094.17</v>
      </c>
      <c r="E2221" s="125">
        <f t="shared" si="473"/>
        <v>6900</v>
      </c>
      <c r="F2221" s="125">
        <f t="shared" si="473"/>
        <v>0</v>
      </c>
      <c r="G2221" s="125">
        <f t="shared" si="473"/>
        <v>0</v>
      </c>
      <c r="H2221" s="125">
        <f t="shared" si="473"/>
        <v>0</v>
      </c>
      <c r="I2221" s="125">
        <f t="shared" si="473"/>
        <v>2452.8500000000004</v>
      </c>
    </row>
    <row r="2222" spans="1:19" s="213" customFormat="1" ht="14.25" customHeight="1">
      <c r="A2222" s="452" t="s">
        <v>869</v>
      </c>
      <c r="B2222" s="228" t="s">
        <v>29</v>
      </c>
      <c r="C2222" s="240">
        <f t="shared" si="448"/>
        <v>8832.02</v>
      </c>
      <c r="D2222" s="240">
        <v>0</v>
      </c>
      <c r="E2222" s="240">
        <v>6900</v>
      </c>
      <c r="F2222" s="240">
        <v>0</v>
      </c>
      <c r="G2222" s="240">
        <v>0</v>
      </c>
      <c r="H2222" s="240">
        <v>0</v>
      </c>
      <c r="I2222" s="240">
        <f>8832.02-6900</f>
        <v>1932.0200000000004</v>
      </c>
      <c r="J2222" s="550" t="s">
        <v>870</v>
      </c>
      <c r="K2222" s="584"/>
      <c r="L2222" s="584"/>
      <c r="M2222" s="584"/>
      <c r="N2222" s="584"/>
      <c r="O2222" s="584"/>
      <c r="P2222" s="584"/>
    </row>
    <row r="2223" spans="1:19" s="213" customFormat="1">
      <c r="A2223" s="340"/>
      <c r="B2223" s="219" t="s">
        <v>30</v>
      </c>
      <c r="C2223" s="240">
        <f t="shared" si="448"/>
        <v>8832.02</v>
      </c>
      <c r="D2223" s="240">
        <v>0</v>
      </c>
      <c r="E2223" s="240">
        <v>6900</v>
      </c>
      <c r="F2223" s="240">
        <v>0</v>
      </c>
      <c r="G2223" s="240">
        <v>0</v>
      </c>
      <c r="H2223" s="240">
        <v>0</v>
      </c>
      <c r="I2223" s="240">
        <f>8832.02-6900</f>
        <v>1932.0200000000004</v>
      </c>
      <c r="J2223" s="550"/>
      <c r="K2223" s="584"/>
      <c r="L2223" s="584"/>
      <c r="M2223" s="584"/>
      <c r="N2223" s="584"/>
      <c r="O2223" s="584"/>
      <c r="P2223" s="584"/>
    </row>
    <row r="2224" spans="1:19" s="213" customFormat="1" ht="27" customHeight="1">
      <c r="A2224" s="488" t="s">
        <v>871</v>
      </c>
      <c r="B2224" s="228" t="s">
        <v>29</v>
      </c>
      <c r="C2224" s="240">
        <f t="shared" si="448"/>
        <v>4165</v>
      </c>
      <c r="D2224" s="240">
        <f>1849+1795.17</f>
        <v>3644.17</v>
      </c>
      <c r="E2224" s="240">
        <v>0</v>
      </c>
      <c r="F2224" s="240">
        <v>0</v>
      </c>
      <c r="G2224" s="240">
        <v>0</v>
      </c>
      <c r="H2224" s="240">
        <v>0</v>
      </c>
      <c r="I2224" s="240">
        <f>4165-1849-1800+4.83</f>
        <v>520.83000000000004</v>
      </c>
      <c r="J2224" s="606" t="s">
        <v>872</v>
      </c>
      <c r="K2224" s="607"/>
      <c r="L2224" s="607"/>
      <c r="M2224" s="607"/>
      <c r="N2224" s="607"/>
      <c r="O2224" s="607"/>
      <c r="P2224" s="607"/>
    </row>
    <row r="2225" spans="1:16" s="213" customFormat="1">
      <c r="A2225" s="340"/>
      <c r="B2225" s="219" t="s">
        <v>30</v>
      </c>
      <c r="C2225" s="240">
        <f t="shared" si="448"/>
        <v>4165</v>
      </c>
      <c r="D2225" s="240">
        <f>1849+1795.17</f>
        <v>3644.17</v>
      </c>
      <c r="E2225" s="240">
        <v>0</v>
      </c>
      <c r="F2225" s="240">
        <v>0</v>
      </c>
      <c r="G2225" s="240">
        <v>0</v>
      </c>
      <c r="H2225" s="240">
        <v>0</v>
      </c>
      <c r="I2225" s="240">
        <f>4165-1849-1800+4.83</f>
        <v>520.83000000000004</v>
      </c>
      <c r="J2225" s="606"/>
      <c r="K2225" s="607"/>
      <c r="L2225" s="607"/>
      <c r="M2225" s="607"/>
      <c r="N2225" s="607"/>
      <c r="O2225" s="607"/>
      <c r="P2225" s="607"/>
    </row>
    <row r="2226" spans="1:16" s="213" customFormat="1" ht="16.5" customHeight="1">
      <c r="A2226" s="363" t="s">
        <v>873</v>
      </c>
      <c r="B2226" s="228" t="s">
        <v>29</v>
      </c>
      <c r="C2226" s="240">
        <f t="shared" si="448"/>
        <v>450</v>
      </c>
      <c r="D2226" s="240">
        <v>450</v>
      </c>
      <c r="E2226" s="240">
        <v>0</v>
      </c>
      <c r="F2226" s="240">
        <v>0</v>
      </c>
      <c r="G2226" s="240">
        <v>0</v>
      </c>
      <c r="H2226" s="240">
        <v>0</v>
      </c>
      <c r="I2226" s="240">
        <v>0</v>
      </c>
      <c r="J2226" s="608"/>
      <c r="K2226" s="609"/>
      <c r="L2226" s="609"/>
      <c r="M2226" s="609"/>
      <c r="N2226" s="609"/>
      <c r="O2226" s="609"/>
      <c r="P2226" s="609"/>
    </row>
    <row r="2227" spans="1:16" s="213" customFormat="1">
      <c r="A2227" s="340"/>
      <c r="B2227" s="219" t="s">
        <v>30</v>
      </c>
      <c r="C2227" s="240">
        <f t="shared" si="448"/>
        <v>450</v>
      </c>
      <c r="D2227" s="240">
        <v>450</v>
      </c>
      <c r="E2227" s="240">
        <v>0</v>
      </c>
      <c r="F2227" s="240">
        <v>0</v>
      </c>
      <c r="G2227" s="240">
        <v>0</v>
      </c>
      <c r="H2227" s="240">
        <v>0</v>
      </c>
      <c r="I2227" s="240">
        <v>0</v>
      </c>
      <c r="J2227" s="608"/>
      <c r="K2227" s="609"/>
      <c r="L2227" s="609"/>
      <c r="M2227" s="609"/>
      <c r="N2227" s="609"/>
      <c r="O2227" s="609"/>
      <c r="P2227" s="609"/>
    </row>
    <row r="2228" spans="1:16" s="247" customFormat="1" ht="14.1">
      <c r="A2228" s="489" t="s">
        <v>874</v>
      </c>
      <c r="B2228" s="233" t="s">
        <v>29</v>
      </c>
      <c r="C2228" s="291">
        <f t="shared" si="448"/>
        <v>148.4</v>
      </c>
      <c r="D2228" s="291">
        <f>D2230</f>
        <v>148.4</v>
      </c>
      <c r="E2228" s="291">
        <f t="shared" ref="E2228:I2229" si="474">E2230</f>
        <v>0</v>
      </c>
      <c r="F2228" s="291">
        <f t="shared" si="474"/>
        <v>0</v>
      </c>
      <c r="G2228" s="291">
        <f t="shared" si="474"/>
        <v>0</v>
      </c>
      <c r="H2228" s="291">
        <f t="shared" si="474"/>
        <v>0</v>
      </c>
      <c r="I2228" s="291">
        <f t="shared" si="474"/>
        <v>0</v>
      </c>
    </row>
    <row r="2229" spans="1:16" s="247" customFormat="1">
      <c r="A2229" s="235"/>
      <c r="B2229" s="234" t="s">
        <v>30</v>
      </c>
      <c r="C2229" s="291">
        <f t="shared" si="448"/>
        <v>148.4</v>
      </c>
      <c r="D2229" s="291">
        <f>D2231</f>
        <v>148.4</v>
      </c>
      <c r="E2229" s="291">
        <f t="shared" si="474"/>
        <v>0</v>
      </c>
      <c r="F2229" s="291">
        <f t="shared" si="474"/>
        <v>0</v>
      </c>
      <c r="G2229" s="291">
        <f t="shared" si="474"/>
        <v>0</v>
      </c>
      <c r="H2229" s="291">
        <f t="shared" si="474"/>
        <v>0</v>
      </c>
      <c r="I2229" s="291">
        <f t="shared" si="474"/>
        <v>0</v>
      </c>
    </row>
    <row r="2230" spans="1:16" s="213" customFormat="1">
      <c r="A2230" s="339" t="s">
        <v>875</v>
      </c>
      <c r="B2230" s="228" t="s">
        <v>29</v>
      </c>
      <c r="C2230" s="240">
        <f t="shared" ref="C2230:C2231" si="475">D2230+E2230+F2230+G2230+H2230+I2230</f>
        <v>148.4</v>
      </c>
      <c r="D2230" s="240">
        <v>148.4</v>
      </c>
      <c r="E2230" s="240">
        <v>0</v>
      </c>
      <c r="F2230" s="240">
        <v>0</v>
      </c>
      <c r="G2230" s="240">
        <v>0</v>
      </c>
      <c r="H2230" s="240">
        <v>0</v>
      </c>
      <c r="I2230" s="240">
        <v>0</v>
      </c>
      <c r="J2230" s="585" t="s">
        <v>876</v>
      </c>
      <c r="K2230" s="586"/>
      <c r="L2230" s="586"/>
      <c r="M2230" s="586"/>
      <c r="N2230" s="586"/>
    </row>
    <row r="2231" spans="1:16" s="213" customFormat="1">
      <c r="A2231" s="340"/>
      <c r="B2231" s="219" t="s">
        <v>30</v>
      </c>
      <c r="C2231" s="240">
        <f t="shared" si="475"/>
        <v>148.4</v>
      </c>
      <c r="D2231" s="240">
        <v>148.4</v>
      </c>
      <c r="E2231" s="240">
        <v>0</v>
      </c>
      <c r="F2231" s="240">
        <v>0</v>
      </c>
      <c r="G2231" s="240">
        <v>0</v>
      </c>
      <c r="H2231" s="240">
        <v>0</v>
      </c>
      <c r="I2231" s="240">
        <v>0</v>
      </c>
      <c r="J2231" s="585"/>
      <c r="K2231" s="586"/>
      <c r="L2231" s="586"/>
      <c r="M2231" s="586"/>
      <c r="N2231" s="586"/>
    </row>
    <row r="2232" spans="1:16">
      <c r="A2232" s="587" t="s">
        <v>877</v>
      </c>
      <c r="B2232" s="588"/>
      <c r="C2232" s="589"/>
      <c r="D2232" s="589"/>
      <c r="E2232" s="589"/>
      <c r="F2232" s="589"/>
      <c r="G2232" s="589"/>
      <c r="H2232" s="589"/>
      <c r="I2232" s="590"/>
    </row>
    <row r="2233" spans="1:16">
      <c r="A2233" s="11" t="s">
        <v>54</v>
      </c>
      <c r="B2233" s="54" t="s">
        <v>29</v>
      </c>
      <c r="C2233" s="52">
        <f t="shared" ref="C2233:C2274" si="476">D2233+E2233+F2233+G2233+H2233+I2233</f>
        <v>2277.79</v>
      </c>
      <c r="D2233" s="64">
        <f t="shared" ref="D2233:I2240" si="477">D2235</f>
        <v>626.55999999999995</v>
      </c>
      <c r="E2233" s="64">
        <f t="shared" si="477"/>
        <v>1263</v>
      </c>
      <c r="F2233" s="64">
        <f t="shared" si="477"/>
        <v>0</v>
      </c>
      <c r="G2233" s="64">
        <f t="shared" si="477"/>
        <v>0</v>
      </c>
      <c r="H2233" s="64">
        <f t="shared" si="477"/>
        <v>0</v>
      </c>
      <c r="I2233" s="64">
        <f t="shared" si="477"/>
        <v>388.23</v>
      </c>
    </row>
    <row r="2234" spans="1:16">
      <c r="A2234" s="12" t="s">
        <v>87</v>
      </c>
      <c r="B2234" s="55" t="s">
        <v>30</v>
      </c>
      <c r="C2234" s="52">
        <f t="shared" si="476"/>
        <v>2277.79</v>
      </c>
      <c r="D2234" s="64">
        <f t="shared" si="477"/>
        <v>626.55999999999995</v>
      </c>
      <c r="E2234" s="64">
        <f t="shared" si="477"/>
        <v>1263</v>
      </c>
      <c r="F2234" s="64">
        <f t="shared" si="477"/>
        <v>0</v>
      </c>
      <c r="G2234" s="64">
        <f t="shared" si="477"/>
        <v>0</v>
      </c>
      <c r="H2234" s="64">
        <f t="shared" si="477"/>
        <v>0</v>
      </c>
      <c r="I2234" s="64">
        <f t="shared" si="477"/>
        <v>388.23</v>
      </c>
    </row>
    <row r="2235" spans="1:16">
      <c r="A2235" s="47" t="s">
        <v>47</v>
      </c>
      <c r="B2235" s="56" t="s">
        <v>29</v>
      </c>
      <c r="C2235" s="52">
        <f t="shared" si="476"/>
        <v>2277.79</v>
      </c>
      <c r="D2235" s="64">
        <f t="shared" si="477"/>
        <v>626.55999999999995</v>
      </c>
      <c r="E2235" s="64">
        <f t="shared" si="477"/>
        <v>1263</v>
      </c>
      <c r="F2235" s="64">
        <f t="shared" si="477"/>
        <v>0</v>
      </c>
      <c r="G2235" s="64">
        <f t="shared" si="477"/>
        <v>0</v>
      </c>
      <c r="H2235" s="64">
        <f t="shared" si="477"/>
        <v>0</v>
      </c>
      <c r="I2235" s="64">
        <f t="shared" si="477"/>
        <v>388.23</v>
      </c>
    </row>
    <row r="2236" spans="1:16">
      <c r="A2236" s="12" t="s">
        <v>48</v>
      </c>
      <c r="B2236" s="55" t="s">
        <v>30</v>
      </c>
      <c r="C2236" s="52">
        <f t="shared" si="476"/>
        <v>2277.79</v>
      </c>
      <c r="D2236" s="64">
        <f t="shared" si="477"/>
        <v>626.55999999999995</v>
      </c>
      <c r="E2236" s="64">
        <f t="shared" si="477"/>
        <v>1263</v>
      </c>
      <c r="F2236" s="64">
        <f t="shared" si="477"/>
        <v>0</v>
      </c>
      <c r="G2236" s="64">
        <f t="shared" si="477"/>
        <v>0</v>
      </c>
      <c r="H2236" s="64">
        <f t="shared" si="477"/>
        <v>0</v>
      </c>
      <c r="I2236" s="64">
        <f t="shared" si="477"/>
        <v>388.23</v>
      </c>
    </row>
    <row r="2237" spans="1:16" ht="12.95">
      <c r="A2237" s="19" t="s">
        <v>37</v>
      </c>
      <c r="B2237" s="3" t="s">
        <v>29</v>
      </c>
      <c r="C2237" s="52">
        <f t="shared" si="476"/>
        <v>2277.79</v>
      </c>
      <c r="D2237" s="64">
        <f t="shared" ref="D2237:I2238" si="478">D2239+D2269</f>
        <v>626.55999999999995</v>
      </c>
      <c r="E2237" s="64">
        <f t="shared" si="478"/>
        <v>1263</v>
      </c>
      <c r="F2237" s="64">
        <f t="shared" si="478"/>
        <v>0</v>
      </c>
      <c r="G2237" s="64">
        <f t="shared" si="478"/>
        <v>0</v>
      </c>
      <c r="H2237" s="64">
        <f t="shared" si="478"/>
        <v>0</v>
      </c>
      <c r="I2237" s="64">
        <f t="shared" si="478"/>
        <v>388.23</v>
      </c>
    </row>
    <row r="2238" spans="1:16" ht="12.95">
      <c r="A2238" s="16"/>
      <c r="B2238" s="4" t="s">
        <v>30</v>
      </c>
      <c r="C2238" s="52">
        <f t="shared" si="476"/>
        <v>2277.79</v>
      </c>
      <c r="D2238" s="64">
        <f t="shared" si="478"/>
        <v>626.55999999999995</v>
      </c>
      <c r="E2238" s="64">
        <f t="shared" si="478"/>
        <v>1263</v>
      </c>
      <c r="F2238" s="64">
        <f t="shared" si="478"/>
        <v>0</v>
      </c>
      <c r="G2238" s="64">
        <f t="shared" si="478"/>
        <v>0</v>
      </c>
      <c r="H2238" s="64">
        <f t="shared" si="478"/>
        <v>0</v>
      </c>
      <c r="I2238" s="64">
        <f t="shared" si="478"/>
        <v>388.23</v>
      </c>
    </row>
    <row r="2239" spans="1:16" ht="12.95">
      <c r="A2239" s="19" t="s">
        <v>38</v>
      </c>
      <c r="B2239" s="3" t="s">
        <v>29</v>
      </c>
      <c r="C2239" s="52">
        <f t="shared" si="476"/>
        <v>2125.79</v>
      </c>
      <c r="D2239" s="64">
        <f>D2241</f>
        <v>474.55999999999995</v>
      </c>
      <c r="E2239" s="64">
        <f t="shared" si="477"/>
        <v>1263</v>
      </c>
      <c r="F2239" s="64">
        <f t="shared" si="477"/>
        <v>0</v>
      </c>
      <c r="G2239" s="64">
        <f t="shared" si="477"/>
        <v>0</v>
      </c>
      <c r="H2239" s="64">
        <f t="shared" si="477"/>
        <v>0</v>
      </c>
      <c r="I2239" s="64">
        <f t="shared" si="477"/>
        <v>388.23</v>
      </c>
    </row>
    <row r="2240" spans="1:16" ht="12.95">
      <c r="A2240" s="16"/>
      <c r="B2240" s="4" t="s">
        <v>30</v>
      </c>
      <c r="C2240" s="52">
        <f t="shared" si="476"/>
        <v>2125.79</v>
      </c>
      <c r="D2240" s="64">
        <f>D2242</f>
        <v>474.55999999999995</v>
      </c>
      <c r="E2240" s="64">
        <f t="shared" si="477"/>
        <v>1263</v>
      </c>
      <c r="F2240" s="64">
        <f t="shared" si="477"/>
        <v>0</v>
      </c>
      <c r="G2240" s="64">
        <f t="shared" si="477"/>
        <v>0</v>
      </c>
      <c r="H2240" s="64">
        <f t="shared" si="477"/>
        <v>0</v>
      </c>
      <c r="I2240" s="64">
        <f t="shared" si="477"/>
        <v>388.23</v>
      </c>
    </row>
    <row r="2241" spans="1:9" s="204" customFormat="1" ht="16.5" customHeight="1">
      <c r="A2241" s="19" t="s">
        <v>812</v>
      </c>
      <c r="B2241" s="56" t="s">
        <v>29</v>
      </c>
      <c r="C2241" s="78">
        <f t="shared" si="476"/>
        <v>2125.79</v>
      </c>
      <c r="D2241" s="78">
        <f t="shared" ref="D2241:I2242" si="479">D2243+D2265</f>
        <v>474.55999999999995</v>
      </c>
      <c r="E2241" s="78">
        <f t="shared" si="479"/>
        <v>1263</v>
      </c>
      <c r="F2241" s="78">
        <f t="shared" si="479"/>
        <v>0</v>
      </c>
      <c r="G2241" s="78">
        <f t="shared" si="479"/>
        <v>0</v>
      </c>
      <c r="H2241" s="78">
        <f t="shared" si="479"/>
        <v>0</v>
      </c>
      <c r="I2241" s="78">
        <f t="shared" si="479"/>
        <v>388.23</v>
      </c>
    </row>
    <row r="2242" spans="1:9" s="204" customFormat="1" ht="12.95">
      <c r="A2242" s="16"/>
      <c r="B2242" s="55" t="s">
        <v>30</v>
      </c>
      <c r="C2242" s="78">
        <f t="shared" si="476"/>
        <v>2125.79</v>
      </c>
      <c r="D2242" s="78">
        <f t="shared" si="479"/>
        <v>474.55999999999995</v>
      </c>
      <c r="E2242" s="78">
        <f t="shared" si="479"/>
        <v>1263</v>
      </c>
      <c r="F2242" s="78">
        <f t="shared" si="479"/>
        <v>0</v>
      </c>
      <c r="G2242" s="78">
        <f t="shared" si="479"/>
        <v>0</v>
      </c>
      <c r="H2242" s="78">
        <f t="shared" si="479"/>
        <v>0</v>
      </c>
      <c r="I2242" s="78">
        <f t="shared" si="479"/>
        <v>388.23</v>
      </c>
    </row>
    <row r="2243" spans="1:9" s="204" customFormat="1" ht="16.5" customHeight="1">
      <c r="A2243" s="75" t="s">
        <v>479</v>
      </c>
      <c r="B2243" s="189" t="s">
        <v>29</v>
      </c>
      <c r="C2243" s="78">
        <f t="shared" si="476"/>
        <v>1736.79</v>
      </c>
      <c r="D2243" s="78">
        <f>D2245+D2247+D2249+D2251+D2253+D2255+D2257+D2259+D2261+D2263</f>
        <v>473.78999999999996</v>
      </c>
      <c r="E2243" s="78">
        <f t="shared" ref="E2243:I2244" si="480">E2245+E2247+E2249+E2251+E2253+E2255+E2257+E2259+E2261+E2263</f>
        <v>1263</v>
      </c>
      <c r="F2243" s="78">
        <f t="shared" si="480"/>
        <v>0</v>
      </c>
      <c r="G2243" s="78">
        <f t="shared" si="480"/>
        <v>0</v>
      </c>
      <c r="H2243" s="78">
        <f t="shared" si="480"/>
        <v>0</v>
      </c>
      <c r="I2243" s="78">
        <f t="shared" si="480"/>
        <v>0</v>
      </c>
    </row>
    <row r="2244" spans="1:9" s="204" customFormat="1">
      <c r="A2244" s="44"/>
      <c r="B2244" s="191" t="s">
        <v>30</v>
      </c>
      <c r="C2244" s="78">
        <f t="shared" si="476"/>
        <v>1736.79</v>
      </c>
      <c r="D2244" s="78">
        <f>D2246+D2248+D2250+D2252+D2254+D2256+D2258+D2260+D2262+D2264</f>
        <v>473.78999999999996</v>
      </c>
      <c r="E2244" s="78">
        <f t="shared" si="480"/>
        <v>1263</v>
      </c>
      <c r="F2244" s="78">
        <f t="shared" si="480"/>
        <v>0</v>
      </c>
      <c r="G2244" s="78">
        <f t="shared" si="480"/>
        <v>0</v>
      </c>
      <c r="H2244" s="78">
        <f t="shared" si="480"/>
        <v>0</v>
      </c>
      <c r="I2244" s="78">
        <f t="shared" si="480"/>
        <v>0</v>
      </c>
    </row>
    <row r="2245" spans="1:9" s="126" customFormat="1" ht="16.5" customHeight="1">
      <c r="A2245" s="174" t="s">
        <v>878</v>
      </c>
      <c r="B2245" s="228" t="s">
        <v>29</v>
      </c>
      <c r="C2245" s="78">
        <f t="shared" si="476"/>
        <v>24</v>
      </c>
      <c r="D2245" s="78">
        <v>24</v>
      </c>
      <c r="E2245" s="64">
        <v>0</v>
      </c>
      <c r="F2245" s="78">
        <v>0</v>
      </c>
      <c r="G2245" s="78">
        <v>0</v>
      </c>
      <c r="H2245" s="78">
        <v>0</v>
      </c>
      <c r="I2245" s="78">
        <v>0</v>
      </c>
    </row>
    <row r="2246" spans="1:9" s="126" customFormat="1">
      <c r="A2246" s="235"/>
      <c r="B2246" s="219" t="s">
        <v>30</v>
      </c>
      <c r="C2246" s="78">
        <f t="shared" si="476"/>
        <v>24</v>
      </c>
      <c r="D2246" s="78">
        <v>24</v>
      </c>
      <c r="E2246" s="64">
        <v>0</v>
      </c>
      <c r="F2246" s="78">
        <v>0</v>
      </c>
      <c r="G2246" s="78">
        <v>0</v>
      </c>
      <c r="H2246" s="78">
        <v>0</v>
      </c>
      <c r="I2246" s="78">
        <v>0</v>
      </c>
    </row>
    <row r="2247" spans="1:9" s="126" customFormat="1" ht="25.5" customHeight="1">
      <c r="A2247" s="236" t="s">
        <v>879</v>
      </c>
      <c r="B2247" s="63" t="s">
        <v>29</v>
      </c>
      <c r="C2247" s="78">
        <f t="shared" si="476"/>
        <v>17</v>
      </c>
      <c r="D2247" s="78">
        <v>17</v>
      </c>
      <c r="E2247" s="64">
        <v>0</v>
      </c>
      <c r="F2247" s="78">
        <v>0</v>
      </c>
      <c r="G2247" s="78">
        <v>0</v>
      </c>
      <c r="H2247" s="78">
        <v>0</v>
      </c>
      <c r="I2247" s="78">
        <v>0</v>
      </c>
    </row>
    <row r="2248" spans="1:9" s="126" customFormat="1">
      <c r="A2248" s="12"/>
      <c r="B2248" s="62" t="s">
        <v>30</v>
      </c>
      <c r="C2248" s="78">
        <f t="shared" si="476"/>
        <v>17</v>
      </c>
      <c r="D2248" s="78">
        <v>17</v>
      </c>
      <c r="E2248" s="64">
        <v>0</v>
      </c>
      <c r="F2248" s="78">
        <v>0</v>
      </c>
      <c r="G2248" s="78">
        <v>0</v>
      </c>
      <c r="H2248" s="78">
        <v>0</v>
      </c>
      <c r="I2248" s="78">
        <v>0</v>
      </c>
    </row>
    <row r="2249" spans="1:9" s="126" customFormat="1" ht="26.25" customHeight="1">
      <c r="A2249" s="236" t="s">
        <v>880</v>
      </c>
      <c r="B2249" s="63" t="s">
        <v>29</v>
      </c>
      <c r="C2249" s="78">
        <f t="shared" si="476"/>
        <v>5</v>
      </c>
      <c r="D2249" s="78">
        <v>5</v>
      </c>
      <c r="E2249" s="64">
        <v>0</v>
      </c>
      <c r="F2249" s="78">
        <v>0</v>
      </c>
      <c r="G2249" s="78">
        <v>0</v>
      </c>
      <c r="H2249" s="78">
        <v>0</v>
      </c>
      <c r="I2249" s="78">
        <v>0</v>
      </c>
    </row>
    <row r="2250" spans="1:9" s="126" customFormat="1">
      <c r="A2250" s="12"/>
      <c r="B2250" s="62" t="s">
        <v>30</v>
      </c>
      <c r="C2250" s="78">
        <f t="shared" si="476"/>
        <v>5</v>
      </c>
      <c r="D2250" s="78">
        <v>5</v>
      </c>
      <c r="E2250" s="64">
        <v>0</v>
      </c>
      <c r="F2250" s="78">
        <v>0</v>
      </c>
      <c r="G2250" s="78">
        <v>0</v>
      </c>
      <c r="H2250" s="78">
        <v>0</v>
      </c>
      <c r="I2250" s="78">
        <v>0</v>
      </c>
    </row>
    <row r="2251" spans="1:9" s="247" customFormat="1" ht="25.5" customHeight="1">
      <c r="A2251" s="263" t="s">
        <v>881</v>
      </c>
      <c r="B2251" s="237" t="s">
        <v>29</v>
      </c>
      <c r="C2251" s="240">
        <f t="shared" si="476"/>
        <v>4</v>
      </c>
      <c r="D2251" s="240">
        <v>4</v>
      </c>
      <c r="E2251" s="240">
        <v>0</v>
      </c>
      <c r="F2251" s="240">
        <v>0</v>
      </c>
      <c r="G2251" s="240">
        <v>0</v>
      </c>
      <c r="H2251" s="240">
        <v>0</v>
      </c>
      <c r="I2251" s="240">
        <v>0</v>
      </c>
    </row>
    <row r="2252" spans="1:9" s="126" customFormat="1">
      <c r="A2252" s="12"/>
      <c r="B2252" s="62" t="s">
        <v>30</v>
      </c>
      <c r="C2252" s="78">
        <f t="shared" si="476"/>
        <v>4</v>
      </c>
      <c r="D2252" s="78">
        <v>4</v>
      </c>
      <c r="E2252" s="64">
        <v>0</v>
      </c>
      <c r="F2252" s="78">
        <v>0</v>
      </c>
      <c r="G2252" s="78">
        <v>0</v>
      </c>
      <c r="H2252" s="78">
        <v>0</v>
      </c>
      <c r="I2252" s="78">
        <v>0</v>
      </c>
    </row>
    <row r="2253" spans="1:9" s="247" customFormat="1" ht="27.75" customHeight="1">
      <c r="A2253" s="478" t="s">
        <v>882</v>
      </c>
      <c r="B2253" s="237" t="s">
        <v>29</v>
      </c>
      <c r="C2253" s="240">
        <f t="shared" si="476"/>
        <v>7.72</v>
      </c>
      <c r="D2253" s="240">
        <v>7.72</v>
      </c>
      <c r="E2253" s="240">
        <v>0</v>
      </c>
      <c r="F2253" s="240">
        <v>0</v>
      </c>
      <c r="G2253" s="240">
        <v>0</v>
      </c>
      <c r="H2253" s="240">
        <v>0</v>
      </c>
      <c r="I2253" s="240">
        <v>0</v>
      </c>
    </row>
    <row r="2254" spans="1:9" s="247" customFormat="1">
      <c r="A2254" s="215"/>
      <c r="B2254" s="226" t="s">
        <v>30</v>
      </c>
      <c r="C2254" s="240">
        <f t="shared" si="476"/>
        <v>7.72</v>
      </c>
      <c r="D2254" s="240">
        <v>7.72</v>
      </c>
      <c r="E2254" s="240">
        <v>0</v>
      </c>
      <c r="F2254" s="240">
        <v>0</v>
      </c>
      <c r="G2254" s="240">
        <v>0</v>
      </c>
      <c r="H2254" s="240">
        <v>0</v>
      </c>
      <c r="I2254" s="240">
        <v>0</v>
      </c>
    </row>
    <row r="2255" spans="1:9" s="247" customFormat="1" ht="29.25" customHeight="1">
      <c r="A2255" s="478" t="s">
        <v>883</v>
      </c>
      <c r="B2255" s="237" t="s">
        <v>29</v>
      </c>
      <c r="C2255" s="240">
        <f t="shared" si="476"/>
        <v>1500.15</v>
      </c>
      <c r="D2255" s="240">
        <v>260.14999999999998</v>
      </c>
      <c r="E2255" s="240">
        <v>1240</v>
      </c>
      <c r="F2255" s="240">
        <v>0</v>
      </c>
      <c r="G2255" s="240">
        <v>0</v>
      </c>
      <c r="H2255" s="240">
        <v>0</v>
      </c>
      <c r="I2255" s="240">
        <v>0</v>
      </c>
    </row>
    <row r="2256" spans="1:9" s="247" customFormat="1">
      <c r="A2256" s="215"/>
      <c r="B2256" s="226" t="s">
        <v>30</v>
      </c>
      <c r="C2256" s="240">
        <f t="shared" si="476"/>
        <v>1500.15</v>
      </c>
      <c r="D2256" s="240">
        <v>260.14999999999998</v>
      </c>
      <c r="E2256" s="240">
        <v>1240</v>
      </c>
      <c r="F2256" s="240">
        <v>0</v>
      </c>
      <c r="G2256" s="240">
        <v>0</v>
      </c>
      <c r="H2256" s="240">
        <v>0</v>
      </c>
      <c r="I2256" s="240">
        <v>0</v>
      </c>
    </row>
    <row r="2257" spans="1:14" s="247" customFormat="1" ht="15.75" customHeight="1">
      <c r="A2257" s="408" t="s">
        <v>884</v>
      </c>
      <c r="B2257" s="237" t="s">
        <v>29</v>
      </c>
      <c r="C2257" s="240">
        <f t="shared" si="476"/>
        <v>69.760000000000005</v>
      </c>
      <c r="D2257" s="240">
        <v>69.760000000000005</v>
      </c>
      <c r="E2257" s="240">
        <v>0</v>
      </c>
      <c r="F2257" s="240">
        <v>0</v>
      </c>
      <c r="G2257" s="240">
        <v>0</v>
      </c>
      <c r="H2257" s="240">
        <v>0</v>
      </c>
      <c r="I2257" s="240">
        <v>0</v>
      </c>
    </row>
    <row r="2258" spans="1:14" s="247" customFormat="1">
      <c r="A2258" s="215"/>
      <c r="B2258" s="226" t="s">
        <v>30</v>
      </c>
      <c r="C2258" s="240">
        <f t="shared" si="476"/>
        <v>69.760000000000005</v>
      </c>
      <c r="D2258" s="240">
        <v>69.760000000000005</v>
      </c>
      <c r="E2258" s="240">
        <v>0</v>
      </c>
      <c r="F2258" s="240">
        <v>0</v>
      </c>
      <c r="G2258" s="240">
        <v>0</v>
      </c>
      <c r="H2258" s="240">
        <v>0</v>
      </c>
      <c r="I2258" s="240">
        <v>0</v>
      </c>
    </row>
    <row r="2259" spans="1:14" s="247" customFormat="1" ht="28.5" customHeight="1">
      <c r="A2259" s="325" t="s">
        <v>885</v>
      </c>
      <c r="B2259" s="237" t="s">
        <v>29</v>
      </c>
      <c r="C2259" s="240">
        <f t="shared" si="476"/>
        <v>51.52</v>
      </c>
      <c r="D2259" s="240">
        <v>51.52</v>
      </c>
      <c r="E2259" s="240">
        <v>0</v>
      </c>
      <c r="F2259" s="240">
        <v>0</v>
      </c>
      <c r="G2259" s="240">
        <v>0</v>
      </c>
      <c r="H2259" s="240">
        <v>0</v>
      </c>
      <c r="I2259" s="240">
        <v>0</v>
      </c>
    </row>
    <row r="2260" spans="1:14" s="126" customFormat="1">
      <c r="A2260" s="12"/>
      <c r="B2260" s="62" t="s">
        <v>30</v>
      </c>
      <c r="C2260" s="78">
        <f t="shared" si="476"/>
        <v>51.52</v>
      </c>
      <c r="D2260" s="78">
        <v>51.52</v>
      </c>
      <c r="E2260" s="64">
        <v>0</v>
      </c>
      <c r="F2260" s="78">
        <v>0</v>
      </c>
      <c r="G2260" s="78">
        <v>0</v>
      </c>
      <c r="H2260" s="78">
        <v>0</v>
      </c>
      <c r="I2260" s="78">
        <v>0</v>
      </c>
    </row>
    <row r="2261" spans="1:14" s="247" customFormat="1" ht="15.75" customHeight="1">
      <c r="A2261" s="267" t="s">
        <v>886</v>
      </c>
      <c r="B2261" s="237" t="s">
        <v>29</v>
      </c>
      <c r="C2261" s="240">
        <f t="shared" si="476"/>
        <v>34.64</v>
      </c>
      <c r="D2261" s="240">
        <v>34.64</v>
      </c>
      <c r="E2261" s="240">
        <v>0</v>
      </c>
      <c r="F2261" s="240">
        <v>0</v>
      </c>
      <c r="G2261" s="240">
        <v>0</v>
      </c>
      <c r="H2261" s="240">
        <v>0</v>
      </c>
      <c r="I2261" s="240">
        <v>0</v>
      </c>
    </row>
    <row r="2262" spans="1:14" s="247" customFormat="1">
      <c r="A2262" s="215"/>
      <c r="B2262" s="226" t="s">
        <v>30</v>
      </c>
      <c r="C2262" s="240">
        <f t="shared" si="476"/>
        <v>34.64</v>
      </c>
      <c r="D2262" s="240">
        <v>34.64</v>
      </c>
      <c r="E2262" s="240">
        <v>0</v>
      </c>
      <c r="F2262" s="240">
        <v>0</v>
      </c>
      <c r="G2262" s="240">
        <v>0</v>
      </c>
      <c r="H2262" s="240">
        <v>0</v>
      </c>
      <c r="I2262" s="240">
        <v>0</v>
      </c>
    </row>
    <row r="2263" spans="1:14" s="247" customFormat="1" ht="14.25" customHeight="1">
      <c r="A2263" s="478" t="s">
        <v>887</v>
      </c>
      <c r="B2263" s="237" t="s">
        <v>29</v>
      </c>
      <c r="C2263" s="240">
        <f t="shared" si="476"/>
        <v>23</v>
      </c>
      <c r="D2263" s="240">
        <v>0</v>
      </c>
      <c r="E2263" s="240">
        <v>23</v>
      </c>
      <c r="F2263" s="240">
        <v>0</v>
      </c>
      <c r="G2263" s="240">
        <v>0</v>
      </c>
      <c r="H2263" s="240">
        <v>0</v>
      </c>
      <c r="I2263" s="240">
        <v>0</v>
      </c>
    </row>
    <row r="2264" spans="1:14" s="126" customFormat="1">
      <c r="A2264" s="12"/>
      <c r="B2264" s="62" t="s">
        <v>30</v>
      </c>
      <c r="C2264" s="78">
        <f t="shared" si="476"/>
        <v>23</v>
      </c>
      <c r="D2264" s="78">
        <v>0</v>
      </c>
      <c r="E2264" s="64">
        <v>23</v>
      </c>
      <c r="F2264" s="78">
        <v>0</v>
      </c>
      <c r="G2264" s="78">
        <v>0</v>
      </c>
      <c r="H2264" s="78">
        <v>0</v>
      </c>
      <c r="I2264" s="78">
        <v>0</v>
      </c>
    </row>
    <row r="2265" spans="1:14" s="204" customFormat="1" ht="14.25" customHeight="1">
      <c r="A2265" s="389" t="s">
        <v>888</v>
      </c>
      <c r="B2265" s="189" t="s">
        <v>29</v>
      </c>
      <c r="C2265" s="78">
        <f t="shared" si="476"/>
        <v>389</v>
      </c>
      <c r="D2265" s="78">
        <f>D2267</f>
        <v>0.77</v>
      </c>
      <c r="E2265" s="78">
        <f t="shared" ref="E2265:I2266" si="481">E2267</f>
        <v>0</v>
      </c>
      <c r="F2265" s="78">
        <f t="shared" si="481"/>
        <v>0</v>
      </c>
      <c r="G2265" s="78">
        <f t="shared" si="481"/>
        <v>0</v>
      </c>
      <c r="H2265" s="78">
        <f t="shared" si="481"/>
        <v>0</v>
      </c>
      <c r="I2265" s="78">
        <f t="shared" si="481"/>
        <v>388.23</v>
      </c>
    </row>
    <row r="2266" spans="1:14" s="204" customFormat="1">
      <c r="A2266" s="44"/>
      <c r="B2266" s="191" t="s">
        <v>30</v>
      </c>
      <c r="C2266" s="78">
        <f t="shared" si="476"/>
        <v>389</v>
      </c>
      <c r="D2266" s="78">
        <f>D2268</f>
        <v>0.77</v>
      </c>
      <c r="E2266" s="78">
        <f t="shared" si="481"/>
        <v>0</v>
      </c>
      <c r="F2266" s="78">
        <f t="shared" si="481"/>
        <v>0</v>
      </c>
      <c r="G2266" s="78">
        <f t="shared" si="481"/>
        <v>0</v>
      </c>
      <c r="H2266" s="78">
        <f t="shared" si="481"/>
        <v>0</v>
      </c>
      <c r="I2266" s="78">
        <f t="shared" si="481"/>
        <v>388.23</v>
      </c>
    </row>
    <row r="2267" spans="1:14" s="247" customFormat="1" ht="13.5" customHeight="1">
      <c r="A2267" s="323" t="s">
        <v>889</v>
      </c>
      <c r="B2267" s="228" t="s">
        <v>29</v>
      </c>
      <c r="C2267" s="240">
        <f t="shared" si="476"/>
        <v>389</v>
      </c>
      <c r="D2267" s="240">
        <v>0.77</v>
      </c>
      <c r="E2267" s="240">
        <v>0</v>
      </c>
      <c r="F2267" s="240">
        <v>0</v>
      </c>
      <c r="G2267" s="240">
        <v>0</v>
      </c>
      <c r="H2267" s="240">
        <v>0</v>
      </c>
      <c r="I2267" s="240">
        <v>388.23</v>
      </c>
    </row>
    <row r="2268" spans="1:14" s="247" customFormat="1">
      <c r="A2268" s="235"/>
      <c r="B2268" s="219" t="s">
        <v>30</v>
      </c>
      <c r="C2268" s="240">
        <f t="shared" si="476"/>
        <v>389</v>
      </c>
      <c r="D2268" s="240">
        <v>0.77</v>
      </c>
      <c r="E2268" s="240">
        <v>0</v>
      </c>
      <c r="F2268" s="240">
        <v>0</v>
      </c>
      <c r="G2268" s="240">
        <v>0</v>
      </c>
      <c r="H2268" s="240">
        <v>0</v>
      </c>
      <c r="I2268" s="240">
        <v>388.23</v>
      </c>
    </row>
    <row r="2269" spans="1:14" s="247" customFormat="1">
      <c r="A2269" s="378" t="s">
        <v>52</v>
      </c>
      <c r="B2269" s="365" t="s">
        <v>29</v>
      </c>
      <c r="C2269" s="291">
        <f t="shared" si="476"/>
        <v>152</v>
      </c>
      <c r="D2269" s="291">
        <f>D2271</f>
        <v>152</v>
      </c>
      <c r="E2269" s="291">
        <f t="shared" ref="E2269:I2272" si="482">E2271</f>
        <v>0</v>
      </c>
      <c r="F2269" s="291">
        <f t="shared" si="482"/>
        <v>0</v>
      </c>
      <c r="G2269" s="291">
        <f t="shared" si="482"/>
        <v>0</v>
      </c>
      <c r="H2269" s="291">
        <f t="shared" si="482"/>
        <v>0</v>
      </c>
      <c r="I2269" s="291">
        <f t="shared" si="482"/>
        <v>0</v>
      </c>
      <c r="J2269" s="376"/>
      <c r="K2269" s="376"/>
      <c r="L2269" s="376"/>
      <c r="M2269" s="376"/>
      <c r="N2269" s="376"/>
    </row>
    <row r="2270" spans="1:14" s="247" customFormat="1">
      <c r="A2270" s="313"/>
      <c r="B2270" s="289" t="s">
        <v>30</v>
      </c>
      <c r="C2270" s="291">
        <f t="shared" si="476"/>
        <v>152</v>
      </c>
      <c r="D2270" s="291">
        <f>D2272</f>
        <v>152</v>
      </c>
      <c r="E2270" s="291">
        <f t="shared" si="482"/>
        <v>0</v>
      </c>
      <c r="F2270" s="291">
        <f t="shared" si="482"/>
        <v>0</v>
      </c>
      <c r="G2270" s="291">
        <f t="shared" si="482"/>
        <v>0</v>
      </c>
      <c r="H2270" s="291">
        <f t="shared" si="482"/>
        <v>0</v>
      </c>
      <c r="I2270" s="291">
        <f t="shared" si="482"/>
        <v>0</v>
      </c>
    </row>
    <row r="2271" spans="1:14" s="247" customFormat="1" ht="17.25" customHeight="1">
      <c r="A2271" s="359" t="s">
        <v>890</v>
      </c>
      <c r="B2271" s="237" t="s">
        <v>29</v>
      </c>
      <c r="C2271" s="240">
        <f t="shared" si="476"/>
        <v>152</v>
      </c>
      <c r="D2271" s="240">
        <f>D2273</f>
        <v>152</v>
      </c>
      <c r="E2271" s="240">
        <f t="shared" si="482"/>
        <v>0</v>
      </c>
      <c r="F2271" s="240">
        <f t="shared" si="482"/>
        <v>0</v>
      </c>
      <c r="G2271" s="240">
        <f t="shared" si="482"/>
        <v>0</v>
      </c>
      <c r="H2271" s="240">
        <f t="shared" si="482"/>
        <v>0</v>
      </c>
      <c r="I2271" s="240">
        <f t="shared" si="482"/>
        <v>0</v>
      </c>
    </row>
    <row r="2272" spans="1:14" s="247" customFormat="1">
      <c r="A2272" s="215"/>
      <c r="B2272" s="226" t="s">
        <v>30</v>
      </c>
      <c r="C2272" s="240">
        <f t="shared" si="476"/>
        <v>152</v>
      </c>
      <c r="D2272" s="240">
        <f>D2274</f>
        <v>152</v>
      </c>
      <c r="E2272" s="240">
        <f t="shared" si="482"/>
        <v>0</v>
      </c>
      <c r="F2272" s="240">
        <f t="shared" si="482"/>
        <v>0</v>
      </c>
      <c r="G2272" s="240">
        <f t="shared" si="482"/>
        <v>0</v>
      </c>
      <c r="H2272" s="240">
        <f t="shared" si="482"/>
        <v>0</v>
      </c>
      <c r="I2272" s="240">
        <f t="shared" si="482"/>
        <v>0</v>
      </c>
    </row>
    <row r="2273" spans="1:16" s="404" customFormat="1" ht="28.5" customHeight="1">
      <c r="A2273" s="490" t="s">
        <v>891</v>
      </c>
      <c r="B2273" s="237" t="s">
        <v>29</v>
      </c>
      <c r="C2273" s="240">
        <f t="shared" si="476"/>
        <v>152</v>
      </c>
      <c r="D2273" s="240">
        <v>152</v>
      </c>
      <c r="E2273" s="240">
        <v>0</v>
      </c>
      <c r="F2273" s="240">
        <v>0</v>
      </c>
      <c r="G2273" s="240">
        <v>0</v>
      </c>
      <c r="H2273" s="240">
        <v>0</v>
      </c>
      <c r="I2273" s="240">
        <v>0</v>
      </c>
      <c r="J2273" s="585" t="s">
        <v>892</v>
      </c>
      <c r="K2273" s="591"/>
      <c r="L2273" s="591"/>
      <c r="M2273" s="591"/>
      <c r="N2273" s="591"/>
      <c r="O2273" s="591"/>
      <c r="P2273" s="591"/>
    </row>
    <row r="2274" spans="1:16" s="126" customFormat="1">
      <c r="A2274" s="12"/>
      <c r="B2274" s="62" t="s">
        <v>30</v>
      </c>
      <c r="C2274" s="78">
        <f t="shared" si="476"/>
        <v>152</v>
      </c>
      <c r="D2274" s="78">
        <v>152</v>
      </c>
      <c r="E2274" s="64">
        <v>0</v>
      </c>
      <c r="F2274" s="78">
        <v>0</v>
      </c>
      <c r="G2274" s="78">
        <v>0</v>
      </c>
      <c r="H2274" s="78">
        <v>0</v>
      </c>
      <c r="I2274" s="78">
        <v>0</v>
      </c>
      <c r="J2274" s="592"/>
      <c r="K2274" s="591"/>
      <c r="L2274" s="591"/>
      <c r="M2274" s="591"/>
      <c r="N2274" s="591"/>
      <c r="O2274" s="591"/>
      <c r="P2274" s="591"/>
    </row>
    <row r="2275" spans="1:16">
      <c r="A2275" s="593" t="s">
        <v>716</v>
      </c>
      <c r="B2275" s="589"/>
      <c r="C2275" s="589"/>
      <c r="D2275" s="589"/>
      <c r="E2275" s="589"/>
      <c r="F2275" s="589"/>
      <c r="G2275" s="589"/>
      <c r="H2275" s="589"/>
      <c r="I2275" s="590"/>
    </row>
    <row r="2276" spans="1:16">
      <c r="A2276" s="58" t="s">
        <v>54</v>
      </c>
      <c r="B2276" s="138" t="s">
        <v>29</v>
      </c>
      <c r="C2276" s="130">
        <f t="shared" ref="C2276:C2379" si="483">D2276+E2276+F2276+G2276+H2276+I2276</f>
        <v>11627.42</v>
      </c>
      <c r="D2276" s="130">
        <f t="shared" ref="D2276:I2277" si="484">D2278+D2370</f>
        <v>3461.42</v>
      </c>
      <c r="E2276" s="130">
        <f t="shared" si="484"/>
        <v>2709</v>
      </c>
      <c r="F2276" s="130">
        <f t="shared" si="484"/>
        <v>2565</v>
      </c>
      <c r="G2276" s="130">
        <f t="shared" si="484"/>
        <v>2300</v>
      </c>
      <c r="H2276" s="130">
        <f t="shared" si="484"/>
        <v>0</v>
      </c>
      <c r="I2276" s="130">
        <f t="shared" si="484"/>
        <v>592</v>
      </c>
    </row>
    <row r="2277" spans="1:16">
      <c r="A2277" s="12" t="s">
        <v>87</v>
      </c>
      <c r="B2277" s="139" t="s">
        <v>30</v>
      </c>
      <c r="C2277" s="130">
        <f t="shared" si="483"/>
        <v>11627.42</v>
      </c>
      <c r="D2277" s="130">
        <f t="shared" si="484"/>
        <v>3461.42</v>
      </c>
      <c r="E2277" s="130">
        <f t="shared" si="484"/>
        <v>2709</v>
      </c>
      <c r="F2277" s="130">
        <f t="shared" si="484"/>
        <v>2565</v>
      </c>
      <c r="G2277" s="130">
        <f t="shared" si="484"/>
        <v>2300</v>
      </c>
      <c r="H2277" s="130">
        <f t="shared" si="484"/>
        <v>0</v>
      </c>
      <c r="I2277" s="130">
        <f t="shared" si="484"/>
        <v>592</v>
      </c>
    </row>
    <row r="2278" spans="1:16">
      <c r="A2278" s="14" t="s">
        <v>31</v>
      </c>
      <c r="B2278" s="54" t="s">
        <v>29</v>
      </c>
      <c r="C2278" s="52">
        <f t="shared" si="483"/>
        <v>2221.42</v>
      </c>
      <c r="D2278" s="64">
        <f t="shared" ref="D2278:I2279" si="485">D2280</f>
        <v>1251.42</v>
      </c>
      <c r="E2278" s="64">
        <f t="shared" si="485"/>
        <v>970</v>
      </c>
      <c r="F2278" s="64">
        <f t="shared" si="485"/>
        <v>0</v>
      </c>
      <c r="G2278" s="64">
        <f t="shared" si="485"/>
        <v>0</v>
      </c>
      <c r="H2278" s="64">
        <f t="shared" si="485"/>
        <v>0</v>
      </c>
      <c r="I2278" s="64">
        <f t="shared" si="485"/>
        <v>0</v>
      </c>
    </row>
    <row r="2279" spans="1:16">
      <c r="A2279" s="12" t="s">
        <v>32</v>
      </c>
      <c r="B2279" s="55" t="s">
        <v>30</v>
      </c>
      <c r="C2279" s="52">
        <f t="shared" si="483"/>
        <v>2221.42</v>
      </c>
      <c r="D2279" s="64">
        <f t="shared" si="485"/>
        <v>1251.42</v>
      </c>
      <c r="E2279" s="64">
        <f t="shared" si="485"/>
        <v>970</v>
      </c>
      <c r="F2279" s="64">
        <f t="shared" si="485"/>
        <v>0</v>
      </c>
      <c r="G2279" s="64">
        <f t="shared" si="485"/>
        <v>0</v>
      </c>
      <c r="H2279" s="64">
        <f t="shared" si="485"/>
        <v>0</v>
      </c>
      <c r="I2279" s="64">
        <f t="shared" si="485"/>
        <v>0</v>
      </c>
    </row>
    <row r="2280" spans="1:16" ht="12.95">
      <c r="A2280" s="19" t="s">
        <v>37</v>
      </c>
      <c r="B2280" s="3" t="s">
        <v>29</v>
      </c>
      <c r="C2280" s="52">
        <f t="shared" si="483"/>
        <v>2221.42</v>
      </c>
      <c r="D2280" s="64">
        <f t="shared" ref="D2280:I2281" si="486">D2282+D2364</f>
        <v>1251.42</v>
      </c>
      <c r="E2280" s="64">
        <f t="shared" si="486"/>
        <v>970</v>
      </c>
      <c r="F2280" s="64">
        <f t="shared" si="486"/>
        <v>0</v>
      </c>
      <c r="G2280" s="64">
        <f t="shared" si="486"/>
        <v>0</v>
      </c>
      <c r="H2280" s="64">
        <f t="shared" si="486"/>
        <v>0</v>
      </c>
      <c r="I2280" s="64">
        <f t="shared" si="486"/>
        <v>0</v>
      </c>
    </row>
    <row r="2281" spans="1:16" ht="12.95">
      <c r="A2281" s="16"/>
      <c r="B2281" s="4" t="s">
        <v>30</v>
      </c>
      <c r="C2281" s="52">
        <f t="shared" si="483"/>
        <v>2221.42</v>
      </c>
      <c r="D2281" s="64">
        <f t="shared" si="486"/>
        <v>1251.42</v>
      </c>
      <c r="E2281" s="64">
        <f t="shared" si="486"/>
        <v>970</v>
      </c>
      <c r="F2281" s="64">
        <f t="shared" si="486"/>
        <v>0</v>
      </c>
      <c r="G2281" s="64">
        <f t="shared" si="486"/>
        <v>0</v>
      </c>
      <c r="H2281" s="64">
        <f t="shared" si="486"/>
        <v>0</v>
      </c>
      <c r="I2281" s="64">
        <f t="shared" si="486"/>
        <v>0</v>
      </c>
    </row>
    <row r="2282" spans="1:16">
      <c r="A2282" s="13" t="s">
        <v>50</v>
      </c>
      <c r="B2282" s="56" t="s">
        <v>29</v>
      </c>
      <c r="C2282" s="52">
        <f t="shared" si="483"/>
        <v>1321.01</v>
      </c>
      <c r="D2282" s="52">
        <f>D2284</f>
        <v>351.01</v>
      </c>
      <c r="E2282" s="52">
        <f t="shared" ref="E2282:I2283" si="487">E2284</f>
        <v>970</v>
      </c>
      <c r="F2282" s="52">
        <f t="shared" si="487"/>
        <v>0</v>
      </c>
      <c r="G2282" s="52">
        <f t="shared" si="487"/>
        <v>0</v>
      </c>
      <c r="H2282" s="52">
        <f t="shared" si="487"/>
        <v>0</v>
      </c>
      <c r="I2282" s="52">
        <f t="shared" si="487"/>
        <v>0</v>
      </c>
    </row>
    <row r="2283" spans="1:16">
      <c r="A2283" s="12"/>
      <c r="B2283" s="55" t="s">
        <v>30</v>
      </c>
      <c r="C2283" s="52">
        <f t="shared" si="483"/>
        <v>1321.01</v>
      </c>
      <c r="D2283" s="52">
        <f>D2285</f>
        <v>351.01</v>
      </c>
      <c r="E2283" s="52">
        <f t="shared" si="487"/>
        <v>970</v>
      </c>
      <c r="F2283" s="52">
        <f t="shared" si="487"/>
        <v>0</v>
      </c>
      <c r="G2283" s="52">
        <f t="shared" si="487"/>
        <v>0</v>
      </c>
      <c r="H2283" s="52">
        <f t="shared" si="487"/>
        <v>0</v>
      </c>
      <c r="I2283" s="52">
        <f t="shared" si="487"/>
        <v>0</v>
      </c>
    </row>
    <row r="2284" spans="1:16" s="95" customFormat="1">
      <c r="A2284" s="47" t="s">
        <v>812</v>
      </c>
      <c r="B2284" s="138" t="s">
        <v>29</v>
      </c>
      <c r="C2284" s="130">
        <f t="shared" si="483"/>
        <v>1321.01</v>
      </c>
      <c r="D2284" s="130">
        <f>D2286+D2296+D2308+D2318+D2338</f>
        <v>351.01</v>
      </c>
      <c r="E2284" s="130">
        <f t="shared" ref="E2284:I2284" si="488">E2286+E2296+E2308+E2318+E2338</f>
        <v>970</v>
      </c>
      <c r="F2284" s="130">
        <f t="shared" si="488"/>
        <v>0</v>
      </c>
      <c r="G2284" s="130">
        <f t="shared" si="488"/>
        <v>0</v>
      </c>
      <c r="H2284" s="130">
        <f t="shared" si="488"/>
        <v>0</v>
      </c>
      <c r="I2284" s="130">
        <f t="shared" si="488"/>
        <v>0</v>
      </c>
    </row>
    <row r="2285" spans="1:16" s="95" customFormat="1">
      <c r="A2285" s="131"/>
      <c r="B2285" s="139" t="s">
        <v>30</v>
      </c>
      <c r="C2285" s="130">
        <f t="shared" si="483"/>
        <v>1321.01</v>
      </c>
      <c r="D2285" s="130">
        <f>D2287+D2297+D2309+D2319+D2339</f>
        <v>351.01</v>
      </c>
      <c r="E2285" s="130">
        <f t="shared" ref="E2285:I2285" si="489">E2287+E2297+E2309+E2319+E2339</f>
        <v>970</v>
      </c>
      <c r="F2285" s="130">
        <f t="shared" si="489"/>
        <v>0</v>
      </c>
      <c r="G2285" s="130">
        <f t="shared" si="489"/>
        <v>0</v>
      </c>
      <c r="H2285" s="130">
        <f t="shared" si="489"/>
        <v>0</v>
      </c>
      <c r="I2285" s="130">
        <f t="shared" si="489"/>
        <v>0</v>
      </c>
    </row>
    <row r="2286" spans="1:16" s="102" customFormat="1" ht="24.95">
      <c r="A2286" s="274" t="s">
        <v>554</v>
      </c>
      <c r="B2286" s="233" t="s">
        <v>29</v>
      </c>
      <c r="C2286" s="64">
        <f t="shared" si="483"/>
        <v>185.29</v>
      </c>
      <c r="D2286" s="64">
        <f>D2288+D2290+D2292+D2294</f>
        <v>185.29</v>
      </c>
      <c r="E2286" s="64">
        <f t="shared" ref="E2286:I2287" si="490">E2288+E2290+E2292+E2294</f>
        <v>0</v>
      </c>
      <c r="F2286" s="64">
        <f t="shared" si="490"/>
        <v>0</v>
      </c>
      <c r="G2286" s="64">
        <f t="shared" si="490"/>
        <v>0</v>
      </c>
      <c r="H2286" s="64">
        <f t="shared" si="490"/>
        <v>0</v>
      </c>
      <c r="I2286" s="64">
        <f t="shared" si="490"/>
        <v>0</v>
      </c>
    </row>
    <row r="2287" spans="1:16" s="102" customFormat="1" ht="12.95">
      <c r="A2287" s="225"/>
      <c r="B2287" s="234" t="s">
        <v>30</v>
      </c>
      <c r="C2287" s="64">
        <f t="shared" si="483"/>
        <v>185.29</v>
      </c>
      <c r="D2287" s="64">
        <f>D2289+D2291+D2293+D2295</f>
        <v>185.29</v>
      </c>
      <c r="E2287" s="64">
        <f t="shared" si="490"/>
        <v>0</v>
      </c>
      <c r="F2287" s="64">
        <f t="shared" si="490"/>
        <v>0</v>
      </c>
      <c r="G2287" s="64">
        <f t="shared" si="490"/>
        <v>0</v>
      </c>
      <c r="H2287" s="64">
        <f t="shared" si="490"/>
        <v>0</v>
      </c>
      <c r="I2287" s="64">
        <f t="shared" si="490"/>
        <v>0</v>
      </c>
    </row>
    <row r="2288" spans="1:16" s="213" customFormat="1" ht="39.75" customHeight="1">
      <c r="A2288" s="505" t="s">
        <v>893</v>
      </c>
      <c r="B2288" s="228" t="s">
        <v>29</v>
      </c>
      <c r="C2288" s="240">
        <f t="shared" si="483"/>
        <v>25.45</v>
      </c>
      <c r="D2288" s="240">
        <v>25.45</v>
      </c>
      <c r="E2288" s="64">
        <v>0</v>
      </c>
      <c r="F2288" s="240">
        <v>0</v>
      </c>
      <c r="G2288" s="240">
        <v>0</v>
      </c>
      <c r="H2288" s="240">
        <v>0</v>
      </c>
      <c r="I2288" s="240">
        <v>0</v>
      </c>
    </row>
    <row r="2289" spans="1:9" s="102" customFormat="1" ht="12.95">
      <c r="A2289" s="225"/>
      <c r="B2289" s="219" t="s">
        <v>30</v>
      </c>
      <c r="C2289" s="64">
        <f t="shared" si="483"/>
        <v>25.45</v>
      </c>
      <c r="D2289" s="64">
        <v>25.45</v>
      </c>
      <c r="E2289" s="64">
        <v>0</v>
      </c>
      <c r="F2289" s="64">
        <v>0</v>
      </c>
      <c r="G2289" s="64">
        <v>0</v>
      </c>
      <c r="H2289" s="64">
        <v>0</v>
      </c>
      <c r="I2289" s="64">
        <v>0</v>
      </c>
    </row>
    <row r="2290" spans="1:9" s="213" customFormat="1" ht="15" customHeight="1">
      <c r="A2290" s="520" t="s">
        <v>894</v>
      </c>
      <c r="B2290" s="228" t="s">
        <v>29</v>
      </c>
      <c r="C2290" s="240">
        <f t="shared" si="483"/>
        <v>5.45</v>
      </c>
      <c r="D2290" s="240">
        <v>5.45</v>
      </c>
      <c r="E2290" s="240">
        <v>0</v>
      </c>
      <c r="F2290" s="240">
        <v>0</v>
      </c>
      <c r="G2290" s="240">
        <v>0</v>
      </c>
      <c r="H2290" s="240">
        <v>0</v>
      </c>
      <c r="I2290" s="240">
        <v>0</v>
      </c>
    </row>
    <row r="2291" spans="1:9" s="213" customFormat="1" ht="12.95">
      <c r="A2291" s="225"/>
      <c r="B2291" s="219" t="s">
        <v>30</v>
      </c>
      <c r="C2291" s="240">
        <f t="shared" si="483"/>
        <v>5.45</v>
      </c>
      <c r="D2291" s="240">
        <v>5.45</v>
      </c>
      <c r="E2291" s="240">
        <v>0</v>
      </c>
      <c r="F2291" s="240">
        <v>0</v>
      </c>
      <c r="G2291" s="240">
        <v>0</v>
      </c>
      <c r="H2291" s="240">
        <v>0</v>
      </c>
      <c r="I2291" s="240">
        <v>0</v>
      </c>
    </row>
    <row r="2292" spans="1:9" s="213" customFormat="1" ht="27" customHeight="1">
      <c r="A2292" s="505" t="s">
        <v>895</v>
      </c>
      <c r="B2292" s="228" t="s">
        <v>29</v>
      </c>
      <c r="C2292" s="240">
        <f t="shared" si="483"/>
        <v>126.64</v>
      </c>
      <c r="D2292" s="240">
        <v>126.64</v>
      </c>
      <c r="E2292" s="240">
        <v>0</v>
      </c>
      <c r="F2292" s="240">
        <v>0</v>
      </c>
      <c r="G2292" s="240">
        <v>0</v>
      </c>
      <c r="H2292" s="240">
        <v>0</v>
      </c>
      <c r="I2292" s="240">
        <v>0</v>
      </c>
    </row>
    <row r="2293" spans="1:9" s="213" customFormat="1" ht="12.95">
      <c r="A2293" s="225"/>
      <c r="B2293" s="219" t="s">
        <v>30</v>
      </c>
      <c r="C2293" s="240">
        <f t="shared" si="483"/>
        <v>126.64</v>
      </c>
      <c r="D2293" s="240">
        <v>126.64</v>
      </c>
      <c r="E2293" s="240">
        <v>0</v>
      </c>
      <c r="F2293" s="240">
        <v>0</v>
      </c>
      <c r="G2293" s="240">
        <v>0</v>
      </c>
      <c r="H2293" s="240">
        <v>0</v>
      </c>
      <c r="I2293" s="240">
        <v>0</v>
      </c>
    </row>
    <row r="2294" spans="1:9" s="213" customFormat="1" ht="15" customHeight="1">
      <c r="A2294" s="505" t="s">
        <v>896</v>
      </c>
      <c r="B2294" s="228" t="s">
        <v>29</v>
      </c>
      <c r="C2294" s="240">
        <f t="shared" si="483"/>
        <v>27.75</v>
      </c>
      <c r="D2294" s="240">
        <v>27.75</v>
      </c>
      <c r="E2294" s="64">
        <v>0</v>
      </c>
      <c r="F2294" s="240">
        <v>0</v>
      </c>
      <c r="G2294" s="240">
        <v>0</v>
      </c>
      <c r="H2294" s="240">
        <v>0</v>
      </c>
      <c r="I2294" s="240">
        <v>0</v>
      </c>
    </row>
    <row r="2295" spans="1:9" s="102" customFormat="1" ht="12.95">
      <c r="A2295" s="225"/>
      <c r="B2295" s="219" t="s">
        <v>30</v>
      </c>
      <c r="C2295" s="64">
        <f t="shared" si="483"/>
        <v>27.75</v>
      </c>
      <c r="D2295" s="64">
        <v>27.75</v>
      </c>
      <c r="E2295" s="64">
        <v>0</v>
      </c>
      <c r="F2295" s="64">
        <v>0</v>
      </c>
      <c r="G2295" s="64">
        <v>0</v>
      </c>
      <c r="H2295" s="64">
        <v>0</v>
      </c>
      <c r="I2295" s="64">
        <v>0</v>
      </c>
    </row>
    <row r="2296" spans="1:9" s="102" customFormat="1" ht="14.1">
      <c r="A2296" s="318" t="s">
        <v>730</v>
      </c>
      <c r="B2296" s="228" t="s">
        <v>29</v>
      </c>
      <c r="C2296" s="64">
        <f t="shared" si="483"/>
        <v>27.41</v>
      </c>
      <c r="D2296" s="64">
        <f>D2298+D2300+D2302+D2304+D2306</f>
        <v>27.41</v>
      </c>
      <c r="E2296" s="64">
        <f t="shared" ref="E2296:I2297" si="491">E2298+E2300+E2302+E2304+E2306</f>
        <v>0</v>
      </c>
      <c r="F2296" s="64">
        <f t="shared" si="491"/>
        <v>0</v>
      </c>
      <c r="G2296" s="64">
        <f t="shared" si="491"/>
        <v>0</v>
      </c>
      <c r="H2296" s="64">
        <f t="shared" si="491"/>
        <v>0</v>
      </c>
      <c r="I2296" s="64">
        <f t="shared" si="491"/>
        <v>0</v>
      </c>
    </row>
    <row r="2297" spans="1:9" s="102" customFormat="1">
      <c r="A2297" s="131"/>
      <c r="B2297" s="219" t="s">
        <v>30</v>
      </c>
      <c r="C2297" s="64">
        <f t="shared" si="483"/>
        <v>27.41</v>
      </c>
      <c r="D2297" s="64">
        <f>D2299+D2301+D2303+D2305+D2307</f>
        <v>27.41</v>
      </c>
      <c r="E2297" s="64">
        <f t="shared" si="491"/>
        <v>0</v>
      </c>
      <c r="F2297" s="64">
        <f t="shared" si="491"/>
        <v>0</v>
      </c>
      <c r="G2297" s="64">
        <f t="shared" si="491"/>
        <v>0</v>
      </c>
      <c r="H2297" s="64">
        <f t="shared" si="491"/>
        <v>0</v>
      </c>
      <c r="I2297" s="64">
        <f t="shared" si="491"/>
        <v>0</v>
      </c>
    </row>
    <row r="2298" spans="1:9" s="213" customFormat="1" ht="12.95">
      <c r="A2298" s="491" t="s">
        <v>897</v>
      </c>
      <c r="B2298" s="228" t="s">
        <v>29</v>
      </c>
      <c r="C2298" s="240">
        <f t="shared" si="483"/>
        <v>0.56999999999999995</v>
      </c>
      <c r="D2298" s="240">
        <v>0.56999999999999995</v>
      </c>
      <c r="E2298" s="240">
        <v>0</v>
      </c>
      <c r="F2298" s="240">
        <v>0</v>
      </c>
      <c r="G2298" s="240">
        <v>0</v>
      </c>
      <c r="H2298" s="240">
        <v>0</v>
      </c>
      <c r="I2298" s="240">
        <v>0</v>
      </c>
    </row>
    <row r="2299" spans="1:9" s="102" customFormat="1" ht="12.95">
      <c r="A2299" s="225"/>
      <c r="B2299" s="219" t="s">
        <v>30</v>
      </c>
      <c r="C2299" s="64">
        <f t="shared" si="483"/>
        <v>0.56999999999999995</v>
      </c>
      <c r="D2299" s="64">
        <v>0.56999999999999995</v>
      </c>
      <c r="E2299" s="64">
        <v>0</v>
      </c>
      <c r="F2299" s="64">
        <v>0</v>
      </c>
      <c r="G2299" s="64">
        <v>0</v>
      </c>
      <c r="H2299" s="64">
        <v>0</v>
      </c>
      <c r="I2299" s="64">
        <v>0</v>
      </c>
    </row>
    <row r="2300" spans="1:9" s="213" customFormat="1" ht="12.95">
      <c r="A2300" s="491" t="s">
        <v>898</v>
      </c>
      <c r="B2300" s="228" t="s">
        <v>29</v>
      </c>
      <c r="C2300" s="240">
        <f t="shared" si="483"/>
        <v>4.66</v>
      </c>
      <c r="D2300" s="240">
        <v>4.66</v>
      </c>
      <c r="E2300" s="240">
        <v>0</v>
      </c>
      <c r="F2300" s="240">
        <v>0</v>
      </c>
      <c r="G2300" s="240">
        <v>0</v>
      </c>
      <c r="H2300" s="240">
        <v>0</v>
      </c>
      <c r="I2300" s="240">
        <v>0</v>
      </c>
    </row>
    <row r="2301" spans="1:9" s="102" customFormat="1" ht="12.95">
      <c r="A2301" s="225"/>
      <c r="B2301" s="219" t="s">
        <v>30</v>
      </c>
      <c r="C2301" s="64">
        <f t="shared" si="483"/>
        <v>4.66</v>
      </c>
      <c r="D2301" s="64">
        <v>4.66</v>
      </c>
      <c r="E2301" s="64">
        <v>0</v>
      </c>
      <c r="F2301" s="64">
        <v>0</v>
      </c>
      <c r="G2301" s="64">
        <v>0</v>
      </c>
      <c r="H2301" s="64">
        <v>0</v>
      </c>
      <c r="I2301" s="64">
        <v>0</v>
      </c>
    </row>
    <row r="2302" spans="1:9" s="213" customFormat="1" ht="12.95">
      <c r="A2302" s="491" t="s">
        <v>899</v>
      </c>
      <c r="B2302" s="228" t="s">
        <v>29</v>
      </c>
      <c r="C2302" s="240">
        <f t="shared" si="483"/>
        <v>5.36</v>
      </c>
      <c r="D2302" s="240">
        <v>5.36</v>
      </c>
      <c r="E2302" s="240">
        <v>0</v>
      </c>
      <c r="F2302" s="240">
        <v>0</v>
      </c>
      <c r="G2302" s="240">
        <v>0</v>
      </c>
      <c r="H2302" s="240">
        <v>0</v>
      </c>
      <c r="I2302" s="240">
        <v>0</v>
      </c>
    </row>
    <row r="2303" spans="1:9" s="102" customFormat="1" ht="12.95">
      <c r="A2303" s="225"/>
      <c r="B2303" s="219" t="s">
        <v>30</v>
      </c>
      <c r="C2303" s="64">
        <f t="shared" si="483"/>
        <v>5.36</v>
      </c>
      <c r="D2303" s="64">
        <v>5.36</v>
      </c>
      <c r="E2303" s="64">
        <v>0</v>
      </c>
      <c r="F2303" s="64">
        <v>0</v>
      </c>
      <c r="G2303" s="64">
        <v>0</v>
      </c>
      <c r="H2303" s="64">
        <v>0</v>
      </c>
      <c r="I2303" s="64">
        <v>0</v>
      </c>
    </row>
    <row r="2304" spans="1:9" s="213" customFormat="1" ht="14.1">
      <c r="A2304" s="362" t="s">
        <v>900</v>
      </c>
      <c r="B2304" s="228" t="s">
        <v>29</v>
      </c>
      <c r="C2304" s="240">
        <f t="shared" si="483"/>
        <v>9.9600000000000009</v>
      </c>
      <c r="D2304" s="240">
        <v>9.9600000000000009</v>
      </c>
      <c r="E2304" s="240">
        <v>0</v>
      </c>
      <c r="F2304" s="240">
        <v>0</v>
      </c>
      <c r="G2304" s="240">
        <v>0</v>
      </c>
      <c r="H2304" s="240">
        <v>0</v>
      </c>
      <c r="I2304" s="240">
        <v>0</v>
      </c>
    </row>
    <row r="2305" spans="1:9" s="102" customFormat="1" ht="12.95">
      <c r="A2305" s="225"/>
      <c r="B2305" s="219" t="s">
        <v>30</v>
      </c>
      <c r="C2305" s="64">
        <f t="shared" si="483"/>
        <v>9.9600000000000009</v>
      </c>
      <c r="D2305" s="64">
        <v>9.9600000000000009</v>
      </c>
      <c r="E2305" s="64">
        <v>0</v>
      </c>
      <c r="F2305" s="64">
        <v>0</v>
      </c>
      <c r="G2305" s="64">
        <v>0</v>
      </c>
      <c r="H2305" s="64">
        <v>0</v>
      </c>
      <c r="I2305" s="64">
        <v>0</v>
      </c>
    </row>
    <row r="2306" spans="1:9" s="213" customFormat="1" ht="14.1">
      <c r="A2306" s="362" t="s">
        <v>901</v>
      </c>
      <c r="B2306" s="228" t="s">
        <v>29</v>
      </c>
      <c r="C2306" s="240">
        <f t="shared" si="483"/>
        <v>6.86</v>
      </c>
      <c r="D2306" s="240">
        <v>6.86</v>
      </c>
      <c r="E2306" s="240">
        <v>0</v>
      </c>
      <c r="F2306" s="240">
        <v>0</v>
      </c>
      <c r="G2306" s="240">
        <v>0</v>
      </c>
      <c r="H2306" s="240">
        <v>0</v>
      </c>
      <c r="I2306" s="240">
        <v>0</v>
      </c>
    </row>
    <row r="2307" spans="1:9" s="102" customFormat="1" ht="12.95">
      <c r="A2307" s="225"/>
      <c r="B2307" s="219" t="s">
        <v>30</v>
      </c>
      <c r="C2307" s="64">
        <f t="shared" si="483"/>
        <v>6.86</v>
      </c>
      <c r="D2307" s="64">
        <v>6.86</v>
      </c>
      <c r="E2307" s="64">
        <v>0</v>
      </c>
      <c r="F2307" s="64">
        <v>0</v>
      </c>
      <c r="G2307" s="64">
        <v>0</v>
      </c>
      <c r="H2307" s="64">
        <v>0</v>
      </c>
      <c r="I2307" s="64">
        <v>0</v>
      </c>
    </row>
    <row r="2308" spans="1:9" s="206" customFormat="1" ht="14.1">
      <c r="A2308" s="318" t="s">
        <v>902</v>
      </c>
      <c r="B2308" s="228" t="s">
        <v>29</v>
      </c>
      <c r="C2308" s="64">
        <f t="shared" si="483"/>
        <v>70.580000000000013</v>
      </c>
      <c r="D2308" s="64">
        <f>-D2310+D2312+D2314+D2316</f>
        <v>70.580000000000013</v>
      </c>
      <c r="E2308" s="64">
        <f>E2310+E2312+E2314+E2316</f>
        <v>0</v>
      </c>
      <c r="F2308" s="64">
        <f t="shared" ref="F2308:I2309" si="492">-F2310+F2312+F2314+F2316</f>
        <v>0</v>
      </c>
      <c r="G2308" s="64">
        <f t="shared" si="492"/>
        <v>0</v>
      </c>
      <c r="H2308" s="64">
        <f t="shared" si="492"/>
        <v>0</v>
      </c>
      <c r="I2308" s="64">
        <f t="shared" si="492"/>
        <v>0</v>
      </c>
    </row>
    <row r="2309" spans="1:9" s="102" customFormat="1">
      <c r="A2309" s="131"/>
      <c r="B2309" s="219" t="s">
        <v>30</v>
      </c>
      <c r="C2309" s="64">
        <f t="shared" si="483"/>
        <v>70.580000000000013</v>
      </c>
      <c r="D2309" s="64">
        <f>-D2311+D2313+D2315+D2317</f>
        <v>70.580000000000013</v>
      </c>
      <c r="E2309" s="64">
        <f>E2311+E2313+E2315+E2317</f>
        <v>0</v>
      </c>
      <c r="F2309" s="64">
        <f t="shared" si="492"/>
        <v>0</v>
      </c>
      <c r="G2309" s="64">
        <f t="shared" si="492"/>
        <v>0</v>
      </c>
      <c r="H2309" s="64">
        <f t="shared" si="492"/>
        <v>0</v>
      </c>
      <c r="I2309" s="64">
        <f t="shared" si="492"/>
        <v>0</v>
      </c>
    </row>
    <row r="2310" spans="1:9" s="213" customFormat="1" ht="16.5" customHeight="1">
      <c r="A2310" s="453" t="s">
        <v>903</v>
      </c>
      <c r="B2310" s="228" t="s">
        <v>29</v>
      </c>
      <c r="C2310" s="240">
        <f t="shared" si="483"/>
        <v>55.44</v>
      </c>
      <c r="D2310" s="240">
        <v>55.44</v>
      </c>
      <c r="E2310" s="240">
        <v>0</v>
      </c>
      <c r="F2310" s="240">
        <v>0</v>
      </c>
      <c r="G2310" s="240">
        <v>0</v>
      </c>
      <c r="H2310" s="240">
        <v>0</v>
      </c>
      <c r="I2310" s="240">
        <v>0</v>
      </c>
    </row>
    <row r="2311" spans="1:9" s="213" customFormat="1" ht="12.95">
      <c r="A2311" s="225"/>
      <c r="B2311" s="219" t="s">
        <v>30</v>
      </c>
      <c r="C2311" s="240">
        <f t="shared" si="483"/>
        <v>55.44</v>
      </c>
      <c r="D2311" s="240">
        <v>55.44</v>
      </c>
      <c r="E2311" s="240">
        <v>0</v>
      </c>
      <c r="F2311" s="240">
        <v>0</v>
      </c>
      <c r="G2311" s="240">
        <v>0</v>
      </c>
      <c r="H2311" s="240">
        <v>0</v>
      </c>
      <c r="I2311" s="240">
        <v>0</v>
      </c>
    </row>
    <row r="2312" spans="1:9" s="213" customFormat="1" ht="17.25" customHeight="1">
      <c r="A2312" s="418" t="s">
        <v>904</v>
      </c>
      <c r="B2312" s="228" t="s">
        <v>29</v>
      </c>
      <c r="C2312" s="240">
        <f t="shared" si="483"/>
        <v>19.309999999999999</v>
      </c>
      <c r="D2312" s="240">
        <v>19.309999999999999</v>
      </c>
      <c r="E2312" s="240">
        <v>0</v>
      </c>
      <c r="F2312" s="240">
        <v>0</v>
      </c>
      <c r="G2312" s="240">
        <v>0</v>
      </c>
      <c r="H2312" s="240">
        <v>0</v>
      </c>
      <c r="I2312" s="240">
        <v>0</v>
      </c>
    </row>
    <row r="2313" spans="1:9" s="213" customFormat="1" ht="12.95">
      <c r="A2313" s="225"/>
      <c r="B2313" s="219" t="s">
        <v>30</v>
      </c>
      <c r="C2313" s="240">
        <f t="shared" si="483"/>
        <v>19.309999999999999</v>
      </c>
      <c r="D2313" s="240">
        <v>19.309999999999999</v>
      </c>
      <c r="E2313" s="240">
        <v>0</v>
      </c>
      <c r="F2313" s="240">
        <v>0</v>
      </c>
      <c r="G2313" s="240">
        <v>0</v>
      </c>
      <c r="H2313" s="240">
        <v>0</v>
      </c>
      <c r="I2313" s="240">
        <v>0</v>
      </c>
    </row>
    <row r="2314" spans="1:9" s="213" customFormat="1" ht="17.25" customHeight="1">
      <c r="A2314" s="453" t="s">
        <v>905</v>
      </c>
      <c r="B2314" s="228" t="s">
        <v>29</v>
      </c>
      <c r="C2314" s="240">
        <f t="shared" si="483"/>
        <v>17.45</v>
      </c>
      <c r="D2314" s="240">
        <v>17.45</v>
      </c>
      <c r="E2314" s="240">
        <v>0</v>
      </c>
      <c r="F2314" s="240">
        <v>0</v>
      </c>
      <c r="G2314" s="240">
        <v>0</v>
      </c>
      <c r="H2314" s="240">
        <v>0</v>
      </c>
      <c r="I2314" s="240">
        <v>0</v>
      </c>
    </row>
    <row r="2315" spans="1:9" s="213" customFormat="1" ht="12.95">
      <c r="A2315" s="225"/>
      <c r="B2315" s="219" t="s">
        <v>30</v>
      </c>
      <c r="C2315" s="240">
        <f t="shared" si="483"/>
        <v>17.45</v>
      </c>
      <c r="D2315" s="240">
        <v>17.45</v>
      </c>
      <c r="E2315" s="240">
        <v>0</v>
      </c>
      <c r="F2315" s="240">
        <v>0</v>
      </c>
      <c r="G2315" s="240">
        <v>0</v>
      </c>
      <c r="H2315" s="240">
        <v>0</v>
      </c>
      <c r="I2315" s="240">
        <v>0</v>
      </c>
    </row>
    <row r="2316" spans="1:9" s="213" customFormat="1" ht="18.75" customHeight="1">
      <c r="A2316" s="453" t="s">
        <v>906</v>
      </c>
      <c r="B2316" s="228" t="s">
        <v>29</v>
      </c>
      <c r="C2316" s="240">
        <f t="shared" si="483"/>
        <v>89.26</v>
      </c>
      <c r="D2316" s="240">
        <v>89.26</v>
      </c>
      <c r="E2316" s="240">
        <v>0</v>
      </c>
      <c r="F2316" s="240">
        <v>0</v>
      </c>
      <c r="G2316" s="240">
        <v>0</v>
      </c>
      <c r="H2316" s="240">
        <v>0</v>
      </c>
      <c r="I2316" s="240">
        <v>0</v>
      </c>
    </row>
    <row r="2317" spans="1:9" s="102" customFormat="1" ht="12.95">
      <c r="A2317" s="225"/>
      <c r="B2317" s="219" t="s">
        <v>30</v>
      </c>
      <c r="C2317" s="64">
        <f t="shared" si="483"/>
        <v>89.26</v>
      </c>
      <c r="D2317" s="64">
        <v>89.26</v>
      </c>
      <c r="E2317" s="64">
        <v>0</v>
      </c>
      <c r="F2317" s="64">
        <v>0</v>
      </c>
      <c r="G2317" s="64">
        <v>0</v>
      </c>
      <c r="H2317" s="64">
        <v>0</v>
      </c>
      <c r="I2317" s="64">
        <v>0</v>
      </c>
    </row>
    <row r="2318" spans="1:9" s="102" customFormat="1" ht="24.95">
      <c r="A2318" s="274" t="s">
        <v>741</v>
      </c>
      <c r="B2318" s="233" t="s">
        <v>29</v>
      </c>
      <c r="C2318" s="64">
        <f t="shared" si="483"/>
        <v>509.73</v>
      </c>
      <c r="D2318" s="64">
        <f>D2320+D2322+D2324+D2326+D2328+D2330+D2332+D2334+D2336</f>
        <v>67.73</v>
      </c>
      <c r="E2318" s="64">
        <f t="shared" ref="E2318:I2318" si="493">E2320+E2322+E2324+E2326+E2328+E2330+E2332+E2334+E2336</f>
        <v>442</v>
      </c>
      <c r="F2318" s="64">
        <f t="shared" si="493"/>
        <v>0</v>
      </c>
      <c r="G2318" s="64">
        <f t="shared" si="493"/>
        <v>0</v>
      </c>
      <c r="H2318" s="64">
        <f t="shared" si="493"/>
        <v>0</v>
      </c>
      <c r="I2318" s="64">
        <f t="shared" si="493"/>
        <v>0</v>
      </c>
    </row>
    <row r="2319" spans="1:9" s="102" customFormat="1" ht="12.95">
      <c r="A2319" s="225"/>
      <c r="B2319" s="234" t="s">
        <v>30</v>
      </c>
      <c r="C2319" s="64">
        <f t="shared" si="483"/>
        <v>509.73</v>
      </c>
      <c r="D2319" s="64">
        <f>D2321+D2323+D2325+D2327+D2329+D2331+D2333+D2335+D2337</f>
        <v>67.73</v>
      </c>
      <c r="E2319" s="64">
        <f t="shared" ref="E2319:I2319" si="494">E2321+E2323+E2325+E2327+E2329+E2331+E2333+E2335+E2337</f>
        <v>442</v>
      </c>
      <c r="F2319" s="64">
        <f t="shared" si="494"/>
        <v>0</v>
      </c>
      <c r="G2319" s="64">
        <f t="shared" si="494"/>
        <v>0</v>
      </c>
      <c r="H2319" s="64">
        <f t="shared" si="494"/>
        <v>0</v>
      </c>
      <c r="I2319" s="64">
        <f t="shared" si="494"/>
        <v>0</v>
      </c>
    </row>
    <row r="2320" spans="1:9" s="213" customFormat="1">
      <c r="A2320" s="492" t="s">
        <v>907</v>
      </c>
      <c r="B2320" s="228" t="s">
        <v>29</v>
      </c>
      <c r="C2320" s="240">
        <f t="shared" si="483"/>
        <v>2.75</v>
      </c>
      <c r="D2320" s="240">
        <v>2.75</v>
      </c>
      <c r="E2320" s="240">
        <v>0</v>
      </c>
      <c r="F2320" s="240">
        <v>0</v>
      </c>
      <c r="G2320" s="240">
        <v>0</v>
      </c>
      <c r="H2320" s="240">
        <v>0</v>
      </c>
      <c r="I2320" s="240">
        <v>0</v>
      </c>
    </row>
    <row r="2321" spans="1:9" s="102" customFormat="1" ht="12.95">
      <c r="A2321" s="225"/>
      <c r="B2321" s="219" t="s">
        <v>30</v>
      </c>
      <c r="C2321" s="64">
        <f t="shared" si="483"/>
        <v>2.75</v>
      </c>
      <c r="D2321" s="64">
        <v>2.75</v>
      </c>
      <c r="E2321" s="64">
        <v>0</v>
      </c>
      <c r="F2321" s="64">
        <v>0</v>
      </c>
      <c r="G2321" s="64">
        <v>0</v>
      </c>
      <c r="H2321" s="64">
        <v>0</v>
      </c>
      <c r="I2321" s="64">
        <v>0</v>
      </c>
    </row>
    <row r="2322" spans="1:9" s="213" customFormat="1">
      <c r="A2322" s="492" t="s">
        <v>908</v>
      </c>
      <c r="B2322" s="228" t="s">
        <v>29</v>
      </c>
      <c r="C2322" s="240">
        <f t="shared" si="483"/>
        <v>13.29</v>
      </c>
      <c r="D2322" s="240">
        <v>13.29</v>
      </c>
      <c r="E2322" s="240">
        <v>0</v>
      </c>
      <c r="F2322" s="240">
        <v>0</v>
      </c>
      <c r="G2322" s="240">
        <v>0</v>
      </c>
      <c r="H2322" s="240">
        <v>0</v>
      </c>
      <c r="I2322" s="240">
        <v>0</v>
      </c>
    </row>
    <row r="2323" spans="1:9" s="102" customFormat="1" ht="12.95">
      <c r="A2323" s="225"/>
      <c r="B2323" s="219" t="s">
        <v>30</v>
      </c>
      <c r="C2323" s="64">
        <f t="shared" si="483"/>
        <v>13.29</v>
      </c>
      <c r="D2323" s="64">
        <v>13.29</v>
      </c>
      <c r="E2323" s="64">
        <v>0</v>
      </c>
      <c r="F2323" s="64">
        <v>0</v>
      </c>
      <c r="G2323" s="64">
        <v>0</v>
      </c>
      <c r="H2323" s="64">
        <v>0</v>
      </c>
      <c r="I2323" s="64">
        <v>0</v>
      </c>
    </row>
    <row r="2324" spans="1:9" s="213" customFormat="1">
      <c r="A2324" s="492" t="s">
        <v>898</v>
      </c>
      <c r="B2324" s="228" t="s">
        <v>29</v>
      </c>
      <c r="C2324" s="240">
        <f t="shared" si="483"/>
        <v>7.01</v>
      </c>
      <c r="D2324" s="240">
        <v>7.01</v>
      </c>
      <c r="E2324" s="240">
        <v>0</v>
      </c>
      <c r="F2324" s="240">
        <v>0</v>
      </c>
      <c r="G2324" s="240">
        <v>0</v>
      </c>
      <c r="H2324" s="240">
        <v>0</v>
      </c>
      <c r="I2324" s="240">
        <v>0</v>
      </c>
    </row>
    <row r="2325" spans="1:9" s="102" customFormat="1" ht="12.95">
      <c r="A2325" s="225"/>
      <c r="B2325" s="219" t="s">
        <v>30</v>
      </c>
      <c r="C2325" s="64">
        <f t="shared" si="483"/>
        <v>7.01</v>
      </c>
      <c r="D2325" s="64">
        <v>7.01</v>
      </c>
      <c r="E2325" s="64">
        <v>0</v>
      </c>
      <c r="F2325" s="64">
        <v>0</v>
      </c>
      <c r="G2325" s="64">
        <v>0</v>
      </c>
      <c r="H2325" s="64">
        <v>0</v>
      </c>
      <c r="I2325" s="64">
        <v>0</v>
      </c>
    </row>
    <row r="2326" spans="1:9" s="213" customFormat="1">
      <c r="A2326" s="492" t="s">
        <v>909</v>
      </c>
      <c r="B2326" s="228" t="s">
        <v>29</v>
      </c>
      <c r="C2326" s="240">
        <f t="shared" si="483"/>
        <v>4.09</v>
      </c>
      <c r="D2326" s="240">
        <v>4.09</v>
      </c>
      <c r="E2326" s="240">
        <v>0</v>
      </c>
      <c r="F2326" s="240">
        <v>0</v>
      </c>
      <c r="G2326" s="240">
        <v>0</v>
      </c>
      <c r="H2326" s="240">
        <v>0</v>
      </c>
      <c r="I2326" s="240">
        <v>0</v>
      </c>
    </row>
    <row r="2327" spans="1:9" s="102" customFormat="1" ht="12.95">
      <c r="A2327" s="225"/>
      <c r="B2327" s="219" t="s">
        <v>30</v>
      </c>
      <c r="C2327" s="64">
        <f t="shared" si="483"/>
        <v>4.09</v>
      </c>
      <c r="D2327" s="64">
        <v>4.09</v>
      </c>
      <c r="E2327" s="64">
        <v>0</v>
      </c>
      <c r="F2327" s="64">
        <v>0</v>
      </c>
      <c r="G2327" s="64">
        <v>0</v>
      </c>
      <c r="H2327" s="64">
        <v>0</v>
      </c>
      <c r="I2327" s="64">
        <v>0</v>
      </c>
    </row>
    <row r="2328" spans="1:9" s="213" customFormat="1">
      <c r="A2328" s="492" t="s">
        <v>910</v>
      </c>
      <c r="B2328" s="228" t="s">
        <v>29</v>
      </c>
      <c r="C2328" s="240">
        <f t="shared" si="483"/>
        <v>9.9</v>
      </c>
      <c r="D2328" s="240">
        <v>9.9</v>
      </c>
      <c r="E2328" s="240">
        <v>0</v>
      </c>
      <c r="F2328" s="240">
        <v>0</v>
      </c>
      <c r="G2328" s="240">
        <v>0</v>
      </c>
      <c r="H2328" s="240">
        <v>0</v>
      </c>
      <c r="I2328" s="240">
        <v>0</v>
      </c>
    </row>
    <row r="2329" spans="1:9" s="102" customFormat="1" ht="12.95">
      <c r="A2329" s="225"/>
      <c r="B2329" s="219" t="s">
        <v>30</v>
      </c>
      <c r="C2329" s="64">
        <f t="shared" si="483"/>
        <v>9.9</v>
      </c>
      <c r="D2329" s="64">
        <v>9.9</v>
      </c>
      <c r="E2329" s="64">
        <v>0</v>
      </c>
      <c r="F2329" s="64">
        <v>0</v>
      </c>
      <c r="G2329" s="64">
        <v>0</v>
      </c>
      <c r="H2329" s="64">
        <v>0</v>
      </c>
      <c r="I2329" s="64">
        <v>0</v>
      </c>
    </row>
    <row r="2330" spans="1:9" s="213" customFormat="1">
      <c r="A2330" s="492" t="s">
        <v>910</v>
      </c>
      <c r="B2330" s="228" t="s">
        <v>29</v>
      </c>
      <c r="C2330" s="240">
        <f t="shared" si="483"/>
        <v>17.55</v>
      </c>
      <c r="D2330" s="240">
        <v>17.55</v>
      </c>
      <c r="E2330" s="240">
        <v>0</v>
      </c>
      <c r="F2330" s="240">
        <v>0</v>
      </c>
      <c r="G2330" s="240">
        <v>0</v>
      </c>
      <c r="H2330" s="240">
        <v>0</v>
      </c>
      <c r="I2330" s="240">
        <v>0</v>
      </c>
    </row>
    <row r="2331" spans="1:9" s="102" customFormat="1" ht="12.95">
      <c r="A2331" s="225"/>
      <c r="B2331" s="219" t="s">
        <v>30</v>
      </c>
      <c r="C2331" s="64">
        <f t="shared" si="483"/>
        <v>17.55</v>
      </c>
      <c r="D2331" s="64">
        <v>17.55</v>
      </c>
      <c r="E2331" s="64">
        <v>0</v>
      </c>
      <c r="F2331" s="64">
        <v>0</v>
      </c>
      <c r="G2331" s="64">
        <v>0</v>
      </c>
      <c r="H2331" s="64">
        <v>0</v>
      </c>
      <c r="I2331" s="64">
        <v>0</v>
      </c>
    </row>
    <row r="2332" spans="1:9" s="213" customFormat="1">
      <c r="A2332" s="492" t="s">
        <v>911</v>
      </c>
      <c r="B2332" s="228" t="s">
        <v>29</v>
      </c>
      <c r="C2332" s="240">
        <f t="shared" si="483"/>
        <v>0.15</v>
      </c>
      <c r="D2332" s="240">
        <v>0.15</v>
      </c>
      <c r="E2332" s="240">
        <v>0</v>
      </c>
      <c r="F2332" s="240">
        <v>0</v>
      </c>
      <c r="G2332" s="240">
        <v>0</v>
      </c>
      <c r="H2332" s="240">
        <v>0</v>
      </c>
      <c r="I2332" s="240">
        <v>0</v>
      </c>
    </row>
    <row r="2333" spans="1:9" s="102" customFormat="1" ht="12.95">
      <c r="A2333" s="225"/>
      <c r="B2333" s="219" t="s">
        <v>30</v>
      </c>
      <c r="C2333" s="64">
        <f t="shared" si="483"/>
        <v>0.15</v>
      </c>
      <c r="D2333" s="64">
        <v>0.15</v>
      </c>
      <c r="E2333" s="64">
        <v>0</v>
      </c>
      <c r="F2333" s="64">
        <v>0</v>
      </c>
      <c r="G2333" s="64">
        <v>0</v>
      </c>
      <c r="H2333" s="64">
        <v>0</v>
      </c>
      <c r="I2333" s="64">
        <v>0</v>
      </c>
    </row>
    <row r="2334" spans="1:9" s="213" customFormat="1">
      <c r="A2334" s="492" t="s">
        <v>912</v>
      </c>
      <c r="B2334" s="228" t="s">
        <v>29</v>
      </c>
      <c r="C2334" s="240">
        <f t="shared" si="483"/>
        <v>12.99</v>
      </c>
      <c r="D2334" s="240">
        <v>12.99</v>
      </c>
      <c r="E2334" s="240">
        <v>0</v>
      </c>
      <c r="F2334" s="240">
        <v>0</v>
      </c>
      <c r="G2334" s="240">
        <v>0</v>
      </c>
      <c r="H2334" s="240">
        <v>0</v>
      </c>
      <c r="I2334" s="240">
        <v>0</v>
      </c>
    </row>
    <row r="2335" spans="1:9" s="102" customFormat="1" ht="12.95">
      <c r="A2335" s="225"/>
      <c r="B2335" s="219" t="s">
        <v>30</v>
      </c>
      <c r="C2335" s="64">
        <f t="shared" si="483"/>
        <v>12.99</v>
      </c>
      <c r="D2335" s="64">
        <v>12.99</v>
      </c>
      <c r="E2335" s="64">
        <v>0</v>
      </c>
      <c r="F2335" s="64">
        <v>0</v>
      </c>
      <c r="G2335" s="64">
        <v>0</v>
      </c>
      <c r="H2335" s="64">
        <v>0</v>
      </c>
      <c r="I2335" s="64">
        <v>0</v>
      </c>
    </row>
    <row r="2336" spans="1:9" s="213" customFormat="1" ht="14.1">
      <c r="A2336" s="374" t="s">
        <v>913</v>
      </c>
      <c r="B2336" s="228" t="s">
        <v>29</v>
      </c>
      <c r="C2336" s="240">
        <f t="shared" ref="C2336:C2341" si="495">D2336+E2336+F2336+G2336+H2336+I2336</f>
        <v>442</v>
      </c>
      <c r="D2336" s="240">
        <v>0</v>
      </c>
      <c r="E2336" s="240">
        <v>442</v>
      </c>
      <c r="F2336" s="240">
        <v>0</v>
      </c>
      <c r="G2336" s="240">
        <v>0</v>
      </c>
      <c r="H2336" s="240">
        <v>0</v>
      </c>
      <c r="I2336" s="240">
        <v>0</v>
      </c>
    </row>
    <row r="2337" spans="1:9" s="102" customFormat="1" ht="12.95">
      <c r="A2337" s="225"/>
      <c r="B2337" s="219" t="s">
        <v>30</v>
      </c>
      <c r="C2337" s="64">
        <f t="shared" si="495"/>
        <v>442</v>
      </c>
      <c r="D2337" s="64">
        <v>0</v>
      </c>
      <c r="E2337" s="64">
        <v>442</v>
      </c>
      <c r="F2337" s="64">
        <v>0</v>
      </c>
      <c r="G2337" s="64">
        <v>0</v>
      </c>
      <c r="H2337" s="64">
        <v>0</v>
      </c>
      <c r="I2337" s="64">
        <v>0</v>
      </c>
    </row>
    <row r="2338" spans="1:9" s="102" customFormat="1" ht="27" customHeight="1">
      <c r="A2338" s="542" t="s">
        <v>914</v>
      </c>
      <c r="B2338" s="233" t="s">
        <v>29</v>
      </c>
      <c r="C2338" s="64">
        <f t="shared" si="495"/>
        <v>528</v>
      </c>
      <c r="D2338" s="64">
        <f>D2340+D2342+D2344+D2346+D2348+D2350+D2352+D2354+D2356+D2358+D2360+D2362</f>
        <v>0</v>
      </c>
      <c r="E2338" s="64">
        <f t="shared" ref="E2338:I2338" si="496">E2340+E2342+E2344+E2346+E2348+E2350+E2352+E2354+E2356+E2358+E2360+E2362</f>
        <v>528</v>
      </c>
      <c r="F2338" s="64">
        <f t="shared" si="496"/>
        <v>0</v>
      </c>
      <c r="G2338" s="64">
        <f t="shared" si="496"/>
        <v>0</v>
      </c>
      <c r="H2338" s="64">
        <f t="shared" si="496"/>
        <v>0</v>
      </c>
      <c r="I2338" s="64">
        <f t="shared" si="496"/>
        <v>0</v>
      </c>
    </row>
    <row r="2339" spans="1:9" s="102" customFormat="1" ht="12.95">
      <c r="A2339" s="225"/>
      <c r="B2339" s="234" t="s">
        <v>30</v>
      </c>
      <c r="C2339" s="64">
        <f t="shared" si="495"/>
        <v>528</v>
      </c>
      <c r="D2339" s="64">
        <f>D2341+D2343+D2345+D2347+D2349+D2351+D2353+D2355+D2357+D2359+D2361+D2363</f>
        <v>0</v>
      </c>
      <c r="E2339" s="64">
        <f t="shared" ref="E2339:I2339" si="497">E2341+E2343+E2345+E2347+E2349+E2351+E2353+E2355+E2357+E2359+E2361+E2363</f>
        <v>528</v>
      </c>
      <c r="F2339" s="64">
        <f t="shared" si="497"/>
        <v>0</v>
      </c>
      <c r="G2339" s="64">
        <f t="shared" si="497"/>
        <v>0</v>
      </c>
      <c r="H2339" s="64">
        <f t="shared" si="497"/>
        <v>0</v>
      </c>
      <c r="I2339" s="64">
        <f t="shared" si="497"/>
        <v>0</v>
      </c>
    </row>
    <row r="2340" spans="1:9" s="213" customFormat="1" ht="14.1">
      <c r="A2340" s="543" t="s">
        <v>915</v>
      </c>
      <c r="B2340" s="228" t="s">
        <v>29</v>
      </c>
      <c r="C2340" s="240">
        <f t="shared" si="495"/>
        <v>85</v>
      </c>
      <c r="D2340" s="240">
        <v>0</v>
      </c>
      <c r="E2340" s="240">
        <v>85</v>
      </c>
      <c r="F2340" s="240">
        <v>0</v>
      </c>
      <c r="G2340" s="240">
        <v>0</v>
      </c>
      <c r="H2340" s="240">
        <v>0</v>
      </c>
      <c r="I2340" s="240">
        <v>0</v>
      </c>
    </row>
    <row r="2341" spans="1:9" s="102" customFormat="1" ht="12.95">
      <c r="A2341" s="225"/>
      <c r="B2341" s="219" t="s">
        <v>30</v>
      </c>
      <c r="C2341" s="64">
        <f t="shared" si="495"/>
        <v>85</v>
      </c>
      <c r="D2341" s="64">
        <v>0</v>
      </c>
      <c r="E2341" s="64">
        <v>85</v>
      </c>
      <c r="F2341" s="64">
        <v>0</v>
      </c>
      <c r="G2341" s="64">
        <v>0</v>
      </c>
      <c r="H2341" s="64">
        <v>0</v>
      </c>
      <c r="I2341" s="64">
        <v>0</v>
      </c>
    </row>
    <row r="2342" spans="1:9" s="213" customFormat="1" ht="14.1">
      <c r="A2342" s="453" t="s">
        <v>916</v>
      </c>
      <c r="B2342" s="228" t="s">
        <v>29</v>
      </c>
      <c r="C2342" s="240">
        <f t="shared" ref="C2342:C2345" si="498">D2342+E2342+F2342+G2342+H2342+I2342</f>
        <v>20</v>
      </c>
      <c r="D2342" s="240">
        <v>0</v>
      </c>
      <c r="E2342" s="240">
        <v>20</v>
      </c>
      <c r="F2342" s="240">
        <v>0</v>
      </c>
      <c r="G2342" s="240">
        <v>0</v>
      </c>
      <c r="H2342" s="240">
        <v>0</v>
      </c>
      <c r="I2342" s="240">
        <v>0</v>
      </c>
    </row>
    <row r="2343" spans="1:9" s="102" customFormat="1" ht="12.95">
      <c r="A2343" s="225"/>
      <c r="B2343" s="219" t="s">
        <v>30</v>
      </c>
      <c r="C2343" s="64">
        <f t="shared" si="498"/>
        <v>20</v>
      </c>
      <c r="D2343" s="64">
        <v>0</v>
      </c>
      <c r="E2343" s="64">
        <v>20</v>
      </c>
      <c r="F2343" s="64">
        <v>0</v>
      </c>
      <c r="G2343" s="64">
        <v>0</v>
      </c>
      <c r="H2343" s="64">
        <v>0</v>
      </c>
      <c r="I2343" s="64">
        <v>0</v>
      </c>
    </row>
    <row r="2344" spans="1:9" s="213" customFormat="1" ht="14.1">
      <c r="A2344" s="453" t="s">
        <v>917</v>
      </c>
      <c r="B2344" s="228" t="s">
        <v>29</v>
      </c>
      <c r="C2344" s="240">
        <f t="shared" si="498"/>
        <v>7</v>
      </c>
      <c r="D2344" s="240">
        <v>0</v>
      </c>
      <c r="E2344" s="240">
        <v>7</v>
      </c>
      <c r="F2344" s="240">
        <v>0</v>
      </c>
      <c r="G2344" s="240">
        <v>0</v>
      </c>
      <c r="H2344" s="240">
        <v>0</v>
      </c>
      <c r="I2344" s="240">
        <v>0</v>
      </c>
    </row>
    <row r="2345" spans="1:9" s="102" customFormat="1" ht="12.95">
      <c r="A2345" s="225"/>
      <c r="B2345" s="219" t="s">
        <v>30</v>
      </c>
      <c r="C2345" s="64">
        <f t="shared" si="498"/>
        <v>7</v>
      </c>
      <c r="D2345" s="64">
        <v>0</v>
      </c>
      <c r="E2345" s="64">
        <v>7</v>
      </c>
      <c r="F2345" s="64">
        <v>0</v>
      </c>
      <c r="G2345" s="64">
        <v>0</v>
      </c>
      <c r="H2345" s="64">
        <v>0</v>
      </c>
      <c r="I2345" s="64">
        <v>0</v>
      </c>
    </row>
    <row r="2346" spans="1:9" s="213" customFormat="1" ht="28.35">
      <c r="A2346" s="547" t="s">
        <v>918</v>
      </c>
      <c r="B2346" s="228" t="s">
        <v>29</v>
      </c>
      <c r="C2346" s="240">
        <f t="shared" ref="C2346:C2349" si="499">D2346+E2346+F2346+G2346+H2346+I2346</f>
        <v>37</v>
      </c>
      <c r="D2346" s="240">
        <v>0</v>
      </c>
      <c r="E2346" s="240">
        <v>37</v>
      </c>
      <c r="F2346" s="240">
        <v>0</v>
      </c>
      <c r="G2346" s="240">
        <v>0</v>
      </c>
      <c r="H2346" s="240">
        <v>0</v>
      </c>
      <c r="I2346" s="240">
        <v>0</v>
      </c>
    </row>
    <row r="2347" spans="1:9" s="102" customFormat="1" ht="12.95">
      <c r="A2347" s="225"/>
      <c r="B2347" s="219" t="s">
        <v>30</v>
      </c>
      <c r="C2347" s="64">
        <f t="shared" si="499"/>
        <v>37</v>
      </c>
      <c r="D2347" s="64">
        <v>0</v>
      </c>
      <c r="E2347" s="64">
        <v>37</v>
      </c>
      <c r="F2347" s="64">
        <v>0</v>
      </c>
      <c r="G2347" s="64">
        <v>0</v>
      </c>
      <c r="H2347" s="64">
        <v>0</v>
      </c>
      <c r="I2347" s="64">
        <v>0</v>
      </c>
    </row>
    <row r="2348" spans="1:9" s="213" customFormat="1" ht="28.35">
      <c r="A2348" s="547" t="s">
        <v>919</v>
      </c>
      <c r="B2348" s="228" t="s">
        <v>29</v>
      </c>
      <c r="C2348" s="240">
        <f t="shared" si="499"/>
        <v>17</v>
      </c>
      <c r="D2348" s="240">
        <v>0</v>
      </c>
      <c r="E2348" s="240">
        <v>17</v>
      </c>
      <c r="F2348" s="240">
        <v>0</v>
      </c>
      <c r="G2348" s="240">
        <v>0</v>
      </c>
      <c r="H2348" s="240">
        <v>0</v>
      </c>
      <c r="I2348" s="240">
        <v>0</v>
      </c>
    </row>
    <row r="2349" spans="1:9" s="102" customFormat="1" ht="12.95">
      <c r="A2349" s="225"/>
      <c r="B2349" s="219" t="s">
        <v>30</v>
      </c>
      <c r="C2349" s="64">
        <f t="shared" si="499"/>
        <v>17</v>
      </c>
      <c r="D2349" s="64">
        <v>0</v>
      </c>
      <c r="E2349" s="64">
        <v>17</v>
      </c>
      <c r="F2349" s="64">
        <v>0</v>
      </c>
      <c r="G2349" s="64">
        <v>0</v>
      </c>
      <c r="H2349" s="64">
        <v>0</v>
      </c>
      <c r="I2349" s="64">
        <v>0</v>
      </c>
    </row>
    <row r="2350" spans="1:9" s="213" customFormat="1" ht="28.35">
      <c r="A2350" s="547" t="s">
        <v>920</v>
      </c>
      <c r="B2350" s="228" t="s">
        <v>29</v>
      </c>
      <c r="C2350" s="240">
        <f t="shared" ref="C2350:C2355" si="500">D2350+E2350+F2350+G2350+H2350+I2350</f>
        <v>27</v>
      </c>
      <c r="D2350" s="240">
        <v>0</v>
      </c>
      <c r="E2350" s="240">
        <v>27</v>
      </c>
      <c r="F2350" s="240">
        <v>0</v>
      </c>
      <c r="G2350" s="240">
        <v>0</v>
      </c>
      <c r="H2350" s="240">
        <v>0</v>
      </c>
      <c r="I2350" s="240">
        <v>0</v>
      </c>
    </row>
    <row r="2351" spans="1:9" s="102" customFormat="1" ht="12.95">
      <c r="A2351" s="225"/>
      <c r="B2351" s="219" t="s">
        <v>30</v>
      </c>
      <c r="C2351" s="64">
        <f t="shared" si="500"/>
        <v>27</v>
      </c>
      <c r="D2351" s="64">
        <v>0</v>
      </c>
      <c r="E2351" s="64">
        <v>27</v>
      </c>
      <c r="F2351" s="64">
        <v>0</v>
      </c>
      <c r="G2351" s="64">
        <v>0</v>
      </c>
      <c r="H2351" s="64">
        <v>0</v>
      </c>
      <c r="I2351" s="64">
        <v>0</v>
      </c>
    </row>
    <row r="2352" spans="1:9" s="213" customFormat="1" ht="28.35">
      <c r="A2352" s="547" t="s">
        <v>921</v>
      </c>
      <c r="B2352" s="228" t="s">
        <v>29</v>
      </c>
      <c r="C2352" s="240">
        <f t="shared" si="500"/>
        <v>6</v>
      </c>
      <c r="D2352" s="240">
        <v>0</v>
      </c>
      <c r="E2352" s="240">
        <v>6</v>
      </c>
      <c r="F2352" s="240">
        <v>0</v>
      </c>
      <c r="G2352" s="240">
        <v>0</v>
      </c>
      <c r="H2352" s="240">
        <v>0</v>
      </c>
      <c r="I2352" s="240">
        <v>0</v>
      </c>
    </row>
    <row r="2353" spans="1:12" s="102" customFormat="1" ht="12.95">
      <c r="A2353" s="225"/>
      <c r="B2353" s="219" t="s">
        <v>30</v>
      </c>
      <c r="C2353" s="64">
        <f t="shared" si="500"/>
        <v>6</v>
      </c>
      <c r="D2353" s="64">
        <v>0</v>
      </c>
      <c r="E2353" s="64">
        <v>6</v>
      </c>
      <c r="F2353" s="64">
        <v>0</v>
      </c>
      <c r="G2353" s="64">
        <v>0</v>
      </c>
      <c r="H2353" s="64">
        <v>0</v>
      </c>
      <c r="I2353" s="64">
        <v>0</v>
      </c>
    </row>
    <row r="2354" spans="1:12" s="213" customFormat="1" ht="14.1">
      <c r="A2354" s="453" t="s">
        <v>922</v>
      </c>
      <c r="B2354" s="228" t="s">
        <v>29</v>
      </c>
      <c r="C2354" s="240">
        <f t="shared" si="500"/>
        <v>52</v>
      </c>
      <c r="D2354" s="240">
        <v>0</v>
      </c>
      <c r="E2354" s="240">
        <v>52</v>
      </c>
      <c r="F2354" s="240">
        <v>0</v>
      </c>
      <c r="G2354" s="240">
        <v>0</v>
      </c>
      <c r="H2354" s="240">
        <v>0</v>
      </c>
      <c r="I2354" s="240">
        <v>0</v>
      </c>
    </row>
    <row r="2355" spans="1:12" s="102" customFormat="1" ht="12.95">
      <c r="A2355" s="225"/>
      <c r="B2355" s="219" t="s">
        <v>30</v>
      </c>
      <c r="C2355" s="64">
        <f t="shared" si="500"/>
        <v>52</v>
      </c>
      <c r="D2355" s="64">
        <v>0</v>
      </c>
      <c r="E2355" s="64">
        <v>52</v>
      </c>
      <c r="F2355" s="64">
        <v>0</v>
      </c>
      <c r="G2355" s="64">
        <v>0</v>
      </c>
      <c r="H2355" s="64">
        <v>0</v>
      </c>
      <c r="I2355" s="64">
        <v>0</v>
      </c>
    </row>
    <row r="2356" spans="1:12" s="213" customFormat="1" ht="14.1">
      <c r="A2356" s="453" t="s">
        <v>923</v>
      </c>
      <c r="B2356" s="228" t="s">
        <v>29</v>
      </c>
      <c r="C2356" s="240">
        <f t="shared" ref="C2356:C2359" si="501">D2356+E2356+F2356+G2356+H2356+I2356</f>
        <v>14</v>
      </c>
      <c r="D2356" s="240">
        <v>0</v>
      </c>
      <c r="E2356" s="240">
        <v>14</v>
      </c>
      <c r="F2356" s="240">
        <v>0</v>
      </c>
      <c r="G2356" s="240">
        <v>0</v>
      </c>
      <c r="H2356" s="240">
        <v>0</v>
      </c>
      <c r="I2356" s="240">
        <v>0</v>
      </c>
    </row>
    <row r="2357" spans="1:12" s="102" customFormat="1" ht="12.95">
      <c r="A2357" s="225"/>
      <c r="B2357" s="219" t="s">
        <v>30</v>
      </c>
      <c r="C2357" s="64">
        <f t="shared" si="501"/>
        <v>14</v>
      </c>
      <c r="D2357" s="64">
        <v>0</v>
      </c>
      <c r="E2357" s="64">
        <v>14</v>
      </c>
      <c r="F2357" s="64">
        <v>0</v>
      </c>
      <c r="G2357" s="64">
        <v>0</v>
      </c>
      <c r="H2357" s="64">
        <v>0</v>
      </c>
      <c r="I2357" s="64">
        <v>0</v>
      </c>
    </row>
    <row r="2358" spans="1:12" s="213" customFormat="1" ht="14.1">
      <c r="A2358" s="453" t="s">
        <v>924</v>
      </c>
      <c r="B2358" s="228" t="s">
        <v>29</v>
      </c>
      <c r="C2358" s="240">
        <f t="shared" si="501"/>
        <v>14</v>
      </c>
      <c r="D2358" s="240">
        <v>0</v>
      </c>
      <c r="E2358" s="240">
        <v>14</v>
      </c>
      <c r="F2358" s="240">
        <v>0</v>
      </c>
      <c r="G2358" s="240">
        <v>0</v>
      </c>
      <c r="H2358" s="240">
        <v>0</v>
      </c>
      <c r="I2358" s="240">
        <v>0</v>
      </c>
    </row>
    <row r="2359" spans="1:12" s="102" customFormat="1" ht="12.95">
      <c r="A2359" s="225"/>
      <c r="B2359" s="219" t="s">
        <v>30</v>
      </c>
      <c r="C2359" s="64">
        <f t="shared" si="501"/>
        <v>14</v>
      </c>
      <c r="D2359" s="64">
        <v>0</v>
      </c>
      <c r="E2359" s="64">
        <v>14</v>
      </c>
      <c r="F2359" s="64">
        <v>0</v>
      </c>
      <c r="G2359" s="64">
        <v>0</v>
      </c>
      <c r="H2359" s="64">
        <v>0</v>
      </c>
      <c r="I2359" s="64">
        <v>0</v>
      </c>
    </row>
    <row r="2360" spans="1:12" s="213" customFormat="1" ht="29.25" customHeight="1">
      <c r="A2360" s="545" t="s">
        <v>925</v>
      </c>
      <c r="B2360" s="228" t="s">
        <v>29</v>
      </c>
      <c r="C2360" s="240">
        <f t="shared" ref="C2360:C2361" si="502">D2360+E2360+F2360+G2360+H2360+I2360</f>
        <v>172</v>
      </c>
      <c r="D2360" s="240">
        <v>0</v>
      </c>
      <c r="E2360" s="240">
        <v>172</v>
      </c>
      <c r="F2360" s="240">
        <v>0</v>
      </c>
      <c r="G2360" s="240">
        <v>0</v>
      </c>
      <c r="H2360" s="240">
        <v>0</v>
      </c>
      <c r="I2360" s="240">
        <v>0</v>
      </c>
    </row>
    <row r="2361" spans="1:12" s="102" customFormat="1" ht="12.95">
      <c r="A2361" s="225"/>
      <c r="B2361" s="219" t="s">
        <v>30</v>
      </c>
      <c r="C2361" s="64">
        <f t="shared" si="502"/>
        <v>172</v>
      </c>
      <c r="D2361" s="64">
        <v>0</v>
      </c>
      <c r="E2361" s="64">
        <v>172</v>
      </c>
      <c r="F2361" s="64">
        <v>0</v>
      </c>
      <c r="G2361" s="64">
        <v>0</v>
      </c>
      <c r="H2361" s="64">
        <v>0</v>
      </c>
      <c r="I2361" s="64">
        <v>0</v>
      </c>
    </row>
    <row r="2362" spans="1:12" s="213" customFormat="1" ht="14.1">
      <c r="A2362" s="545" t="s">
        <v>926</v>
      </c>
      <c r="B2362" s="228" t="s">
        <v>29</v>
      </c>
      <c r="C2362" s="240">
        <f t="shared" ref="C2362:C2363" si="503">D2362+E2362+F2362+G2362+H2362+I2362</f>
        <v>77</v>
      </c>
      <c r="D2362" s="240">
        <v>0</v>
      </c>
      <c r="E2362" s="240">
        <v>77</v>
      </c>
      <c r="F2362" s="240">
        <v>0</v>
      </c>
      <c r="G2362" s="240">
        <v>0</v>
      </c>
      <c r="H2362" s="240">
        <v>0</v>
      </c>
      <c r="I2362" s="240">
        <v>0</v>
      </c>
    </row>
    <row r="2363" spans="1:12" s="102" customFormat="1" ht="12.95">
      <c r="A2363" s="225"/>
      <c r="B2363" s="219" t="s">
        <v>30</v>
      </c>
      <c r="C2363" s="64">
        <f t="shared" si="503"/>
        <v>77</v>
      </c>
      <c r="D2363" s="64">
        <v>0</v>
      </c>
      <c r="E2363" s="64">
        <v>77</v>
      </c>
      <c r="F2363" s="64">
        <v>0</v>
      </c>
      <c r="G2363" s="64">
        <v>0</v>
      </c>
      <c r="H2363" s="64">
        <v>0</v>
      </c>
      <c r="I2363" s="64">
        <v>0</v>
      </c>
    </row>
    <row r="2364" spans="1:12" s="95" customFormat="1">
      <c r="A2364" s="47" t="s">
        <v>52</v>
      </c>
      <c r="B2364" s="138" t="s">
        <v>29</v>
      </c>
      <c r="C2364" s="130">
        <f t="shared" si="483"/>
        <v>900.41</v>
      </c>
      <c r="D2364" s="130">
        <f>D2366</f>
        <v>900.41</v>
      </c>
      <c r="E2364" s="130">
        <f t="shared" ref="E2364:I2367" si="504">E2366</f>
        <v>0</v>
      </c>
      <c r="F2364" s="130">
        <f t="shared" si="504"/>
        <v>0</v>
      </c>
      <c r="G2364" s="130">
        <f t="shared" si="504"/>
        <v>0</v>
      </c>
      <c r="H2364" s="130">
        <f t="shared" si="504"/>
        <v>0</v>
      </c>
      <c r="I2364" s="130">
        <f t="shared" si="504"/>
        <v>0</v>
      </c>
    </row>
    <row r="2365" spans="1:12" s="95" customFormat="1">
      <c r="A2365" s="131"/>
      <c r="B2365" s="139" t="s">
        <v>30</v>
      </c>
      <c r="C2365" s="130">
        <f t="shared" si="483"/>
        <v>900.41</v>
      </c>
      <c r="D2365" s="130">
        <f>D2367</f>
        <v>900.41</v>
      </c>
      <c r="E2365" s="130">
        <f t="shared" si="504"/>
        <v>0</v>
      </c>
      <c r="F2365" s="130">
        <f t="shared" si="504"/>
        <v>0</v>
      </c>
      <c r="G2365" s="130">
        <f t="shared" si="504"/>
        <v>0</v>
      </c>
      <c r="H2365" s="130">
        <f t="shared" si="504"/>
        <v>0</v>
      </c>
      <c r="I2365" s="130">
        <f t="shared" si="504"/>
        <v>0</v>
      </c>
    </row>
    <row r="2366" spans="1:12" s="102" customFormat="1" ht="24.95">
      <c r="A2366" s="274" t="s">
        <v>554</v>
      </c>
      <c r="B2366" s="233" t="s">
        <v>29</v>
      </c>
      <c r="C2366" s="64">
        <f t="shared" si="483"/>
        <v>900.41</v>
      </c>
      <c r="D2366" s="64">
        <f>D2368</f>
        <v>900.41</v>
      </c>
      <c r="E2366" s="64">
        <f t="shared" si="504"/>
        <v>0</v>
      </c>
      <c r="F2366" s="64">
        <f t="shared" si="504"/>
        <v>0</v>
      </c>
      <c r="G2366" s="64">
        <f t="shared" si="504"/>
        <v>0</v>
      </c>
      <c r="H2366" s="64">
        <f t="shared" si="504"/>
        <v>0</v>
      </c>
      <c r="I2366" s="64">
        <f t="shared" si="504"/>
        <v>0</v>
      </c>
    </row>
    <row r="2367" spans="1:12" s="102" customFormat="1" ht="12.95">
      <c r="A2367" s="225"/>
      <c r="B2367" s="234" t="s">
        <v>30</v>
      </c>
      <c r="C2367" s="64">
        <f t="shared" si="483"/>
        <v>900.41</v>
      </c>
      <c r="D2367" s="64">
        <f>D2369</f>
        <v>900.41</v>
      </c>
      <c r="E2367" s="64">
        <f t="shared" si="504"/>
        <v>0</v>
      </c>
      <c r="F2367" s="64">
        <f t="shared" si="504"/>
        <v>0</v>
      </c>
      <c r="G2367" s="64">
        <f t="shared" si="504"/>
        <v>0</v>
      </c>
      <c r="H2367" s="64">
        <f t="shared" si="504"/>
        <v>0</v>
      </c>
      <c r="I2367" s="64">
        <f t="shared" si="504"/>
        <v>0</v>
      </c>
    </row>
    <row r="2368" spans="1:12" s="212" customFormat="1" ht="14.1">
      <c r="A2368" s="493" t="s">
        <v>927</v>
      </c>
      <c r="B2368" s="228" t="s">
        <v>29</v>
      </c>
      <c r="C2368" s="240">
        <f t="shared" si="483"/>
        <v>900.41</v>
      </c>
      <c r="D2368" s="240">
        <f>892.61+7.8</f>
        <v>900.41</v>
      </c>
      <c r="E2368" s="240">
        <v>0</v>
      </c>
      <c r="F2368" s="240">
        <v>0</v>
      </c>
      <c r="G2368" s="240">
        <v>0</v>
      </c>
      <c r="H2368" s="240">
        <v>0</v>
      </c>
      <c r="I2368" s="240">
        <v>0</v>
      </c>
      <c r="J2368" s="594" t="s">
        <v>928</v>
      </c>
      <c r="K2368" s="595"/>
      <c r="L2368" s="595"/>
    </row>
    <row r="2369" spans="1:17" s="213" customFormat="1" ht="12.95">
      <c r="A2369" s="225"/>
      <c r="B2369" s="219" t="s">
        <v>30</v>
      </c>
      <c r="C2369" s="240">
        <f t="shared" si="483"/>
        <v>900.41</v>
      </c>
      <c r="D2369" s="240">
        <f>892.61+7.8</f>
        <v>900.41</v>
      </c>
      <c r="E2369" s="240">
        <v>0</v>
      </c>
      <c r="F2369" s="240">
        <v>0</v>
      </c>
      <c r="G2369" s="240">
        <v>0</v>
      </c>
      <c r="H2369" s="240">
        <v>0</v>
      </c>
      <c r="I2369" s="240">
        <v>0</v>
      </c>
      <c r="J2369" s="594"/>
      <c r="K2369" s="595"/>
      <c r="L2369" s="595"/>
    </row>
    <row r="2370" spans="1:17" s="119" customFormat="1">
      <c r="A2370" s="104" t="s">
        <v>478</v>
      </c>
      <c r="B2370" s="136" t="s">
        <v>29</v>
      </c>
      <c r="C2370" s="125">
        <f t="shared" si="483"/>
        <v>9406</v>
      </c>
      <c r="D2370" s="125">
        <f>D2372</f>
        <v>2210</v>
      </c>
      <c r="E2370" s="125">
        <f>E2372</f>
        <v>1739</v>
      </c>
      <c r="F2370" s="125">
        <f t="shared" ref="E2370:I2375" si="505">F2372</f>
        <v>2565</v>
      </c>
      <c r="G2370" s="125">
        <f t="shared" si="505"/>
        <v>2300</v>
      </c>
      <c r="H2370" s="125">
        <f t="shared" si="505"/>
        <v>0</v>
      </c>
      <c r="I2370" s="125">
        <f t="shared" si="505"/>
        <v>592</v>
      </c>
    </row>
    <row r="2371" spans="1:17" s="119" customFormat="1">
      <c r="A2371" s="88" t="s">
        <v>32</v>
      </c>
      <c r="B2371" s="137" t="s">
        <v>30</v>
      </c>
      <c r="C2371" s="125">
        <f t="shared" si="483"/>
        <v>9406</v>
      </c>
      <c r="D2371" s="125">
        <f>D2373</f>
        <v>2210</v>
      </c>
      <c r="E2371" s="125">
        <f t="shared" si="505"/>
        <v>1739</v>
      </c>
      <c r="F2371" s="125">
        <f t="shared" si="505"/>
        <v>2565</v>
      </c>
      <c r="G2371" s="125">
        <f t="shared" si="505"/>
        <v>2300</v>
      </c>
      <c r="H2371" s="125">
        <f t="shared" si="505"/>
        <v>0</v>
      </c>
      <c r="I2371" s="125">
        <f t="shared" si="505"/>
        <v>592</v>
      </c>
    </row>
    <row r="2372" spans="1:17" s="119" customFormat="1" ht="12.95">
      <c r="A2372" s="89" t="s">
        <v>37</v>
      </c>
      <c r="B2372" s="90" t="s">
        <v>29</v>
      </c>
      <c r="C2372" s="83">
        <f t="shared" si="483"/>
        <v>9406</v>
      </c>
      <c r="D2372" s="78">
        <f>D2374</f>
        <v>2210</v>
      </c>
      <c r="E2372" s="78">
        <f t="shared" si="505"/>
        <v>1739</v>
      </c>
      <c r="F2372" s="78">
        <f t="shared" si="505"/>
        <v>2565</v>
      </c>
      <c r="G2372" s="78">
        <f t="shared" si="505"/>
        <v>2300</v>
      </c>
      <c r="H2372" s="78">
        <f t="shared" si="505"/>
        <v>0</v>
      </c>
      <c r="I2372" s="78">
        <f t="shared" si="505"/>
        <v>592</v>
      </c>
    </row>
    <row r="2373" spans="1:17" s="119" customFormat="1" ht="12.95">
      <c r="A2373" s="91"/>
      <c r="B2373" s="164" t="s">
        <v>30</v>
      </c>
      <c r="C2373" s="83">
        <f t="shared" si="483"/>
        <v>9406</v>
      </c>
      <c r="D2373" s="78">
        <f>D2375</f>
        <v>2210</v>
      </c>
      <c r="E2373" s="78">
        <f t="shared" si="505"/>
        <v>1739</v>
      </c>
      <c r="F2373" s="78">
        <f t="shared" si="505"/>
        <v>2565</v>
      </c>
      <c r="G2373" s="78">
        <f t="shared" si="505"/>
        <v>2300</v>
      </c>
      <c r="H2373" s="78">
        <f t="shared" si="505"/>
        <v>0</v>
      </c>
      <c r="I2373" s="78">
        <f t="shared" si="505"/>
        <v>592</v>
      </c>
    </row>
    <row r="2374" spans="1:17" s="119" customFormat="1">
      <c r="A2374" s="109" t="s">
        <v>50</v>
      </c>
      <c r="B2374" s="115" t="s">
        <v>29</v>
      </c>
      <c r="C2374" s="83">
        <f t="shared" si="483"/>
        <v>9406</v>
      </c>
      <c r="D2374" s="78">
        <f>D2376</f>
        <v>2210</v>
      </c>
      <c r="E2374" s="78">
        <f t="shared" si="505"/>
        <v>1739</v>
      </c>
      <c r="F2374" s="78">
        <f t="shared" si="505"/>
        <v>2565</v>
      </c>
      <c r="G2374" s="78">
        <f t="shared" si="505"/>
        <v>2300</v>
      </c>
      <c r="H2374" s="78">
        <f t="shared" si="505"/>
        <v>0</v>
      </c>
      <c r="I2374" s="78">
        <f t="shared" si="505"/>
        <v>592</v>
      </c>
    </row>
    <row r="2375" spans="1:17" s="119" customFormat="1">
      <c r="A2375" s="88"/>
      <c r="B2375" s="118" t="s">
        <v>30</v>
      </c>
      <c r="C2375" s="83">
        <f t="shared" si="483"/>
        <v>9406</v>
      </c>
      <c r="D2375" s="78">
        <f>D2377</f>
        <v>2210</v>
      </c>
      <c r="E2375" s="78">
        <f t="shared" si="505"/>
        <v>1739</v>
      </c>
      <c r="F2375" s="78">
        <f t="shared" si="505"/>
        <v>2565</v>
      </c>
      <c r="G2375" s="78">
        <f t="shared" si="505"/>
        <v>2300</v>
      </c>
      <c r="H2375" s="78">
        <f t="shared" si="505"/>
        <v>0</v>
      </c>
      <c r="I2375" s="78">
        <f t="shared" si="505"/>
        <v>592</v>
      </c>
    </row>
    <row r="2376" spans="1:17" s="148" customFormat="1">
      <c r="A2376" s="104" t="s">
        <v>812</v>
      </c>
      <c r="B2376" s="136" t="s">
        <v>29</v>
      </c>
      <c r="C2376" s="125">
        <f t="shared" si="483"/>
        <v>9406</v>
      </c>
      <c r="D2376" s="125">
        <f>D2378+D2384+D2404+D2420</f>
        <v>2210</v>
      </c>
      <c r="E2376" s="125">
        <f t="shared" ref="E2376:I2377" si="506">E2378+E2384+E2404+E2420</f>
        <v>1739</v>
      </c>
      <c r="F2376" s="125">
        <f t="shared" si="506"/>
        <v>2565</v>
      </c>
      <c r="G2376" s="125">
        <f t="shared" si="506"/>
        <v>2300</v>
      </c>
      <c r="H2376" s="125">
        <f t="shared" si="506"/>
        <v>0</v>
      </c>
      <c r="I2376" s="125">
        <f t="shared" si="506"/>
        <v>592</v>
      </c>
    </row>
    <row r="2377" spans="1:17" s="148" customFormat="1">
      <c r="A2377" s="150"/>
      <c r="B2377" s="137" t="s">
        <v>30</v>
      </c>
      <c r="C2377" s="125">
        <f t="shared" si="483"/>
        <v>9406</v>
      </c>
      <c r="D2377" s="125">
        <f>D2379+D2385+D2405+D2421</f>
        <v>2210</v>
      </c>
      <c r="E2377" s="125">
        <f t="shared" si="506"/>
        <v>1739</v>
      </c>
      <c r="F2377" s="125">
        <f t="shared" si="506"/>
        <v>2565</v>
      </c>
      <c r="G2377" s="125">
        <f t="shared" si="506"/>
        <v>2300</v>
      </c>
      <c r="H2377" s="125">
        <f t="shared" si="506"/>
        <v>0</v>
      </c>
      <c r="I2377" s="125">
        <f t="shared" si="506"/>
        <v>592</v>
      </c>
    </row>
    <row r="2378" spans="1:17" s="119" customFormat="1">
      <c r="A2378" s="141" t="s">
        <v>929</v>
      </c>
      <c r="B2378" s="124" t="s">
        <v>29</v>
      </c>
      <c r="C2378" s="193">
        <f t="shared" si="483"/>
        <v>8498</v>
      </c>
      <c r="D2378" s="125">
        <f>D2380+D2382</f>
        <v>2041</v>
      </c>
      <c r="E2378" s="125">
        <f t="shared" ref="E2378:I2379" si="507">E2380+E2382</f>
        <v>1000</v>
      </c>
      <c r="F2378" s="125">
        <f t="shared" si="507"/>
        <v>2565</v>
      </c>
      <c r="G2378" s="125">
        <f t="shared" si="507"/>
        <v>2300</v>
      </c>
      <c r="H2378" s="125">
        <f t="shared" si="507"/>
        <v>0</v>
      </c>
      <c r="I2378" s="125">
        <f t="shared" si="507"/>
        <v>592</v>
      </c>
    </row>
    <row r="2379" spans="1:17" s="119" customFormat="1">
      <c r="A2379" s="120"/>
      <c r="B2379" s="127" t="s">
        <v>30</v>
      </c>
      <c r="C2379" s="193">
        <f t="shared" si="483"/>
        <v>8498</v>
      </c>
      <c r="D2379" s="125">
        <f>D2381+D2383</f>
        <v>2041</v>
      </c>
      <c r="E2379" s="125">
        <f t="shared" si="507"/>
        <v>1000</v>
      </c>
      <c r="F2379" s="125">
        <f t="shared" si="507"/>
        <v>2565</v>
      </c>
      <c r="G2379" s="125">
        <f t="shared" si="507"/>
        <v>2300</v>
      </c>
      <c r="H2379" s="125">
        <f t="shared" si="507"/>
        <v>0</v>
      </c>
      <c r="I2379" s="125">
        <f t="shared" si="507"/>
        <v>592</v>
      </c>
    </row>
    <row r="2380" spans="1:17" s="212" customFormat="1">
      <c r="A2380" s="321" t="s">
        <v>930</v>
      </c>
      <c r="B2380" s="237" t="s">
        <v>29</v>
      </c>
      <c r="C2380" s="271">
        <f t="shared" ref="C2380:C2435" si="508">D2380+E2380+F2380+G2380+H2380+I2380</f>
        <v>1796</v>
      </c>
      <c r="D2380" s="240">
        <f>2+6+20+222+1179+367</f>
        <v>1796</v>
      </c>
      <c r="E2380" s="240">
        <v>0</v>
      </c>
      <c r="F2380" s="240">
        <v>0</v>
      </c>
      <c r="G2380" s="240">
        <v>0</v>
      </c>
      <c r="H2380" s="240">
        <v>0</v>
      </c>
      <c r="I2380" s="240">
        <v>0</v>
      </c>
      <c r="J2380" s="596" t="s">
        <v>931</v>
      </c>
      <c r="K2380" s="597"/>
      <c r="L2380" s="597"/>
      <c r="M2380" s="597"/>
      <c r="N2380" s="597"/>
      <c r="O2380" s="597"/>
      <c r="P2380" s="597"/>
      <c r="Q2380" s="598"/>
    </row>
    <row r="2381" spans="1:17" s="213" customFormat="1">
      <c r="A2381" s="267"/>
      <c r="B2381" s="226" t="s">
        <v>30</v>
      </c>
      <c r="C2381" s="271">
        <f t="shared" si="508"/>
        <v>1796</v>
      </c>
      <c r="D2381" s="240">
        <f>2+6+20+222+1179+367</f>
        <v>1796</v>
      </c>
      <c r="E2381" s="240">
        <v>0</v>
      </c>
      <c r="F2381" s="240">
        <v>0</v>
      </c>
      <c r="G2381" s="240">
        <v>0</v>
      </c>
      <c r="H2381" s="240">
        <v>0</v>
      </c>
      <c r="I2381" s="240">
        <v>0</v>
      </c>
      <c r="J2381" s="596"/>
      <c r="K2381" s="597"/>
      <c r="L2381" s="597"/>
      <c r="M2381" s="597"/>
      <c r="N2381" s="597"/>
      <c r="O2381" s="597"/>
      <c r="P2381" s="597"/>
      <c r="Q2381" s="598"/>
    </row>
    <row r="2382" spans="1:17" s="212" customFormat="1" ht="14.1">
      <c r="A2382" s="362" t="s">
        <v>932</v>
      </c>
      <c r="B2382" s="237" t="s">
        <v>29</v>
      </c>
      <c r="C2382" s="271">
        <f t="shared" si="508"/>
        <v>6702</v>
      </c>
      <c r="D2382" s="240">
        <v>245</v>
      </c>
      <c r="E2382" s="240">
        <v>1000</v>
      </c>
      <c r="F2382" s="240">
        <v>2565</v>
      </c>
      <c r="G2382" s="240">
        <v>2300</v>
      </c>
      <c r="H2382" s="240">
        <v>0</v>
      </c>
      <c r="I2382" s="240">
        <f>6702-245-1500-2565-2300+500</f>
        <v>592</v>
      </c>
      <c r="J2382" s="580" t="s">
        <v>933</v>
      </c>
      <c r="K2382" s="581"/>
      <c r="L2382" s="581"/>
      <c r="M2382" s="581"/>
      <c r="N2382" s="581"/>
      <c r="O2382" s="581"/>
      <c r="P2382" s="581"/>
      <c r="Q2382" s="581"/>
    </row>
    <row r="2383" spans="1:17" s="213" customFormat="1">
      <c r="A2383" s="267"/>
      <c r="B2383" s="226" t="s">
        <v>30</v>
      </c>
      <c r="C2383" s="271">
        <f t="shared" si="508"/>
        <v>6702</v>
      </c>
      <c r="D2383" s="240">
        <v>245</v>
      </c>
      <c r="E2383" s="240">
        <v>1000</v>
      </c>
      <c r="F2383" s="240">
        <v>2565</v>
      </c>
      <c r="G2383" s="240">
        <v>2300</v>
      </c>
      <c r="H2383" s="240">
        <v>0</v>
      </c>
      <c r="I2383" s="240">
        <f>6702-245-1500-2565-2300+500</f>
        <v>592</v>
      </c>
      <c r="J2383" s="580"/>
      <c r="K2383" s="581"/>
      <c r="L2383" s="581"/>
      <c r="M2383" s="581"/>
      <c r="N2383" s="581"/>
      <c r="O2383" s="581"/>
      <c r="P2383" s="581"/>
      <c r="Q2383" s="581"/>
    </row>
    <row r="2384" spans="1:17" s="148" customFormat="1" ht="14.1">
      <c r="A2384" s="494" t="s">
        <v>934</v>
      </c>
      <c r="B2384" s="63" t="s">
        <v>29</v>
      </c>
      <c r="C2384" s="272">
        <f t="shared" si="508"/>
        <v>829</v>
      </c>
      <c r="D2384" s="125">
        <f>D2398+D2400+D2402</f>
        <v>169</v>
      </c>
      <c r="E2384" s="125">
        <f t="shared" ref="E2384:I2385" si="509">E2398+E2400+E2402</f>
        <v>660</v>
      </c>
      <c r="F2384" s="125">
        <f t="shared" si="509"/>
        <v>0</v>
      </c>
      <c r="G2384" s="125">
        <f t="shared" si="509"/>
        <v>0</v>
      </c>
      <c r="H2384" s="125">
        <f t="shared" si="509"/>
        <v>0</v>
      </c>
      <c r="I2384" s="125">
        <f t="shared" si="509"/>
        <v>0</v>
      </c>
    </row>
    <row r="2385" spans="1:15" s="119" customFormat="1" ht="12.95">
      <c r="A2385" s="229"/>
      <c r="B2385" s="62" t="s">
        <v>30</v>
      </c>
      <c r="C2385" s="272">
        <f t="shared" si="508"/>
        <v>829</v>
      </c>
      <c r="D2385" s="125">
        <f>D2399+D2401+D2403</f>
        <v>169</v>
      </c>
      <c r="E2385" s="125">
        <f t="shared" si="509"/>
        <v>660</v>
      </c>
      <c r="F2385" s="125">
        <f t="shared" si="509"/>
        <v>0</v>
      </c>
      <c r="G2385" s="125">
        <f t="shared" si="509"/>
        <v>0</v>
      </c>
      <c r="H2385" s="125">
        <f t="shared" si="509"/>
        <v>0</v>
      </c>
      <c r="I2385" s="125">
        <f t="shared" si="509"/>
        <v>0</v>
      </c>
    </row>
    <row r="2386" spans="1:15" hidden="1">
      <c r="A2386" s="11" t="s">
        <v>54</v>
      </c>
      <c r="B2386" s="63" t="s">
        <v>29</v>
      </c>
      <c r="C2386" s="64">
        <f t="shared" si="508"/>
        <v>0</v>
      </c>
      <c r="D2386" s="64">
        <f>D2388</f>
        <v>0</v>
      </c>
      <c r="E2386" s="64">
        <f>E2388</f>
        <v>0</v>
      </c>
      <c r="F2386" s="64">
        <f t="shared" ref="F2386:I2387" si="510">F2388</f>
        <v>0</v>
      </c>
      <c r="G2386" s="64">
        <f t="shared" si="510"/>
        <v>0</v>
      </c>
      <c r="H2386" s="64">
        <f t="shared" si="510"/>
        <v>0</v>
      </c>
      <c r="I2386" s="64">
        <f t="shared" si="510"/>
        <v>0</v>
      </c>
    </row>
    <row r="2387" spans="1:15" hidden="1">
      <c r="A2387" s="12" t="s">
        <v>87</v>
      </c>
      <c r="B2387" s="62" t="s">
        <v>30</v>
      </c>
      <c r="C2387" s="64">
        <f t="shared" si="508"/>
        <v>0</v>
      </c>
      <c r="D2387" s="64">
        <f>D2389</f>
        <v>0</v>
      </c>
      <c r="E2387" s="64">
        <f>E2389</f>
        <v>0</v>
      </c>
      <c r="F2387" s="64">
        <f t="shared" si="510"/>
        <v>0</v>
      </c>
      <c r="G2387" s="64">
        <f t="shared" si="510"/>
        <v>0</v>
      </c>
      <c r="H2387" s="64">
        <f t="shared" si="510"/>
        <v>0</v>
      </c>
      <c r="I2387" s="64">
        <f t="shared" si="510"/>
        <v>0</v>
      </c>
    </row>
    <row r="2388" spans="1:15" hidden="1">
      <c r="A2388" s="58" t="s">
        <v>123</v>
      </c>
      <c r="B2388" s="63" t="s">
        <v>29</v>
      </c>
      <c r="C2388" s="64">
        <f t="shared" si="508"/>
        <v>0</v>
      </c>
      <c r="D2388" s="64">
        <f t="shared" ref="D2388:I2395" si="511">D2390</f>
        <v>0</v>
      </c>
      <c r="E2388" s="64">
        <f t="shared" si="511"/>
        <v>0</v>
      </c>
      <c r="F2388" s="64">
        <f t="shared" si="511"/>
        <v>0</v>
      </c>
      <c r="G2388" s="64">
        <f t="shared" si="511"/>
        <v>0</v>
      </c>
      <c r="H2388" s="64">
        <f t="shared" si="511"/>
        <v>0</v>
      </c>
      <c r="I2388" s="64">
        <f t="shared" si="511"/>
        <v>0</v>
      </c>
    </row>
    <row r="2389" spans="1:15" hidden="1">
      <c r="A2389" s="12" t="s">
        <v>124</v>
      </c>
      <c r="B2389" s="62" t="s">
        <v>30</v>
      </c>
      <c r="C2389" s="64">
        <f t="shared" si="508"/>
        <v>0</v>
      </c>
      <c r="D2389" s="64">
        <f t="shared" si="511"/>
        <v>0</v>
      </c>
      <c r="E2389" s="64">
        <f t="shared" si="511"/>
        <v>0</v>
      </c>
      <c r="F2389" s="64">
        <f t="shared" si="511"/>
        <v>0</v>
      </c>
      <c r="G2389" s="64">
        <f t="shared" si="511"/>
        <v>0</v>
      </c>
      <c r="H2389" s="64">
        <f t="shared" si="511"/>
        <v>0</v>
      </c>
      <c r="I2389" s="64">
        <f t="shared" si="511"/>
        <v>0</v>
      </c>
    </row>
    <row r="2390" spans="1:15" ht="12.95" hidden="1">
      <c r="A2390" s="19" t="s">
        <v>37</v>
      </c>
      <c r="B2390" s="59" t="s">
        <v>29</v>
      </c>
      <c r="C2390" s="64">
        <f t="shared" si="508"/>
        <v>0</v>
      </c>
      <c r="D2390" s="64">
        <f t="shared" si="511"/>
        <v>0</v>
      </c>
      <c r="E2390" s="64">
        <f t="shared" si="511"/>
        <v>0</v>
      </c>
      <c r="F2390" s="64">
        <f t="shared" si="511"/>
        <v>0</v>
      </c>
      <c r="G2390" s="64">
        <f t="shared" si="511"/>
        <v>0</v>
      </c>
      <c r="H2390" s="64">
        <f t="shared" si="511"/>
        <v>0</v>
      </c>
      <c r="I2390" s="64">
        <f t="shared" si="511"/>
        <v>0</v>
      </c>
    </row>
    <row r="2391" spans="1:15" ht="12.95" hidden="1">
      <c r="A2391" s="16"/>
      <c r="B2391" s="62" t="s">
        <v>30</v>
      </c>
      <c r="C2391" s="64">
        <f t="shared" si="508"/>
        <v>0</v>
      </c>
      <c r="D2391" s="64">
        <f t="shared" si="511"/>
        <v>0</v>
      </c>
      <c r="E2391" s="64">
        <f t="shared" si="511"/>
        <v>0</v>
      </c>
      <c r="F2391" s="64">
        <f t="shared" si="511"/>
        <v>0</v>
      </c>
      <c r="G2391" s="64">
        <f t="shared" si="511"/>
        <v>0</v>
      </c>
      <c r="H2391" s="64">
        <f t="shared" si="511"/>
        <v>0</v>
      </c>
      <c r="I2391" s="64">
        <f t="shared" si="511"/>
        <v>0</v>
      </c>
    </row>
    <row r="2392" spans="1:15" hidden="1">
      <c r="A2392" s="13" t="s">
        <v>50</v>
      </c>
      <c r="B2392" s="298" t="s">
        <v>29</v>
      </c>
      <c r="C2392" s="64">
        <f t="shared" si="508"/>
        <v>0</v>
      </c>
      <c r="D2392" s="64">
        <f t="shared" si="511"/>
        <v>0</v>
      </c>
      <c r="E2392" s="64">
        <f t="shared" si="511"/>
        <v>0</v>
      </c>
      <c r="F2392" s="64">
        <f t="shared" si="511"/>
        <v>0</v>
      </c>
      <c r="G2392" s="64">
        <f t="shared" si="511"/>
        <v>0</v>
      </c>
      <c r="H2392" s="64">
        <f t="shared" si="511"/>
        <v>0</v>
      </c>
      <c r="I2392" s="64">
        <f t="shared" si="511"/>
        <v>0</v>
      </c>
    </row>
    <row r="2393" spans="1:15" hidden="1">
      <c r="A2393" s="12"/>
      <c r="B2393" s="495" t="s">
        <v>30</v>
      </c>
      <c r="C2393" s="64">
        <f t="shared" si="508"/>
        <v>0</v>
      </c>
      <c r="D2393" s="64">
        <f t="shared" si="511"/>
        <v>0</v>
      </c>
      <c r="E2393" s="64">
        <f t="shared" si="511"/>
        <v>0</v>
      </c>
      <c r="F2393" s="64">
        <f t="shared" si="511"/>
        <v>0</v>
      </c>
      <c r="G2393" s="64">
        <f t="shared" si="511"/>
        <v>0</v>
      </c>
      <c r="H2393" s="64">
        <f t="shared" si="511"/>
        <v>0</v>
      </c>
      <c r="I2393" s="64">
        <f t="shared" si="511"/>
        <v>0</v>
      </c>
    </row>
    <row r="2394" spans="1:15" s="95" customFormat="1" hidden="1">
      <c r="A2394" s="96" t="s">
        <v>42</v>
      </c>
      <c r="B2394" s="151" t="s">
        <v>29</v>
      </c>
      <c r="C2394" s="130">
        <f t="shared" si="508"/>
        <v>0</v>
      </c>
      <c r="D2394" s="130">
        <f t="shared" si="511"/>
        <v>0</v>
      </c>
      <c r="E2394" s="130">
        <f t="shared" si="511"/>
        <v>0</v>
      </c>
      <c r="F2394" s="130">
        <f t="shared" si="511"/>
        <v>0</v>
      </c>
      <c r="G2394" s="130">
        <f t="shared" si="511"/>
        <v>0</v>
      </c>
      <c r="H2394" s="130">
        <f t="shared" si="511"/>
        <v>0</v>
      </c>
      <c r="I2394" s="130">
        <f t="shared" si="511"/>
        <v>0</v>
      </c>
    </row>
    <row r="2395" spans="1:15" s="95" customFormat="1" hidden="1">
      <c r="A2395" s="131"/>
      <c r="B2395" s="139" t="s">
        <v>30</v>
      </c>
      <c r="C2395" s="130">
        <f t="shared" si="508"/>
        <v>0</v>
      </c>
      <c r="D2395" s="130">
        <f t="shared" si="511"/>
        <v>0</v>
      </c>
      <c r="E2395" s="130">
        <f t="shared" si="511"/>
        <v>0</v>
      </c>
      <c r="F2395" s="130">
        <f t="shared" si="511"/>
        <v>0</v>
      </c>
      <c r="G2395" s="130">
        <f t="shared" si="511"/>
        <v>0</v>
      </c>
      <c r="H2395" s="130">
        <f t="shared" si="511"/>
        <v>0</v>
      </c>
      <c r="I2395" s="130">
        <f t="shared" si="511"/>
        <v>0</v>
      </c>
    </row>
    <row r="2396" spans="1:15" hidden="1">
      <c r="A2396" s="236" t="s">
        <v>935</v>
      </c>
      <c r="B2396" s="56" t="s">
        <v>29</v>
      </c>
      <c r="C2396" s="64">
        <f t="shared" si="508"/>
        <v>0</v>
      </c>
      <c r="D2396" s="64">
        <v>0</v>
      </c>
      <c r="E2396" s="64">
        <v>0</v>
      </c>
      <c r="F2396" s="64">
        <v>0</v>
      </c>
      <c r="G2396" s="64">
        <v>0</v>
      </c>
      <c r="H2396" s="64">
        <v>0</v>
      </c>
      <c r="I2396" s="64">
        <v>0</v>
      </c>
    </row>
    <row r="2397" spans="1:15" hidden="1">
      <c r="A2397" s="12"/>
      <c r="B2397" s="55" t="s">
        <v>30</v>
      </c>
      <c r="C2397" s="64">
        <f t="shared" si="508"/>
        <v>0</v>
      </c>
      <c r="D2397" s="64">
        <v>0</v>
      </c>
      <c r="E2397" s="64">
        <v>0</v>
      </c>
      <c r="F2397" s="64">
        <v>0</v>
      </c>
      <c r="G2397" s="64">
        <v>0</v>
      </c>
      <c r="H2397" s="64">
        <v>0</v>
      </c>
      <c r="I2397" s="64">
        <v>0</v>
      </c>
    </row>
    <row r="2398" spans="1:15" s="212" customFormat="1" ht="14.1">
      <c r="A2398" s="418" t="s">
        <v>936</v>
      </c>
      <c r="B2398" s="237" t="s">
        <v>29</v>
      </c>
      <c r="C2398" s="271">
        <f t="shared" si="508"/>
        <v>169</v>
      </c>
      <c r="D2398" s="240">
        <v>169</v>
      </c>
      <c r="E2398" s="64">
        <v>0</v>
      </c>
      <c r="F2398" s="240">
        <v>0</v>
      </c>
      <c r="G2398" s="240">
        <v>0</v>
      </c>
      <c r="H2398" s="240">
        <v>0</v>
      </c>
      <c r="I2398" s="240">
        <v>0</v>
      </c>
      <c r="J2398" s="582" t="s">
        <v>937</v>
      </c>
      <c r="K2398" s="583"/>
      <c r="L2398" s="583"/>
      <c r="M2398" s="583"/>
      <c r="N2398" s="583"/>
      <c r="O2398" s="583"/>
    </row>
    <row r="2399" spans="1:15" s="206" customFormat="1" ht="12.95">
      <c r="A2399" s="229"/>
      <c r="B2399" s="62" t="s">
        <v>30</v>
      </c>
      <c r="C2399" s="272">
        <f t="shared" si="508"/>
        <v>169</v>
      </c>
      <c r="D2399" s="78">
        <v>169</v>
      </c>
      <c r="E2399" s="64">
        <v>0</v>
      </c>
      <c r="F2399" s="78">
        <v>0</v>
      </c>
      <c r="G2399" s="78">
        <v>0</v>
      </c>
      <c r="H2399" s="78">
        <v>0</v>
      </c>
      <c r="I2399" s="78">
        <v>0</v>
      </c>
      <c r="J2399" s="582"/>
      <c r="K2399" s="583"/>
      <c r="L2399" s="583"/>
      <c r="M2399" s="583"/>
      <c r="N2399" s="583"/>
      <c r="O2399" s="583"/>
    </row>
    <row r="2400" spans="1:15" s="213" customFormat="1" ht="14.1">
      <c r="A2400" s="374" t="s">
        <v>938</v>
      </c>
      <c r="B2400" s="237" t="s">
        <v>29</v>
      </c>
      <c r="C2400" s="271">
        <f t="shared" si="508"/>
        <v>60</v>
      </c>
      <c r="D2400" s="240">
        <v>0</v>
      </c>
      <c r="E2400" s="240">
        <v>60</v>
      </c>
      <c r="F2400" s="240">
        <v>0</v>
      </c>
      <c r="G2400" s="240">
        <v>0</v>
      </c>
      <c r="H2400" s="240">
        <v>0</v>
      </c>
      <c r="I2400" s="240">
        <v>0</v>
      </c>
      <c r="J2400" s="550"/>
      <c r="K2400" s="584"/>
      <c r="L2400" s="584"/>
      <c r="M2400" s="584"/>
      <c r="N2400" s="584"/>
      <c r="O2400" s="584"/>
    </row>
    <row r="2401" spans="1:15" s="213" customFormat="1" ht="12.95">
      <c r="A2401" s="229"/>
      <c r="B2401" s="226" t="s">
        <v>30</v>
      </c>
      <c r="C2401" s="271">
        <f t="shared" si="508"/>
        <v>60</v>
      </c>
      <c r="D2401" s="240">
        <v>0</v>
      </c>
      <c r="E2401" s="240">
        <v>60</v>
      </c>
      <c r="F2401" s="240">
        <v>0</v>
      </c>
      <c r="G2401" s="240">
        <v>0</v>
      </c>
      <c r="H2401" s="240">
        <v>0</v>
      </c>
      <c r="I2401" s="240">
        <v>0</v>
      </c>
      <c r="J2401" s="550"/>
      <c r="K2401" s="584"/>
      <c r="L2401" s="584"/>
      <c r="M2401" s="584"/>
      <c r="N2401" s="584"/>
      <c r="O2401" s="584"/>
    </row>
    <row r="2402" spans="1:15" s="213" customFormat="1" ht="15.75" customHeight="1">
      <c r="A2402" s="374" t="s">
        <v>939</v>
      </c>
      <c r="B2402" s="237" t="s">
        <v>29</v>
      </c>
      <c r="C2402" s="271">
        <f t="shared" si="508"/>
        <v>600</v>
      </c>
      <c r="D2402" s="240">
        <v>0</v>
      </c>
      <c r="E2402" s="240">
        <v>600</v>
      </c>
      <c r="F2402" s="240">
        <v>0</v>
      </c>
      <c r="G2402" s="240">
        <v>0</v>
      </c>
      <c r="H2402" s="240">
        <v>0</v>
      </c>
      <c r="I2402" s="240">
        <v>0</v>
      </c>
      <c r="J2402" s="582"/>
      <c r="K2402" s="583"/>
      <c r="L2402" s="583"/>
      <c r="M2402" s="583"/>
      <c r="N2402" s="583"/>
      <c r="O2402" s="583"/>
    </row>
    <row r="2403" spans="1:15" s="206" customFormat="1" ht="12.95">
      <c r="A2403" s="229"/>
      <c r="B2403" s="62" t="s">
        <v>30</v>
      </c>
      <c r="C2403" s="272">
        <f t="shared" si="508"/>
        <v>600</v>
      </c>
      <c r="D2403" s="78">
        <v>0</v>
      </c>
      <c r="E2403" s="64">
        <v>600</v>
      </c>
      <c r="F2403" s="78">
        <v>0</v>
      </c>
      <c r="G2403" s="78">
        <v>0</v>
      </c>
      <c r="H2403" s="78">
        <v>0</v>
      </c>
      <c r="I2403" s="78">
        <v>0</v>
      </c>
      <c r="J2403" s="582"/>
      <c r="K2403" s="583"/>
      <c r="L2403" s="583"/>
      <c r="M2403" s="583"/>
      <c r="N2403" s="583"/>
      <c r="O2403" s="583"/>
    </row>
    <row r="2404" spans="1:15" s="148" customFormat="1" ht="14.1">
      <c r="A2404" s="179" t="s">
        <v>940</v>
      </c>
      <c r="B2404" s="63" t="s">
        <v>29</v>
      </c>
      <c r="C2404" s="272">
        <f t="shared" si="508"/>
        <v>25</v>
      </c>
      <c r="D2404" s="125">
        <f>D2418</f>
        <v>0</v>
      </c>
      <c r="E2404" s="125">
        <f t="shared" ref="E2404:I2405" si="512">E2418</f>
        <v>25</v>
      </c>
      <c r="F2404" s="125">
        <f t="shared" si="512"/>
        <v>0</v>
      </c>
      <c r="G2404" s="125">
        <f t="shared" si="512"/>
        <v>0</v>
      </c>
      <c r="H2404" s="125">
        <f t="shared" si="512"/>
        <v>0</v>
      </c>
      <c r="I2404" s="125">
        <f t="shared" si="512"/>
        <v>0</v>
      </c>
    </row>
    <row r="2405" spans="1:15" s="119" customFormat="1" ht="12.95">
      <c r="A2405" s="229"/>
      <c r="B2405" s="62" t="s">
        <v>30</v>
      </c>
      <c r="C2405" s="272">
        <f t="shared" si="508"/>
        <v>25</v>
      </c>
      <c r="D2405" s="125">
        <f>D2419</f>
        <v>0</v>
      </c>
      <c r="E2405" s="125">
        <f t="shared" si="512"/>
        <v>25</v>
      </c>
      <c r="F2405" s="125">
        <f t="shared" si="512"/>
        <v>0</v>
      </c>
      <c r="G2405" s="125">
        <f t="shared" si="512"/>
        <v>0</v>
      </c>
      <c r="H2405" s="125">
        <f t="shared" si="512"/>
        <v>0</v>
      </c>
      <c r="I2405" s="125">
        <f t="shared" si="512"/>
        <v>0</v>
      </c>
    </row>
    <row r="2406" spans="1:15" hidden="1">
      <c r="A2406" s="31" t="s">
        <v>54</v>
      </c>
      <c r="B2406" s="63" t="s">
        <v>29</v>
      </c>
      <c r="C2406" s="64">
        <f t="shared" si="508"/>
        <v>0</v>
      </c>
      <c r="D2406" s="64">
        <f>D2408</f>
        <v>0</v>
      </c>
      <c r="E2406" s="64">
        <f>E2408</f>
        <v>0</v>
      </c>
      <c r="F2406" s="64">
        <f t="shared" ref="F2406:I2407" si="513">F2408</f>
        <v>0</v>
      </c>
      <c r="G2406" s="64">
        <f t="shared" si="513"/>
        <v>0</v>
      </c>
      <c r="H2406" s="64">
        <f t="shared" si="513"/>
        <v>0</v>
      </c>
      <c r="I2406" s="64">
        <f t="shared" si="513"/>
        <v>0</v>
      </c>
    </row>
    <row r="2407" spans="1:15" hidden="1">
      <c r="A2407" s="21" t="s">
        <v>87</v>
      </c>
      <c r="B2407" s="62" t="s">
        <v>30</v>
      </c>
      <c r="C2407" s="64">
        <f t="shared" si="508"/>
        <v>0</v>
      </c>
      <c r="D2407" s="64">
        <f>D2409</f>
        <v>0</v>
      </c>
      <c r="E2407" s="64">
        <f>E2409</f>
        <v>0</v>
      </c>
      <c r="F2407" s="64">
        <f t="shared" si="513"/>
        <v>0</v>
      </c>
      <c r="G2407" s="64">
        <f t="shared" si="513"/>
        <v>0</v>
      </c>
      <c r="H2407" s="64">
        <f t="shared" si="513"/>
        <v>0</v>
      </c>
      <c r="I2407" s="64">
        <f t="shared" si="513"/>
        <v>0</v>
      </c>
    </row>
    <row r="2408" spans="1:15" hidden="1">
      <c r="A2408" s="58" t="s">
        <v>123</v>
      </c>
      <c r="B2408" s="24" t="s">
        <v>29</v>
      </c>
      <c r="C2408" s="64">
        <f t="shared" si="508"/>
        <v>0</v>
      </c>
      <c r="D2408" s="64">
        <f t="shared" ref="D2408:I2415" si="514">D2410</f>
        <v>0</v>
      </c>
      <c r="E2408" s="64">
        <f t="shared" si="514"/>
        <v>0</v>
      </c>
      <c r="F2408" s="64">
        <f t="shared" si="514"/>
        <v>0</v>
      </c>
      <c r="G2408" s="64">
        <f t="shared" si="514"/>
        <v>0</v>
      </c>
      <c r="H2408" s="64">
        <f t="shared" si="514"/>
        <v>0</v>
      </c>
      <c r="I2408" s="64">
        <f t="shared" si="514"/>
        <v>0</v>
      </c>
    </row>
    <row r="2409" spans="1:15" hidden="1">
      <c r="A2409" s="21" t="s">
        <v>124</v>
      </c>
      <c r="B2409" s="26" t="s">
        <v>30</v>
      </c>
      <c r="C2409" s="64">
        <f t="shared" si="508"/>
        <v>0</v>
      </c>
      <c r="D2409" s="64">
        <f t="shared" si="514"/>
        <v>0</v>
      </c>
      <c r="E2409" s="64">
        <f t="shared" si="514"/>
        <v>0</v>
      </c>
      <c r="F2409" s="64">
        <f t="shared" si="514"/>
        <v>0</v>
      </c>
      <c r="G2409" s="64">
        <f t="shared" si="514"/>
        <v>0</v>
      </c>
      <c r="H2409" s="64">
        <f t="shared" si="514"/>
        <v>0</v>
      </c>
      <c r="I2409" s="64">
        <f t="shared" si="514"/>
        <v>0</v>
      </c>
    </row>
    <row r="2410" spans="1:15" ht="12.95" hidden="1">
      <c r="A2410" s="19" t="s">
        <v>37</v>
      </c>
      <c r="B2410" s="59" t="s">
        <v>29</v>
      </c>
      <c r="C2410" s="64">
        <f t="shared" si="508"/>
        <v>0</v>
      </c>
      <c r="D2410" s="64">
        <f t="shared" si="514"/>
        <v>0</v>
      </c>
      <c r="E2410" s="64">
        <f t="shared" si="514"/>
        <v>0</v>
      </c>
      <c r="F2410" s="64">
        <f t="shared" si="514"/>
        <v>0</v>
      </c>
      <c r="G2410" s="64">
        <f t="shared" si="514"/>
        <v>0</v>
      </c>
      <c r="H2410" s="64">
        <f t="shared" si="514"/>
        <v>0</v>
      </c>
      <c r="I2410" s="64">
        <f t="shared" si="514"/>
        <v>0</v>
      </c>
    </row>
    <row r="2411" spans="1:15" ht="12.95" hidden="1">
      <c r="A2411" s="16"/>
      <c r="B2411" s="62" t="s">
        <v>30</v>
      </c>
      <c r="C2411" s="64">
        <f t="shared" si="508"/>
        <v>0</v>
      </c>
      <c r="D2411" s="64">
        <f t="shared" si="514"/>
        <v>0</v>
      </c>
      <c r="E2411" s="64">
        <f t="shared" si="514"/>
        <v>0</v>
      </c>
      <c r="F2411" s="64">
        <f t="shared" si="514"/>
        <v>0</v>
      </c>
      <c r="G2411" s="64">
        <f t="shared" si="514"/>
        <v>0</v>
      </c>
      <c r="H2411" s="64">
        <f t="shared" si="514"/>
        <v>0</v>
      </c>
      <c r="I2411" s="64">
        <f t="shared" si="514"/>
        <v>0</v>
      </c>
    </row>
    <row r="2412" spans="1:15" hidden="1">
      <c r="A2412" s="28" t="s">
        <v>50</v>
      </c>
      <c r="B2412" s="298" t="s">
        <v>29</v>
      </c>
      <c r="C2412" s="64">
        <f t="shared" si="508"/>
        <v>0</v>
      </c>
      <c r="D2412" s="64">
        <f t="shared" si="514"/>
        <v>0</v>
      </c>
      <c r="E2412" s="64">
        <f t="shared" si="514"/>
        <v>0</v>
      </c>
      <c r="F2412" s="64">
        <f t="shared" si="514"/>
        <v>0</v>
      </c>
      <c r="G2412" s="64">
        <f t="shared" si="514"/>
        <v>0</v>
      </c>
      <c r="H2412" s="64">
        <f t="shared" si="514"/>
        <v>0</v>
      </c>
      <c r="I2412" s="64">
        <f t="shared" si="514"/>
        <v>0</v>
      </c>
    </row>
    <row r="2413" spans="1:15" hidden="1">
      <c r="A2413" s="12"/>
      <c r="B2413" s="33" t="s">
        <v>30</v>
      </c>
      <c r="C2413" s="64">
        <f t="shared" si="508"/>
        <v>0</v>
      </c>
      <c r="D2413" s="64">
        <f t="shared" si="514"/>
        <v>0</v>
      </c>
      <c r="E2413" s="64">
        <f t="shared" si="514"/>
        <v>0</v>
      </c>
      <c r="F2413" s="64">
        <f t="shared" si="514"/>
        <v>0</v>
      </c>
      <c r="G2413" s="64">
        <f t="shared" si="514"/>
        <v>0</v>
      </c>
      <c r="H2413" s="64">
        <f t="shared" si="514"/>
        <v>0</v>
      </c>
      <c r="I2413" s="64">
        <f t="shared" si="514"/>
        <v>0</v>
      </c>
    </row>
    <row r="2414" spans="1:15" s="95" customFormat="1" hidden="1">
      <c r="A2414" s="96" t="s">
        <v>42</v>
      </c>
      <c r="B2414" s="151" t="s">
        <v>29</v>
      </c>
      <c r="C2414" s="130">
        <f t="shared" si="508"/>
        <v>0</v>
      </c>
      <c r="D2414" s="130">
        <f t="shared" si="514"/>
        <v>0</v>
      </c>
      <c r="E2414" s="130">
        <f t="shared" si="514"/>
        <v>0</v>
      </c>
      <c r="F2414" s="130">
        <f t="shared" si="514"/>
        <v>0</v>
      </c>
      <c r="G2414" s="130">
        <f t="shared" si="514"/>
        <v>0</v>
      </c>
      <c r="H2414" s="130">
        <f t="shared" si="514"/>
        <v>0</v>
      </c>
      <c r="I2414" s="130">
        <f t="shared" si="514"/>
        <v>0</v>
      </c>
    </row>
    <row r="2415" spans="1:15" s="95" customFormat="1" hidden="1">
      <c r="A2415" s="131"/>
      <c r="B2415" s="139" t="s">
        <v>30</v>
      </c>
      <c r="C2415" s="130">
        <f t="shared" si="508"/>
        <v>0</v>
      </c>
      <c r="D2415" s="130">
        <f t="shared" si="514"/>
        <v>0</v>
      </c>
      <c r="E2415" s="130">
        <f t="shared" si="514"/>
        <v>0</v>
      </c>
      <c r="F2415" s="130">
        <f t="shared" si="514"/>
        <v>0</v>
      </c>
      <c r="G2415" s="130">
        <f t="shared" si="514"/>
        <v>0</v>
      </c>
      <c r="H2415" s="130">
        <f t="shared" si="514"/>
        <v>0</v>
      </c>
      <c r="I2415" s="130">
        <f t="shared" si="514"/>
        <v>0</v>
      </c>
    </row>
    <row r="2416" spans="1:15" hidden="1">
      <c r="A2416" s="79" t="s">
        <v>935</v>
      </c>
      <c r="B2416" s="42" t="s">
        <v>29</v>
      </c>
      <c r="C2416" s="64">
        <f t="shared" si="508"/>
        <v>0</v>
      </c>
      <c r="D2416" s="64">
        <v>0</v>
      </c>
      <c r="E2416" s="64">
        <v>0</v>
      </c>
      <c r="F2416" s="64">
        <v>0</v>
      </c>
      <c r="G2416" s="64">
        <v>0</v>
      </c>
      <c r="H2416" s="64">
        <v>0</v>
      </c>
      <c r="I2416" s="64">
        <v>0</v>
      </c>
    </row>
    <row r="2417" spans="1:15" hidden="1">
      <c r="A2417" s="12"/>
      <c r="B2417" s="41" t="s">
        <v>30</v>
      </c>
      <c r="C2417" s="64">
        <f t="shared" si="508"/>
        <v>0</v>
      </c>
      <c r="D2417" s="64">
        <v>0</v>
      </c>
      <c r="E2417" s="64">
        <v>0</v>
      </c>
      <c r="F2417" s="64">
        <v>0</v>
      </c>
      <c r="G2417" s="64">
        <v>0</v>
      </c>
      <c r="H2417" s="64">
        <v>0</v>
      </c>
      <c r="I2417" s="64">
        <v>0</v>
      </c>
    </row>
    <row r="2418" spans="1:15" s="213" customFormat="1" ht="14.1">
      <c r="A2418" s="322" t="s">
        <v>941</v>
      </c>
      <c r="B2418" s="237" t="s">
        <v>29</v>
      </c>
      <c r="C2418" s="271">
        <f t="shared" si="508"/>
        <v>25</v>
      </c>
      <c r="D2418" s="240">
        <v>0</v>
      </c>
      <c r="E2418" s="240">
        <v>25</v>
      </c>
      <c r="F2418" s="240">
        <v>0</v>
      </c>
      <c r="G2418" s="240">
        <v>0</v>
      </c>
      <c r="H2418" s="240">
        <v>0</v>
      </c>
      <c r="I2418" s="240">
        <v>0</v>
      </c>
      <c r="J2418" s="582"/>
      <c r="K2418" s="583"/>
      <c r="L2418" s="583"/>
      <c r="M2418" s="583"/>
      <c r="N2418" s="583"/>
      <c r="O2418" s="583"/>
    </row>
    <row r="2419" spans="1:15" s="206" customFormat="1" ht="12.95">
      <c r="A2419" s="229"/>
      <c r="B2419" s="62" t="s">
        <v>30</v>
      </c>
      <c r="C2419" s="272">
        <f t="shared" si="508"/>
        <v>25</v>
      </c>
      <c r="D2419" s="78">
        <v>0</v>
      </c>
      <c r="E2419" s="64">
        <v>25</v>
      </c>
      <c r="F2419" s="78">
        <v>0</v>
      </c>
      <c r="G2419" s="78">
        <v>0</v>
      </c>
      <c r="H2419" s="78">
        <v>0</v>
      </c>
      <c r="I2419" s="78">
        <v>0</v>
      </c>
      <c r="J2419" s="582"/>
      <c r="K2419" s="583"/>
      <c r="L2419" s="583"/>
      <c r="M2419" s="583"/>
      <c r="N2419" s="583"/>
      <c r="O2419" s="583"/>
    </row>
    <row r="2420" spans="1:15" s="148" customFormat="1" ht="14.1">
      <c r="A2420" s="179" t="s">
        <v>567</v>
      </c>
      <c r="B2420" s="63" t="s">
        <v>29</v>
      </c>
      <c r="C2420" s="272">
        <f t="shared" si="508"/>
        <v>54</v>
      </c>
      <c r="D2420" s="125">
        <f>D2434</f>
        <v>0</v>
      </c>
      <c r="E2420" s="125">
        <f t="shared" ref="E2420:I2421" si="515">E2434</f>
        <v>54</v>
      </c>
      <c r="F2420" s="125">
        <f t="shared" si="515"/>
        <v>0</v>
      </c>
      <c r="G2420" s="125">
        <f t="shared" si="515"/>
        <v>0</v>
      </c>
      <c r="H2420" s="125">
        <f t="shared" si="515"/>
        <v>0</v>
      </c>
      <c r="I2420" s="125">
        <f t="shared" si="515"/>
        <v>0</v>
      </c>
    </row>
    <row r="2421" spans="1:15" s="119" customFormat="1" ht="12.95">
      <c r="A2421" s="229"/>
      <c r="B2421" s="62" t="s">
        <v>30</v>
      </c>
      <c r="C2421" s="272">
        <f t="shared" si="508"/>
        <v>54</v>
      </c>
      <c r="D2421" s="125">
        <f>D2435</f>
        <v>0</v>
      </c>
      <c r="E2421" s="125">
        <f t="shared" si="515"/>
        <v>54</v>
      </c>
      <c r="F2421" s="125">
        <f t="shared" si="515"/>
        <v>0</v>
      </c>
      <c r="G2421" s="125">
        <f t="shared" si="515"/>
        <v>0</v>
      </c>
      <c r="H2421" s="125">
        <f t="shared" si="515"/>
        <v>0</v>
      </c>
      <c r="I2421" s="125">
        <f t="shared" si="515"/>
        <v>0</v>
      </c>
    </row>
    <row r="2422" spans="1:15" hidden="1">
      <c r="A2422" s="31" t="s">
        <v>54</v>
      </c>
      <c r="B2422" s="63" t="s">
        <v>29</v>
      </c>
      <c r="C2422" s="64">
        <f t="shared" si="508"/>
        <v>0</v>
      </c>
      <c r="D2422" s="64">
        <f>D2424</f>
        <v>0</v>
      </c>
      <c r="E2422" s="64">
        <f>E2424</f>
        <v>0</v>
      </c>
      <c r="F2422" s="64">
        <f t="shared" ref="F2422:I2423" si="516">F2424</f>
        <v>0</v>
      </c>
      <c r="G2422" s="64">
        <f t="shared" si="516"/>
        <v>0</v>
      </c>
      <c r="H2422" s="64">
        <f t="shared" si="516"/>
        <v>0</v>
      </c>
      <c r="I2422" s="64">
        <f t="shared" si="516"/>
        <v>0</v>
      </c>
    </row>
    <row r="2423" spans="1:15" hidden="1">
      <c r="A2423" s="21" t="s">
        <v>87</v>
      </c>
      <c r="B2423" s="62" t="s">
        <v>30</v>
      </c>
      <c r="C2423" s="64">
        <f t="shared" si="508"/>
        <v>0</v>
      </c>
      <c r="D2423" s="64">
        <f>D2425</f>
        <v>0</v>
      </c>
      <c r="E2423" s="64">
        <f>E2425</f>
        <v>0</v>
      </c>
      <c r="F2423" s="64">
        <f t="shared" si="516"/>
        <v>0</v>
      </c>
      <c r="G2423" s="64">
        <f t="shared" si="516"/>
        <v>0</v>
      </c>
      <c r="H2423" s="64">
        <f t="shared" si="516"/>
        <v>0</v>
      </c>
      <c r="I2423" s="64">
        <f t="shared" si="516"/>
        <v>0</v>
      </c>
    </row>
    <row r="2424" spans="1:15" hidden="1">
      <c r="A2424" s="58" t="s">
        <v>123</v>
      </c>
      <c r="B2424" s="24" t="s">
        <v>29</v>
      </c>
      <c r="C2424" s="64">
        <f t="shared" si="508"/>
        <v>0</v>
      </c>
      <c r="D2424" s="64">
        <f t="shared" ref="D2424:I2431" si="517">D2426</f>
        <v>0</v>
      </c>
      <c r="E2424" s="64">
        <f t="shared" si="517"/>
        <v>0</v>
      </c>
      <c r="F2424" s="64">
        <f t="shared" si="517"/>
        <v>0</v>
      </c>
      <c r="G2424" s="64">
        <f t="shared" si="517"/>
        <v>0</v>
      </c>
      <c r="H2424" s="64">
        <f t="shared" si="517"/>
        <v>0</v>
      </c>
      <c r="I2424" s="64">
        <f t="shared" si="517"/>
        <v>0</v>
      </c>
    </row>
    <row r="2425" spans="1:15" hidden="1">
      <c r="A2425" s="21" t="s">
        <v>124</v>
      </c>
      <c r="B2425" s="26" t="s">
        <v>30</v>
      </c>
      <c r="C2425" s="64">
        <f t="shared" si="508"/>
        <v>0</v>
      </c>
      <c r="D2425" s="64">
        <f t="shared" si="517"/>
        <v>0</v>
      </c>
      <c r="E2425" s="64">
        <f t="shared" si="517"/>
        <v>0</v>
      </c>
      <c r="F2425" s="64">
        <f t="shared" si="517"/>
        <v>0</v>
      </c>
      <c r="G2425" s="64">
        <f t="shared" si="517"/>
        <v>0</v>
      </c>
      <c r="H2425" s="64">
        <f t="shared" si="517"/>
        <v>0</v>
      </c>
      <c r="I2425" s="64">
        <f t="shared" si="517"/>
        <v>0</v>
      </c>
    </row>
    <row r="2426" spans="1:15" ht="12.95" hidden="1">
      <c r="A2426" s="19" t="s">
        <v>37</v>
      </c>
      <c r="B2426" s="59" t="s">
        <v>29</v>
      </c>
      <c r="C2426" s="64">
        <f t="shared" si="508"/>
        <v>0</v>
      </c>
      <c r="D2426" s="64">
        <f t="shared" si="517"/>
        <v>0</v>
      </c>
      <c r="E2426" s="64">
        <f t="shared" si="517"/>
        <v>0</v>
      </c>
      <c r="F2426" s="64">
        <f t="shared" si="517"/>
        <v>0</v>
      </c>
      <c r="G2426" s="64">
        <f t="shared" si="517"/>
        <v>0</v>
      </c>
      <c r="H2426" s="64">
        <f t="shared" si="517"/>
        <v>0</v>
      </c>
      <c r="I2426" s="64">
        <f t="shared" si="517"/>
        <v>0</v>
      </c>
    </row>
    <row r="2427" spans="1:15" ht="12.95" hidden="1">
      <c r="A2427" s="16"/>
      <c r="B2427" s="62" t="s">
        <v>30</v>
      </c>
      <c r="C2427" s="64">
        <f t="shared" si="508"/>
        <v>0</v>
      </c>
      <c r="D2427" s="64">
        <f t="shared" si="517"/>
        <v>0</v>
      </c>
      <c r="E2427" s="64">
        <f t="shared" si="517"/>
        <v>0</v>
      </c>
      <c r="F2427" s="64">
        <f t="shared" si="517"/>
        <v>0</v>
      </c>
      <c r="G2427" s="64">
        <f t="shared" si="517"/>
        <v>0</v>
      </c>
      <c r="H2427" s="64">
        <f t="shared" si="517"/>
        <v>0</v>
      </c>
      <c r="I2427" s="64">
        <f t="shared" si="517"/>
        <v>0</v>
      </c>
    </row>
    <row r="2428" spans="1:15" hidden="1">
      <c r="A2428" s="28" t="s">
        <v>50</v>
      </c>
      <c r="B2428" s="298" t="s">
        <v>29</v>
      </c>
      <c r="C2428" s="64">
        <f t="shared" si="508"/>
        <v>0</v>
      </c>
      <c r="D2428" s="64">
        <f t="shared" si="517"/>
        <v>0</v>
      </c>
      <c r="E2428" s="64">
        <f t="shared" si="517"/>
        <v>0</v>
      </c>
      <c r="F2428" s="64">
        <f t="shared" si="517"/>
        <v>0</v>
      </c>
      <c r="G2428" s="64">
        <f t="shared" si="517"/>
        <v>0</v>
      </c>
      <c r="H2428" s="64">
        <f t="shared" si="517"/>
        <v>0</v>
      </c>
      <c r="I2428" s="64">
        <f t="shared" si="517"/>
        <v>0</v>
      </c>
    </row>
    <row r="2429" spans="1:15" hidden="1">
      <c r="A2429" s="12"/>
      <c r="B2429" s="33" t="s">
        <v>30</v>
      </c>
      <c r="C2429" s="64">
        <f t="shared" si="508"/>
        <v>0</v>
      </c>
      <c r="D2429" s="64">
        <f t="shared" si="517"/>
        <v>0</v>
      </c>
      <c r="E2429" s="64">
        <f t="shared" si="517"/>
        <v>0</v>
      </c>
      <c r="F2429" s="64">
        <f t="shared" si="517"/>
        <v>0</v>
      </c>
      <c r="G2429" s="64">
        <f t="shared" si="517"/>
        <v>0</v>
      </c>
      <c r="H2429" s="64">
        <f t="shared" si="517"/>
        <v>0</v>
      </c>
      <c r="I2429" s="64">
        <f t="shared" si="517"/>
        <v>0</v>
      </c>
    </row>
    <row r="2430" spans="1:15" s="95" customFormat="1" hidden="1">
      <c r="A2430" s="96" t="s">
        <v>42</v>
      </c>
      <c r="B2430" s="151" t="s">
        <v>29</v>
      </c>
      <c r="C2430" s="130">
        <f t="shared" si="508"/>
        <v>0</v>
      </c>
      <c r="D2430" s="130">
        <f t="shared" si="517"/>
        <v>0</v>
      </c>
      <c r="E2430" s="130">
        <f t="shared" si="517"/>
        <v>0</v>
      </c>
      <c r="F2430" s="130">
        <f t="shared" si="517"/>
        <v>0</v>
      </c>
      <c r="G2430" s="130">
        <f t="shared" si="517"/>
        <v>0</v>
      </c>
      <c r="H2430" s="130">
        <f t="shared" si="517"/>
        <v>0</v>
      </c>
      <c r="I2430" s="130">
        <f t="shared" si="517"/>
        <v>0</v>
      </c>
    </row>
    <row r="2431" spans="1:15" s="95" customFormat="1" hidden="1">
      <c r="A2431" s="131"/>
      <c r="B2431" s="139" t="s">
        <v>30</v>
      </c>
      <c r="C2431" s="130">
        <f t="shared" si="508"/>
        <v>0</v>
      </c>
      <c r="D2431" s="130">
        <f t="shared" si="517"/>
        <v>0</v>
      </c>
      <c r="E2431" s="130">
        <f t="shared" si="517"/>
        <v>0</v>
      </c>
      <c r="F2431" s="130">
        <f t="shared" si="517"/>
        <v>0</v>
      </c>
      <c r="G2431" s="130">
        <f t="shared" si="517"/>
        <v>0</v>
      </c>
      <c r="H2431" s="130">
        <f t="shared" si="517"/>
        <v>0</v>
      </c>
      <c r="I2431" s="130">
        <f t="shared" si="517"/>
        <v>0</v>
      </c>
    </row>
    <row r="2432" spans="1:15" hidden="1">
      <c r="A2432" s="79" t="s">
        <v>935</v>
      </c>
      <c r="B2432" s="42" t="s">
        <v>29</v>
      </c>
      <c r="C2432" s="64">
        <f t="shared" si="508"/>
        <v>0</v>
      </c>
      <c r="D2432" s="64">
        <v>0</v>
      </c>
      <c r="E2432" s="64">
        <v>0</v>
      </c>
      <c r="F2432" s="64">
        <v>0</v>
      </c>
      <c r="G2432" s="64">
        <v>0</v>
      </c>
      <c r="H2432" s="64">
        <v>0</v>
      </c>
      <c r="I2432" s="64">
        <v>0</v>
      </c>
    </row>
    <row r="2433" spans="1:15" hidden="1">
      <c r="A2433" s="12"/>
      <c r="B2433" s="41" t="s">
        <v>30</v>
      </c>
      <c r="C2433" s="64">
        <f t="shared" si="508"/>
        <v>0</v>
      </c>
      <c r="D2433" s="64">
        <v>0</v>
      </c>
      <c r="E2433" s="64">
        <v>0</v>
      </c>
      <c r="F2433" s="64">
        <v>0</v>
      </c>
      <c r="G2433" s="64">
        <v>0</v>
      </c>
      <c r="H2433" s="64">
        <v>0</v>
      </c>
      <c r="I2433" s="64">
        <v>0</v>
      </c>
    </row>
    <row r="2434" spans="1:15" s="212" customFormat="1" ht="14.1">
      <c r="A2434" s="411" t="s">
        <v>942</v>
      </c>
      <c r="B2434" s="237" t="s">
        <v>29</v>
      </c>
      <c r="C2434" s="271">
        <f t="shared" si="508"/>
        <v>54</v>
      </c>
      <c r="D2434" s="240">
        <v>0</v>
      </c>
      <c r="E2434" s="64">
        <v>54</v>
      </c>
      <c r="F2434" s="240">
        <v>0</v>
      </c>
      <c r="G2434" s="240">
        <v>0</v>
      </c>
      <c r="H2434" s="240">
        <v>0</v>
      </c>
      <c r="I2434" s="240">
        <v>0</v>
      </c>
      <c r="J2434" s="582"/>
      <c r="K2434" s="583"/>
      <c r="L2434" s="583"/>
      <c r="M2434" s="583"/>
      <c r="N2434" s="583"/>
      <c r="O2434" s="583"/>
    </row>
    <row r="2435" spans="1:15" s="206" customFormat="1" ht="12.95">
      <c r="A2435" s="229"/>
      <c r="B2435" s="62" t="s">
        <v>30</v>
      </c>
      <c r="C2435" s="272">
        <f t="shared" si="508"/>
        <v>54</v>
      </c>
      <c r="D2435" s="78">
        <v>0</v>
      </c>
      <c r="E2435" s="64">
        <v>54</v>
      </c>
      <c r="F2435" s="78">
        <v>0</v>
      </c>
      <c r="G2435" s="78">
        <v>0</v>
      </c>
      <c r="H2435" s="78">
        <v>0</v>
      </c>
      <c r="I2435" s="78">
        <v>0</v>
      </c>
      <c r="J2435" s="582"/>
      <c r="K2435" s="583"/>
      <c r="L2435" s="583"/>
      <c r="M2435" s="583"/>
      <c r="N2435" s="583"/>
      <c r="O2435" s="583"/>
    </row>
    <row r="2436" spans="1:15">
      <c r="A2436" s="574" t="s">
        <v>583</v>
      </c>
      <c r="B2436" s="575"/>
      <c r="C2436" s="575"/>
      <c r="D2436" s="575"/>
      <c r="E2436" s="575"/>
      <c r="F2436" s="575"/>
      <c r="G2436" s="575"/>
      <c r="H2436" s="575"/>
      <c r="I2436" s="576"/>
    </row>
    <row r="2437" spans="1:15" s="155" customFormat="1">
      <c r="A2437" s="36" t="s">
        <v>54</v>
      </c>
      <c r="B2437" s="63" t="s">
        <v>29</v>
      </c>
      <c r="C2437" s="154">
        <f t="shared" ref="C2437:C2448" si="518">D2437+E2437+F2437+G2437+H2437+I2437</f>
        <v>44</v>
      </c>
      <c r="D2437" s="64">
        <f t="shared" ref="D2437:I2446" si="519">D2439</f>
        <v>44</v>
      </c>
      <c r="E2437" s="64">
        <f t="shared" si="519"/>
        <v>0</v>
      </c>
      <c r="F2437" s="64">
        <f t="shared" si="519"/>
        <v>0</v>
      </c>
      <c r="G2437" s="64">
        <f t="shared" si="519"/>
        <v>0</v>
      </c>
      <c r="H2437" s="64">
        <f t="shared" si="519"/>
        <v>0</v>
      </c>
      <c r="I2437" s="64">
        <f t="shared" si="519"/>
        <v>0</v>
      </c>
    </row>
    <row r="2438" spans="1:15" s="155" customFormat="1">
      <c r="A2438" s="197" t="s">
        <v>87</v>
      </c>
      <c r="B2438" s="62" t="s">
        <v>30</v>
      </c>
      <c r="C2438" s="154">
        <f t="shared" si="518"/>
        <v>44</v>
      </c>
      <c r="D2438" s="64">
        <f t="shared" si="519"/>
        <v>44</v>
      </c>
      <c r="E2438" s="64">
        <f t="shared" si="519"/>
        <v>0</v>
      </c>
      <c r="F2438" s="64">
        <f t="shared" si="519"/>
        <v>0</v>
      </c>
      <c r="G2438" s="64">
        <f t="shared" si="519"/>
        <v>0</v>
      </c>
      <c r="H2438" s="64">
        <f t="shared" si="519"/>
        <v>0</v>
      </c>
      <c r="I2438" s="64">
        <f t="shared" si="519"/>
        <v>0</v>
      </c>
    </row>
    <row r="2439" spans="1:15" s="155" customFormat="1">
      <c r="A2439" s="198" t="s">
        <v>31</v>
      </c>
      <c r="B2439" s="63" t="s">
        <v>29</v>
      </c>
      <c r="C2439" s="154">
        <f t="shared" si="518"/>
        <v>44</v>
      </c>
      <c r="D2439" s="64">
        <f t="shared" si="519"/>
        <v>44</v>
      </c>
      <c r="E2439" s="64">
        <f t="shared" si="519"/>
        <v>0</v>
      </c>
      <c r="F2439" s="64">
        <f t="shared" si="519"/>
        <v>0</v>
      </c>
      <c r="G2439" s="64">
        <f t="shared" si="519"/>
        <v>0</v>
      </c>
      <c r="H2439" s="64">
        <f t="shared" si="519"/>
        <v>0</v>
      </c>
      <c r="I2439" s="64">
        <f t="shared" si="519"/>
        <v>0</v>
      </c>
    </row>
    <row r="2440" spans="1:15" s="155" customFormat="1">
      <c r="A2440" s="197" t="s">
        <v>32</v>
      </c>
      <c r="B2440" s="62" t="s">
        <v>30</v>
      </c>
      <c r="C2440" s="154">
        <f t="shared" si="518"/>
        <v>44</v>
      </c>
      <c r="D2440" s="64">
        <f t="shared" si="519"/>
        <v>44</v>
      </c>
      <c r="E2440" s="64">
        <f t="shared" si="519"/>
        <v>0</v>
      </c>
      <c r="F2440" s="64">
        <f t="shared" si="519"/>
        <v>0</v>
      </c>
      <c r="G2440" s="64">
        <f t="shared" si="519"/>
        <v>0</v>
      </c>
      <c r="H2440" s="64">
        <f t="shared" si="519"/>
        <v>0</v>
      </c>
      <c r="I2440" s="64">
        <f t="shared" si="519"/>
        <v>0</v>
      </c>
    </row>
    <row r="2441" spans="1:15" s="155" customFormat="1">
      <c r="A2441" s="199" t="s">
        <v>37</v>
      </c>
      <c r="B2441" s="63" t="s">
        <v>29</v>
      </c>
      <c r="C2441" s="154">
        <f t="shared" si="518"/>
        <v>44</v>
      </c>
      <c r="D2441" s="64">
        <f t="shared" si="519"/>
        <v>44</v>
      </c>
      <c r="E2441" s="64">
        <f t="shared" si="519"/>
        <v>0</v>
      </c>
      <c r="F2441" s="64">
        <f t="shared" si="519"/>
        <v>0</v>
      </c>
      <c r="G2441" s="64">
        <f t="shared" si="519"/>
        <v>0</v>
      </c>
      <c r="H2441" s="64">
        <f t="shared" si="519"/>
        <v>0</v>
      </c>
      <c r="I2441" s="64">
        <f t="shared" si="519"/>
        <v>0</v>
      </c>
    </row>
    <row r="2442" spans="1:15" s="155" customFormat="1" ht="12.95">
      <c r="A2442" s="51"/>
      <c r="B2442" s="62" t="s">
        <v>30</v>
      </c>
      <c r="C2442" s="154">
        <f t="shared" si="518"/>
        <v>44</v>
      </c>
      <c r="D2442" s="64">
        <f t="shared" si="519"/>
        <v>44</v>
      </c>
      <c r="E2442" s="64">
        <f t="shared" si="519"/>
        <v>0</v>
      </c>
      <c r="F2442" s="64">
        <f t="shared" si="519"/>
        <v>0</v>
      </c>
      <c r="G2442" s="64">
        <f t="shared" si="519"/>
        <v>0</v>
      </c>
      <c r="H2442" s="64">
        <f t="shared" si="519"/>
        <v>0</v>
      </c>
      <c r="I2442" s="64">
        <f t="shared" si="519"/>
        <v>0</v>
      </c>
    </row>
    <row r="2443" spans="1:15" s="155" customFormat="1" ht="12.95">
      <c r="A2443" s="200" t="s">
        <v>38</v>
      </c>
      <c r="B2443" s="63" t="s">
        <v>29</v>
      </c>
      <c r="C2443" s="154">
        <f t="shared" si="518"/>
        <v>44</v>
      </c>
      <c r="D2443" s="64">
        <f t="shared" si="519"/>
        <v>44</v>
      </c>
      <c r="E2443" s="64">
        <f t="shared" si="519"/>
        <v>0</v>
      </c>
      <c r="F2443" s="64">
        <f t="shared" si="519"/>
        <v>0</v>
      </c>
      <c r="G2443" s="64">
        <f t="shared" si="519"/>
        <v>0</v>
      </c>
      <c r="H2443" s="64">
        <f t="shared" si="519"/>
        <v>0</v>
      </c>
      <c r="I2443" s="64">
        <f t="shared" si="519"/>
        <v>0</v>
      </c>
    </row>
    <row r="2444" spans="1:15" s="155" customFormat="1">
      <c r="A2444" s="39"/>
      <c r="B2444" s="62" t="s">
        <v>30</v>
      </c>
      <c r="C2444" s="154">
        <f t="shared" si="518"/>
        <v>44</v>
      </c>
      <c r="D2444" s="64">
        <f t="shared" si="519"/>
        <v>44</v>
      </c>
      <c r="E2444" s="64">
        <f t="shared" si="519"/>
        <v>0</v>
      </c>
      <c r="F2444" s="64">
        <f t="shared" si="519"/>
        <v>0</v>
      </c>
      <c r="G2444" s="64">
        <f t="shared" si="519"/>
        <v>0</v>
      </c>
      <c r="H2444" s="64">
        <f t="shared" si="519"/>
        <v>0</v>
      </c>
      <c r="I2444" s="64">
        <f t="shared" si="519"/>
        <v>0</v>
      </c>
    </row>
    <row r="2445" spans="1:15" s="155" customFormat="1" ht="12.95">
      <c r="A2445" s="201" t="s">
        <v>812</v>
      </c>
      <c r="B2445" s="63" t="s">
        <v>29</v>
      </c>
      <c r="C2445" s="154">
        <f t="shared" si="518"/>
        <v>44</v>
      </c>
      <c r="D2445" s="64">
        <f t="shared" si="519"/>
        <v>44</v>
      </c>
      <c r="E2445" s="64">
        <f t="shared" si="519"/>
        <v>0</v>
      </c>
      <c r="F2445" s="64">
        <f t="shared" si="519"/>
        <v>0</v>
      </c>
      <c r="G2445" s="64">
        <f t="shared" si="519"/>
        <v>0</v>
      </c>
      <c r="H2445" s="64">
        <f t="shared" si="519"/>
        <v>0</v>
      </c>
      <c r="I2445" s="64">
        <f t="shared" si="519"/>
        <v>0</v>
      </c>
    </row>
    <row r="2446" spans="1:15" s="155" customFormat="1">
      <c r="A2446" s="57"/>
      <c r="B2446" s="62" t="s">
        <v>30</v>
      </c>
      <c r="C2446" s="154">
        <f t="shared" si="518"/>
        <v>44</v>
      </c>
      <c r="D2446" s="64">
        <f t="shared" si="519"/>
        <v>44</v>
      </c>
      <c r="E2446" s="64">
        <f t="shared" si="519"/>
        <v>0</v>
      </c>
      <c r="F2446" s="64">
        <f t="shared" si="519"/>
        <v>0</v>
      </c>
      <c r="G2446" s="64">
        <f t="shared" si="519"/>
        <v>0</v>
      </c>
      <c r="H2446" s="64">
        <f t="shared" si="519"/>
        <v>0</v>
      </c>
      <c r="I2446" s="64">
        <f t="shared" si="519"/>
        <v>0</v>
      </c>
    </row>
    <row r="2447" spans="1:15" s="27" customFormat="1" ht="24.95">
      <c r="A2447" s="245" t="s">
        <v>943</v>
      </c>
      <c r="B2447" s="24" t="s">
        <v>29</v>
      </c>
      <c r="C2447" s="196">
        <f t="shared" si="518"/>
        <v>44</v>
      </c>
      <c r="D2447" s="72">
        <f>D2448</f>
        <v>44</v>
      </c>
      <c r="E2447" s="203">
        <f>E2448</f>
        <v>0</v>
      </c>
      <c r="F2447" s="72">
        <v>0</v>
      </c>
      <c r="G2447" s="72">
        <v>0</v>
      </c>
      <c r="H2447" s="72">
        <v>0</v>
      </c>
      <c r="I2447" s="72">
        <v>0</v>
      </c>
    </row>
    <row r="2448" spans="1:15" s="27" customFormat="1">
      <c r="A2448" s="197"/>
      <c r="B2448" s="29" t="s">
        <v>30</v>
      </c>
      <c r="C2448" s="254">
        <f t="shared" si="518"/>
        <v>44</v>
      </c>
      <c r="D2448" s="255">
        <v>44</v>
      </c>
      <c r="E2448" s="256">
        <v>0</v>
      </c>
      <c r="F2448" s="255">
        <v>0</v>
      </c>
      <c r="G2448" s="255">
        <v>0</v>
      </c>
      <c r="H2448" s="255">
        <v>0</v>
      </c>
      <c r="I2448" s="255">
        <v>0</v>
      </c>
    </row>
    <row r="2449" spans="1:11">
      <c r="A2449" s="571" t="s">
        <v>59</v>
      </c>
      <c r="B2449" s="572"/>
      <c r="C2449" s="572"/>
      <c r="D2449" s="572"/>
      <c r="E2449" s="572"/>
      <c r="F2449" s="572"/>
      <c r="G2449" s="572"/>
      <c r="H2449" s="572"/>
      <c r="I2449" s="573"/>
    </row>
    <row r="2450" spans="1:11">
      <c r="A2450" s="577" t="s">
        <v>54</v>
      </c>
      <c r="B2450" s="578"/>
      <c r="C2450" s="578"/>
      <c r="D2450" s="578"/>
      <c r="E2450" s="578"/>
      <c r="F2450" s="578"/>
      <c r="G2450" s="578"/>
      <c r="H2450" s="578"/>
      <c r="I2450" s="579"/>
    </row>
    <row r="2451" spans="1:11">
      <c r="A2451" s="7" t="s">
        <v>28</v>
      </c>
      <c r="B2451" s="3" t="s">
        <v>29</v>
      </c>
      <c r="C2451" s="52">
        <f t="shared" ref="C2451:C2462" si="520">D2451+E2451+F2451+G2451+H2451+I2451</f>
        <v>635014.44500000007</v>
      </c>
      <c r="D2451" s="52">
        <f t="shared" ref="D2451:I2452" si="521">D2453+D2463</f>
        <v>270457.86499999999</v>
      </c>
      <c r="E2451" s="52">
        <f t="shared" si="521"/>
        <v>101180</v>
      </c>
      <c r="F2451" s="52">
        <f t="shared" si="521"/>
        <v>96474.340000000011</v>
      </c>
      <c r="G2451" s="52">
        <f t="shared" si="521"/>
        <v>83651.509999999995</v>
      </c>
      <c r="H2451" s="52">
        <f t="shared" si="521"/>
        <v>71687.42</v>
      </c>
      <c r="I2451" s="52">
        <f t="shared" si="521"/>
        <v>11563.309999999998</v>
      </c>
      <c r="J2451" s="68"/>
      <c r="K2451" s="252">
        <f>E2452+E2469+E2476+E2483+E2491+E2500+E2511+E2525+E2540+E2550</f>
        <v>574594</v>
      </c>
    </row>
    <row r="2452" spans="1:11" ht="12.95" thickBot="1">
      <c r="A2452" s="8"/>
      <c r="B2452" s="9" t="s">
        <v>30</v>
      </c>
      <c r="C2452" s="52">
        <f t="shared" si="520"/>
        <v>635014.44500000007</v>
      </c>
      <c r="D2452" s="52">
        <f t="shared" si="521"/>
        <v>270457.86499999999</v>
      </c>
      <c r="E2452" s="52">
        <f t="shared" si="521"/>
        <v>101180</v>
      </c>
      <c r="F2452" s="52">
        <f t="shared" si="521"/>
        <v>96474.340000000011</v>
      </c>
      <c r="G2452" s="52">
        <f t="shared" si="521"/>
        <v>83651.509999999995</v>
      </c>
      <c r="H2452" s="52">
        <f t="shared" si="521"/>
        <v>71687.42</v>
      </c>
      <c r="I2452" s="52">
        <f t="shared" si="521"/>
        <v>11563.309999999998</v>
      </c>
      <c r="J2452" s="68"/>
    </row>
    <row r="2453" spans="1:11">
      <c r="A2453" s="14" t="s">
        <v>31</v>
      </c>
      <c r="B2453" s="3" t="s">
        <v>29</v>
      </c>
      <c r="C2453" s="52">
        <f t="shared" si="520"/>
        <v>582525.44500000007</v>
      </c>
      <c r="D2453" s="52">
        <f>D2455+D2457+D2459+D2461</f>
        <v>218022.86499999999</v>
      </c>
      <c r="E2453" s="52">
        <f t="shared" ref="E2453:I2454" si="522">E2455+E2457+E2459+E2461</f>
        <v>101180</v>
      </c>
      <c r="F2453" s="52">
        <f t="shared" si="522"/>
        <v>96474.340000000011</v>
      </c>
      <c r="G2453" s="52">
        <f t="shared" si="522"/>
        <v>83651.509999999995</v>
      </c>
      <c r="H2453" s="52">
        <f t="shared" si="522"/>
        <v>71687.42</v>
      </c>
      <c r="I2453" s="52">
        <f t="shared" si="522"/>
        <v>11509.309999999998</v>
      </c>
    </row>
    <row r="2454" spans="1:11">
      <c r="A2454" s="10" t="s">
        <v>32</v>
      </c>
      <c r="B2454" s="4" t="s">
        <v>30</v>
      </c>
      <c r="C2454" s="52">
        <f t="shared" si="520"/>
        <v>582525.44500000007</v>
      </c>
      <c r="D2454" s="52">
        <f>D2456+D2458+D2460+D2462</f>
        <v>218022.86499999999</v>
      </c>
      <c r="E2454" s="52">
        <f t="shared" si="522"/>
        <v>101180</v>
      </c>
      <c r="F2454" s="52">
        <f t="shared" si="522"/>
        <v>96474.340000000011</v>
      </c>
      <c r="G2454" s="52">
        <f t="shared" si="522"/>
        <v>83651.509999999995</v>
      </c>
      <c r="H2454" s="52">
        <f t="shared" si="522"/>
        <v>71687.42</v>
      </c>
      <c r="I2454" s="52">
        <f t="shared" si="522"/>
        <v>11509.309999999998</v>
      </c>
    </row>
    <row r="2455" spans="1:11" s="20" customFormat="1" ht="12.95">
      <c r="A2455" s="529" t="s">
        <v>944</v>
      </c>
      <c r="B2455" s="54" t="s">
        <v>29</v>
      </c>
      <c r="C2455" s="64">
        <f>D2455+E2455+F2455+G2455+H2455+I2455</f>
        <v>71233</v>
      </c>
      <c r="D2455" s="64">
        <f>D114+D622</f>
        <v>1273</v>
      </c>
      <c r="E2455" s="64">
        <f t="shared" ref="E2455:I2455" si="523">E114+E622</f>
        <v>69960</v>
      </c>
      <c r="F2455" s="64">
        <f t="shared" si="523"/>
        <v>0</v>
      </c>
      <c r="G2455" s="64">
        <f t="shared" si="523"/>
        <v>0</v>
      </c>
      <c r="H2455" s="64">
        <f t="shared" si="523"/>
        <v>0</v>
      </c>
      <c r="I2455" s="64">
        <f t="shared" si="523"/>
        <v>0</v>
      </c>
    </row>
    <row r="2456" spans="1:11" s="20" customFormat="1" ht="12.95">
      <c r="A2456" s="16" t="s">
        <v>35</v>
      </c>
      <c r="B2456" s="55" t="s">
        <v>30</v>
      </c>
      <c r="C2456" s="64">
        <f t="shared" ref="C2456" si="524">D2456+E2456+F2456+G2456+H2456+I2456</f>
        <v>71233</v>
      </c>
      <c r="D2456" s="64">
        <f>D115+D623</f>
        <v>1273</v>
      </c>
      <c r="E2456" s="64">
        <f t="shared" ref="E2456:I2456" si="525">E115+E623</f>
        <v>69960</v>
      </c>
      <c r="F2456" s="64">
        <f t="shared" si="525"/>
        <v>0</v>
      </c>
      <c r="G2456" s="64">
        <f t="shared" si="525"/>
        <v>0</v>
      </c>
      <c r="H2456" s="64">
        <f t="shared" si="525"/>
        <v>0</v>
      </c>
      <c r="I2456" s="64">
        <f t="shared" si="525"/>
        <v>0</v>
      </c>
    </row>
    <row r="2457" spans="1:11" s="20" customFormat="1" ht="12.95">
      <c r="A2457" s="529" t="s">
        <v>34</v>
      </c>
      <c r="B2457" s="54" t="s">
        <v>29</v>
      </c>
      <c r="C2457" s="64">
        <f>D2457+E2457+F2457+G2457+H2457+I2457</f>
        <v>116626</v>
      </c>
      <c r="D2457" s="64">
        <f t="shared" ref="D2457:I2458" si="526">D118</f>
        <v>116626</v>
      </c>
      <c r="E2457" s="64">
        <f t="shared" si="526"/>
        <v>0</v>
      </c>
      <c r="F2457" s="64">
        <f t="shared" si="526"/>
        <v>0</v>
      </c>
      <c r="G2457" s="64">
        <f t="shared" si="526"/>
        <v>0</v>
      </c>
      <c r="H2457" s="64">
        <f t="shared" si="526"/>
        <v>0</v>
      </c>
      <c r="I2457" s="64">
        <f t="shared" si="526"/>
        <v>0</v>
      </c>
    </row>
    <row r="2458" spans="1:11" s="20" customFormat="1" ht="12.95">
      <c r="A2458" s="16" t="s">
        <v>35</v>
      </c>
      <c r="B2458" s="55" t="s">
        <v>30</v>
      </c>
      <c r="C2458" s="64">
        <f t="shared" si="520"/>
        <v>116626</v>
      </c>
      <c r="D2458" s="64">
        <f t="shared" si="526"/>
        <v>116626</v>
      </c>
      <c r="E2458" s="64">
        <f t="shared" si="526"/>
        <v>0</v>
      </c>
      <c r="F2458" s="64">
        <f t="shared" si="526"/>
        <v>0</v>
      </c>
      <c r="G2458" s="64">
        <f t="shared" si="526"/>
        <v>0</v>
      </c>
      <c r="H2458" s="64">
        <f t="shared" si="526"/>
        <v>0</v>
      </c>
      <c r="I2458" s="64">
        <f t="shared" si="526"/>
        <v>0</v>
      </c>
    </row>
    <row r="2459" spans="1:11" s="20" customFormat="1" ht="25.7">
      <c r="A2459" s="398" t="s">
        <v>36</v>
      </c>
      <c r="B2459" s="54" t="s">
        <v>29</v>
      </c>
      <c r="C2459" s="64">
        <f>D2459+E2459+F2459+G2459+H2459+I2459</f>
        <v>67018</v>
      </c>
      <c r="D2459" s="64">
        <f t="shared" ref="D2459:I2460" si="527">D136+D626</f>
        <v>66676</v>
      </c>
      <c r="E2459" s="64">
        <f t="shared" si="527"/>
        <v>342</v>
      </c>
      <c r="F2459" s="64">
        <f t="shared" si="527"/>
        <v>0</v>
      </c>
      <c r="G2459" s="64">
        <f t="shared" si="527"/>
        <v>0</v>
      </c>
      <c r="H2459" s="64">
        <f t="shared" si="527"/>
        <v>0</v>
      </c>
      <c r="I2459" s="64">
        <f t="shared" si="527"/>
        <v>0</v>
      </c>
    </row>
    <row r="2460" spans="1:11" s="20" customFormat="1" ht="12.95">
      <c r="A2460" s="16"/>
      <c r="B2460" s="55" t="s">
        <v>30</v>
      </c>
      <c r="C2460" s="64">
        <f t="shared" ref="C2460" si="528">D2460+E2460+F2460+G2460+H2460+I2460</f>
        <v>67018</v>
      </c>
      <c r="D2460" s="64">
        <f t="shared" si="527"/>
        <v>66676</v>
      </c>
      <c r="E2460" s="64">
        <f t="shared" si="527"/>
        <v>342</v>
      </c>
      <c r="F2460" s="64">
        <f t="shared" si="527"/>
        <v>0</v>
      </c>
      <c r="G2460" s="64">
        <f t="shared" si="527"/>
        <v>0</v>
      </c>
      <c r="H2460" s="64">
        <f t="shared" si="527"/>
        <v>0</v>
      </c>
      <c r="I2460" s="64">
        <f t="shared" si="527"/>
        <v>0</v>
      </c>
    </row>
    <row r="2461" spans="1:11" ht="12.95">
      <c r="A2461" s="19" t="s">
        <v>37</v>
      </c>
      <c r="B2461" s="73" t="s">
        <v>29</v>
      </c>
      <c r="C2461" s="52">
        <f t="shared" si="520"/>
        <v>327648.44500000001</v>
      </c>
      <c r="D2461" s="64">
        <f t="shared" ref="D2461:I2462" si="529">D144+D413+D554+D632+D2050+D1493+D2089</f>
        <v>33447.864999999998</v>
      </c>
      <c r="E2461" s="64">
        <f t="shared" si="529"/>
        <v>30878</v>
      </c>
      <c r="F2461" s="64">
        <f t="shared" si="529"/>
        <v>96474.340000000011</v>
      </c>
      <c r="G2461" s="64">
        <f t="shared" si="529"/>
        <v>83651.509999999995</v>
      </c>
      <c r="H2461" s="64">
        <f t="shared" si="529"/>
        <v>71687.42</v>
      </c>
      <c r="I2461" s="64">
        <f t="shared" si="529"/>
        <v>11509.309999999998</v>
      </c>
    </row>
    <row r="2462" spans="1:11" ht="12.95">
      <c r="A2462" s="16"/>
      <c r="B2462" s="40" t="s">
        <v>30</v>
      </c>
      <c r="C2462" s="52">
        <f t="shared" si="520"/>
        <v>327648.44500000001</v>
      </c>
      <c r="D2462" s="64">
        <f t="shared" si="529"/>
        <v>33447.864999999998</v>
      </c>
      <c r="E2462" s="64">
        <f t="shared" si="529"/>
        <v>30878</v>
      </c>
      <c r="F2462" s="64">
        <f t="shared" si="529"/>
        <v>96474.340000000011</v>
      </c>
      <c r="G2462" s="64">
        <f t="shared" si="529"/>
        <v>83651.509999999995</v>
      </c>
      <c r="H2462" s="64">
        <f t="shared" si="529"/>
        <v>71687.42</v>
      </c>
      <c r="I2462" s="64">
        <f t="shared" si="529"/>
        <v>11509.309999999998</v>
      </c>
    </row>
    <row r="2463" spans="1:11" s="20" customFormat="1">
      <c r="A2463" s="275" t="s">
        <v>44</v>
      </c>
      <c r="B2463" s="59" t="s">
        <v>29</v>
      </c>
      <c r="C2463" s="64">
        <f>D2463+E2463+F2463+G2463+H2463+I2463</f>
        <v>52489</v>
      </c>
      <c r="D2463" s="64">
        <f>D2465</f>
        <v>52435</v>
      </c>
      <c r="E2463" s="64">
        <f t="shared" ref="E2463:I2464" si="530">E2465</f>
        <v>0</v>
      </c>
      <c r="F2463" s="64">
        <f t="shared" si="530"/>
        <v>0</v>
      </c>
      <c r="G2463" s="64">
        <f t="shared" si="530"/>
        <v>0</v>
      </c>
      <c r="H2463" s="64">
        <f t="shared" si="530"/>
        <v>0</v>
      </c>
      <c r="I2463" s="64">
        <f t="shared" si="530"/>
        <v>54</v>
      </c>
    </row>
    <row r="2464" spans="1:11" s="20" customFormat="1">
      <c r="A2464" s="12" t="s">
        <v>32</v>
      </c>
      <c r="B2464" s="62" t="s">
        <v>30</v>
      </c>
      <c r="C2464" s="64">
        <f>D2464+E2464+F2464+G2464+H2464+I2464</f>
        <v>52489</v>
      </c>
      <c r="D2464" s="64">
        <f>D2466</f>
        <v>52435</v>
      </c>
      <c r="E2464" s="64">
        <f t="shared" si="530"/>
        <v>0</v>
      </c>
      <c r="F2464" s="64">
        <f t="shared" si="530"/>
        <v>0</v>
      </c>
      <c r="G2464" s="64">
        <f t="shared" si="530"/>
        <v>0</v>
      </c>
      <c r="H2464" s="64">
        <f t="shared" si="530"/>
        <v>0</v>
      </c>
      <c r="I2464" s="64">
        <f t="shared" si="530"/>
        <v>54</v>
      </c>
    </row>
    <row r="2465" spans="1:9" s="20" customFormat="1" ht="12.95">
      <c r="A2465" s="529" t="s">
        <v>34</v>
      </c>
      <c r="B2465" s="54" t="s">
        <v>29</v>
      </c>
      <c r="C2465" s="64">
        <f>D2465+E2465+F2465+G2465+H2465+I2465</f>
        <v>52489</v>
      </c>
      <c r="D2465" s="64">
        <f t="shared" ref="D2465:I2466" si="531">D158</f>
        <v>52435</v>
      </c>
      <c r="E2465" s="64">
        <f t="shared" si="531"/>
        <v>0</v>
      </c>
      <c r="F2465" s="64">
        <f t="shared" si="531"/>
        <v>0</v>
      </c>
      <c r="G2465" s="64">
        <f t="shared" si="531"/>
        <v>0</v>
      </c>
      <c r="H2465" s="64">
        <f t="shared" si="531"/>
        <v>0</v>
      </c>
      <c r="I2465" s="64">
        <f t="shared" si="531"/>
        <v>54</v>
      </c>
    </row>
    <row r="2466" spans="1:9" s="20" customFormat="1" ht="12.95">
      <c r="A2466" s="530" t="s">
        <v>35</v>
      </c>
      <c r="B2466" s="55" t="s">
        <v>30</v>
      </c>
      <c r="C2466" s="64">
        <f>D2466+E2466+F2466+G2466+H2466+I2466</f>
        <v>52489</v>
      </c>
      <c r="D2466" s="64">
        <f t="shared" si="531"/>
        <v>52435</v>
      </c>
      <c r="E2466" s="64">
        <f t="shared" si="531"/>
        <v>0</v>
      </c>
      <c r="F2466" s="64">
        <f t="shared" si="531"/>
        <v>0</v>
      </c>
      <c r="G2466" s="64">
        <f t="shared" si="531"/>
        <v>0</v>
      </c>
      <c r="H2466" s="64">
        <f t="shared" si="531"/>
        <v>0</v>
      </c>
      <c r="I2466" s="64">
        <f t="shared" si="531"/>
        <v>54</v>
      </c>
    </row>
    <row r="2467" spans="1:9">
      <c r="A2467" s="568" t="s">
        <v>945</v>
      </c>
      <c r="B2467" s="569"/>
      <c r="C2467" s="569"/>
      <c r="D2467" s="569"/>
      <c r="E2467" s="569"/>
      <c r="F2467" s="569"/>
      <c r="G2467" s="569"/>
      <c r="H2467" s="569"/>
      <c r="I2467" s="570"/>
    </row>
    <row r="2468" spans="1:9">
      <c r="A2468" s="7" t="s">
        <v>28</v>
      </c>
      <c r="B2468" s="3" t="s">
        <v>29</v>
      </c>
      <c r="C2468" s="52">
        <f t="shared" ref="C2468:C2473" si="532">D2468+E2468+F2468+G2468+H2468+I2468</f>
        <v>1.57</v>
      </c>
      <c r="D2468" s="72">
        <f>D2470</f>
        <v>0.57000000000000006</v>
      </c>
      <c r="E2468" s="72">
        <f t="shared" ref="E2468:I2471" si="533">E2470</f>
        <v>1</v>
      </c>
      <c r="F2468" s="72">
        <f t="shared" si="533"/>
        <v>0</v>
      </c>
      <c r="G2468" s="72">
        <f t="shared" si="533"/>
        <v>0</v>
      </c>
      <c r="H2468" s="72">
        <f t="shared" si="533"/>
        <v>0</v>
      </c>
      <c r="I2468" s="72">
        <f t="shared" si="533"/>
        <v>0</v>
      </c>
    </row>
    <row r="2469" spans="1:9" ht="12.95" thickBot="1">
      <c r="A2469" s="8"/>
      <c r="B2469" s="9" t="s">
        <v>30</v>
      </c>
      <c r="C2469" s="52">
        <f t="shared" si="532"/>
        <v>1.57</v>
      </c>
      <c r="D2469" s="72">
        <f>D2471</f>
        <v>0.57000000000000006</v>
      </c>
      <c r="E2469" s="72">
        <f t="shared" si="533"/>
        <v>1</v>
      </c>
      <c r="F2469" s="72">
        <f t="shared" si="533"/>
        <v>0</v>
      </c>
      <c r="G2469" s="72">
        <f t="shared" si="533"/>
        <v>0</v>
      </c>
      <c r="H2469" s="72">
        <f t="shared" si="533"/>
        <v>0</v>
      </c>
      <c r="I2469" s="72">
        <f t="shared" si="533"/>
        <v>0</v>
      </c>
    </row>
    <row r="2470" spans="1:9">
      <c r="A2470" s="47" t="s">
        <v>47</v>
      </c>
      <c r="B2470" s="24" t="s">
        <v>29</v>
      </c>
      <c r="C2470" s="52">
        <f t="shared" si="532"/>
        <v>1.57</v>
      </c>
      <c r="D2470" s="72">
        <f>D2472</f>
        <v>0.57000000000000006</v>
      </c>
      <c r="E2470" s="72">
        <f t="shared" si="533"/>
        <v>1</v>
      </c>
      <c r="F2470" s="72">
        <f t="shared" si="533"/>
        <v>0</v>
      </c>
      <c r="G2470" s="72">
        <f t="shared" si="533"/>
        <v>0</v>
      </c>
      <c r="H2470" s="72">
        <f t="shared" si="533"/>
        <v>0</v>
      </c>
      <c r="I2470" s="72">
        <f t="shared" si="533"/>
        <v>0</v>
      </c>
    </row>
    <row r="2471" spans="1:9">
      <c r="A2471" s="12" t="s">
        <v>48</v>
      </c>
      <c r="B2471" s="26" t="s">
        <v>30</v>
      </c>
      <c r="C2471" s="52">
        <f t="shared" si="532"/>
        <v>1.57</v>
      </c>
      <c r="D2471" s="72">
        <f>D2473</f>
        <v>0.57000000000000006</v>
      </c>
      <c r="E2471" s="72">
        <f t="shared" si="533"/>
        <v>1</v>
      </c>
      <c r="F2471" s="72">
        <f t="shared" si="533"/>
        <v>0</v>
      </c>
      <c r="G2471" s="72">
        <f t="shared" si="533"/>
        <v>0</v>
      </c>
      <c r="H2471" s="72">
        <f t="shared" si="533"/>
        <v>0</v>
      </c>
      <c r="I2471" s="72">
        <f t="shared" si="533"/>
        <v>0</v>
      </c>
    </row>
    <row r="2472" spans="1:9" ht="12.95">
      <c r="A2472" s="19" t="s">
        <v>37</v>
      </c>
      <c r="B2472" s="73" t="s">
        <v>29</v>
      </c>
      <c r="C2472" s="52">
        <f t="shared" si="532"/>
        <v>1.57</v>
      </c>
      <c r="D2472" s="64">
        <f t="shared" ref="D2472:I2473" si="534">D695</f>
        <v>0.57000000000000006</v>
      </c>
      <c r="E2472" s="64">
        <f t="shared" si="534"/>
        <v>1</v>
      </c>
      <c r="F2472" s="64">
        <f t="shared" si="534"/>
        <v>0</v>
      </c>
      <c r="G2472" s="64">
        <f t="shared" si="534"/>
        <v>0</v>
      </c>
      <c r="H2472" s="64">
        <f t="shared" si="534"/>
        <v>0</v>
      </c>
      <c r="I2472" s="64">
        <f t="shared" si="534"/>
        <v>0</v>
      </c>
    </row>
    <row r="2473" spans="1:9" ht="12.95">
      <c r="A2473" s="16"/>
      <c r="B2473" s="40" t="s">
        <v>30</v>
      </c>
      <c r="C2473" s="52">
        <f t="shared" si="532"/>
        <v>1.57</v>
      </c>
      <c r="D2473" s="64">
        <f t="shared" si="534"/>
        <v>0.57000000000000006</v>
      </c>
      <c r="E2473" s="64">
        <f t="shared" si="534"/>
        <v>1</v>
      </c>
      <c r="F2473" s="64">
        <f t="shared" si="534"/>
        <v>0</v>
      </c>
      <c r="G2473" s="64">
        <f t="shared" si="534"/>
        <v>0</v>
      </c>
      <c r="H2473" s="64">
        <f t="shared" si="534"/>
        <v>0</v>
      </c>
      <c r="I2473" s="64">
        <f t="shared" si="534"/>
        <v>0</v>
      </c>
    </row>
    <row r="2474" spans="1:9" ht="12.75" customHeight="1">
      <c r="A2474" s="568" t="s">
        <v>277</v>
      </c>
      <c r="B2474" s="569"/>
      <c r="C2474" s="569"/>
      <c r="D2474" s="569"/>
      <c r="E2474" s="569"/>
      <c r="F2474" s="569"/>
      <c r="G2474" s="569"/>
      <c r="H2474" s="569"/>
      <c r="I2474" s="570"/>
    </row>
    <row r="2475" spans="1:9">
      <c r="A2475" s="7" t="s">
        <v>28</v>
      </c>
      <c r="B2475" s="160" t="s">
        <v>29</v>
      </c>
      <c r="C2475" s="45">
        <f t="shared" ref="C2475:C2480" si="535">D2475+E2475+F2475+G2475+H2475+I2475</f>
        <v>95.63</v>
      </c>
      <c r="D2475" s="45">
        <f>D2477</f>
        <v>95.63</v>
      </c>
      <c r="E2475" s="45">
        <f t="shared" ref="E2475:I2477" si="536">E2477</f>
        <v>0</v>
      </c>
      <c r="F2475" s="45">
        <f t="shared" si="536"/>
        <v>0</v>
      </c>
      <c r="G2475" s="45">
        <f t="shared" si="536"/>
        <v>0</v>
      </c>
      <c r="H2475" s="45">
        <f t="shared" si="536"/>
        <v>0</v>
      </c>
      <c r="I2475" s="45">
        <f t="shared" si="536"/>
        <v>0</v>
      </c>
    </row>
    <row r="2476" spans="1:9" ht="12.95" thickBot="1">
      <c r="A2476" s="8"/>
      <c r="B2476" s="4" t="s">
        <v>30</v>
      </c>
      <c r="C2476" s="45">
        <f t="shared" si="535"/>
        <v>95.63</v>
      </c>
      <c r="D2476" s="45">
        <f>D2478</f>
        <v>95.63</v>
      </c>
      <c r="E2476" s="45">
        <f t="shared" si="536"/>
        <v>0</v>
      </c>
      <c r="F2476" s="45">
        <f t="shared" si="536"/>
        <v>0</v>
      </c>
      <c r="G2476" s="45">
        <f t="shared" si="536"/>
        <v>0</v>
      </c>
      <c r="H2476" s="45">
        <f t="shared" si="536"/>
        <v>0</v>
      </c>
      <c r="I2476" s="45">
        <f t="shared" si="536"/>
        <v>0</v>
      </c>
    </row>
    <row r="2477" spans="1:9">
      <c r="A2477" s="14" t="s">
        <v>31</v>
      </c>
      <c r="B2477" s="3" t="s">
        <v>29</v>
      </c>
      <c r="C2477" s="45">
        <f t="shared" si="535"/>
        <v>95.63</v>
      </c>
      <c r="D2477" s="45">
        <f>D2479</f>
        <v>95.63</v>
      </c>
      <c r="E2477" s="45">
        <f>E2479</f>
        <v>0</v>
      </c>
      <c r="F2477" s="45">
        <f t="shared" si="536"/>
        <v>0</v>
      </c>
      <c r="G2477" s="45">
        <f t="shared" si="536"/>
        <v>0</v>
      </c>
      <c r="H2477" s="45">
        <f t="shared" si="536"/>
        <v>0</v>
      </c>
      <c r="I2477" s="45">
        <f t="shared" si="536"/>
        <v>0</v>
      </c>
    </row>
    <row r="2478" spans="1:9">
      <c r="A2478" s="10" t="s">
        <v>32</v>
      </c>
      <c r="B2478" s="4" t="s">
        <v>30</v>
      </c>
      <c r="C2478" s="45">
        <f t="shared" si="535"/>
        <v>95.63</v>
      </c>
      <c r="D2478" s="45">
        <f>D2480</f>
        <v>95.63</v>
      </c>
      <c r="E2478" s="45">
        <f t="shared" ref="E2478:I2478" si="537">E2480</f>
        <v>0</v>
      </c>
      <c r="F2478" s="45">
        <f t="shared" si="537"/>
        <v>0</v>
      </c>
      <c r="G2478" s="45">
        <f t="shared" si="537"/>
        <v>0</v>
      </c>
      <c r="H2478" s="45">
        <f t="shared" si="537"/>
        <v>0</v>
      </c>
      <c r="I2478" s="45">
        <f t="shared" si="537"/>
        <v>0</v>
      </c>
    </row>
    <row r="2479" spans="1:9" s="20" customFormat="1" ht="12.95">
      <c r="A2479" s="19" t="s">
        <v>37</v>
      </c>
      <c r="B2479" s="59" t="s">
        <v>29</v>
      </c>
      <c r="C2479" s="273">
        <f t="shared" si="535"/>
        <v>95.63</v>
      </c>
      <c r="D2479" s="64">
        <f t="shared" ref="D2479:I2480" si="538">D714</f>
        <v>95.63</v>
      </c>
      <c r="E2479" s="64">
        <f t="shared" si="538"/>
        <v>0</v>
      </c>
      <c r="F2479" s="64">
        <f t="shared" si="538"/>
        <v>0</v>
      </c>
      <c r="G2479" s="64">
        <f t="shared" si="538"/>
        <v>0</v>
      </c>
      <c r="H2479" s="64">
        <f t="shared" si="538"/>
        <v>0</v>
      </c>
      <c r="I2479" s="64">
        <f t="shared" si="538"/>
        <v>0</v>
      </c>
    </row>
    <row r="2480" spans="1:9" s="20" customFormat="1" ht="12.95">
      <c r="A2480" s="16"/>
      <c r="B2480" s="62" t="s">
        <v>30</v>
      </c>
      <c r="C2480" s="273">
        <f t="shared" si="535"/>
        <v>95.63</v>
      </c>
      <c r="D2480" s="64">
        <f t="shared" si="538"/>
        <v>95.63</v>
      </c>
      <c r="E2480" s="64">
        <f t="shared" si="538"/>
        <v>0</v>
      </c>
      <c r="F2480" s="64">
        <f t="shared" si="538"/>
        <v>0</v>
      </c>
      <c r="G2480" s="64">
        <f t="shared" si="538"/>
        <v>0</v>
      </c>
      <c r="H2480" s="64">
        <f t="shared" si="538"/>
        <v>0</v>
      </c>
      <c r="I2480" s="64">
        <f t="shared" si="538"/>
        <v>0</v>
      </c>
    </row>
    <row r="2481" spans="1:9" ht="12.75" customHeight="1">
      <c r="A2481" s="568" t="s">
        <v>285</v>
      </c>
      <c r="B2481" s="569"/>
      <c r="C2481" s="569"/>
      <c r="D2481" s="569"/>
      <c r="E2481" s="569"/>
      <c r="F2481" s="569"/>
      <c r="G2481" s="569"/>
      <c r="H2481" s="569"/>
      <c r="I2481" s="570"/>
    </row>
    <row r="2482" spans="1:9">
      <c r="A2482" s="7" t="s">
        <v>28</v>
      </c>
      <c r="B2482" s="160" t="s">
        <v>29</v>
      </c>
      <c r="C2482" s="45">
        <f t="shared" ref="C2482:C2487" si="539">D2482+E2482+F2482+G2482+H2482+I2482</f>
        <v>7936.95</v>
      </c>
      <c r="D2482" s="45">
        <f>D2484</f>
        <v>3859.95</v>
      </c>
      <c r="E2482" s="45">
        <f t="shared" ref="E2482:I2485" si="540">E2484</f>
        <v>4077</v>
      </c>
      <c r="F2482" s="45">
        <f t="shared" si="540"/>
        <v>0</v>
      </c>
      <c r="G2482" s="45">
        <f t="shared" si="540"/>
        <v>0</v>
      </c>
      <c r="H2482" s="45">
        <f t="shared" si="540"/>
        <v>0</v>
      </c>
      <c r="I2482" s="45">
        <f t="shared" si="540"/>
        <v>0</v>
      </c>
    </row>
    <row r="2483" spans="1:9" ht="12.95" thickBot="1">
      <c r="A2483" s="8"/>
      <c r="B2483" s="4" t="s">
        <v>30</v>
      </c>
      <c r="C2483" s="45">
        <f t="shared" si="539"/>
        <v>7936.95</v>
      </c>
      <c r="D2483" s="45">
        <f>D2485</f>
        <v>3859.95</v>
      </c>
      <c r="E2483" s="45">
        <f t="shared" si="540"/>
        <v>4077</v>
      </c>
      <c r="F2483" s="45">
        <f t="shared" si="540"/>
        <v>0</v>
      </c>
      <c r="G2483" s="45">
        <f t="shared" si="540"/>
        <v>0</v>
      </c>
      <c r="H2483" s="45">
        <f t="shared" si="540"/>
        <v>0</v>
      </c>
      <c r="I2483" s="45">
        <f t="shared" si="540"/>
        <v>0</v>
      </c>
    </row>
    <row r="2484" spans="1:9">
      <c r="A2484" s="14" t="s">
        <v>31</v>
      </c>
      <c r="B2484" s="3" t="s">
        <v>29</v>
      </c>
      <c r="C2484" s="45">
        <f t="shared" si="539"/>
        <v>7936.95</v>
      </c>
      <c r="D2484" s="45">
        <f>D2486</f>
        <v>3859.95</v>
      </c>
      <c r="E2484" s="45">
        <f>E2486</f>
        <v>4077</v>
      </c>
      <c r="F2484" s="45">
        <f t="shared" si="540"/>
        <v>0</v>
      </c>
      <c r="G2484" s="45">
        <f t="shared" si="540"/>
        <v>0</v>
      </c>
      <c r="H2484" s="45">
        <f t="shared" si="540"/>
        <v>0</v>
      </c>
      <c r="I2484" s="45">
        <f t="shared" si="540"/>
        <v>0</v>
      </c>
    </row>
    <row r="2485" spans="1:9">
      <c r="A2485" s="10" t="s">
        <v>32</v>
      </c>
      <c r="B2485" s="4" t="s">
        <v>30</v>
      </c>
      <c r="C2485" s="45">
        <f t="shared" si="539"/>
        <v>7936.95</v>
      </c>
      <c r="D2485" s="45">
        <f>D2487</f>
        <v>3859.95</v>
      </c>
      <c r="E2485" s="45">
        <f t="shared" si="540"/>
        <v>4077</v>
      </c>
      <c r="F2485" s="45">
        <f t="shared" si="540"/>
        <v>0</v>
      </c>
      <c r="G2485" s="45">
        <f t="shared" si="540"/>
        <v>0</v>
      </c>
      <c r="H2485" s="45">
        <f t="shared" si="540"/>
        <v>0</v>
      </c>
      <c r="I2485" s="45">
        <f t="shared" si="540"/>
        <v>0</v>
      </c>
    </row>
    <row r="2486" spans="1:9" s="20" customFormat="1" ht="12.95">
      <c r="A2486" s="19" t="s">
        <v>37</v>
      </c>
      <c r="B2486" s="59" t="s">
        <v>29</v>
      </c>
      <c r="C2486" s="273">
        <f t="shared" si="539"/>
        <v>7936.95</v>
      </c>
      <c r="D2486" s="64">
        <f t="shared" ref="D2486:I2487" si="541">D741+D1564+D2102</f>
        <v>3859.95</v>
      </c>
      <c r="E2486" s="64">
        <f t="shared" si="541"/>
        <v>4077</v>
      </c>
      <c r="F2486" s="64">
        <f t="shared" si="541"/>
        <v>0</v>
      </c>
      <c r="G2486" s="64">
        <f t="shared" si="541"/>
        <v>0</v>
      </c>
      <c r="H2486" s="64">
        <f t="shared" si="541"/>
        <v>0</v>
      </c>
      <c r="I2486" s="64">
        <f t="shared" si="541"/>
        <v>0</v>
      </c>
    </row>
    <row r="2487" spans="1:9" s="20" customFormat="1" ht="12.95">
      <c r="A2487" s="16"/>
      <c r="B2487" s="62" t="s">
        <v>30</v>
      </c>
      <c r="C2487" s="273">
        <f t="shared" si="539"/>
        <v>7936.95</v>
      </c>
      <c r="D2487" s="64">
        <f t="shared" si="541"/>
        <v>3859.95</v>
      </c>
      <c r="E2487" s="64">
        <f t="shared" si="541"/>
        <v>4077</v>
      </c>
      <c r="F2487" s="64">
        <f t="shared" si="541"/>
        <v>0</v>
      </c>
      <c r="G2487" s="64">
        <f t="shared" si="541"/>
        <v>0</v>
      </c>
      <c r="H2487" s="64">
        <f t="shared" si="541"/>
        <v>0</v>
      </c>
      <c r="I2487" s="64">
        <f t="shared" si="541"/>
        <v>0</v>
      </c>
    </row>
    <row r="2488" spans="1:9">
      <c r="A2488" s="565" t="s">
        <v>946</v>
      </c>
      <c r="B2488" s="566"/>
      <c r="C2488" s="566"/>
      <c r="D2488" s="566"/>
      <c r="E2488" s="566"/>
      <c r="F2488" s="566"/>
      <c r="G2488" s="566"/>
      <c r="H2488" s="566"/>
      <c r="I2488" s="567"/>
    </row>
    <row r="2489" spans="1:9">
      <c r="A2489" s="44" t="s">
        <v>54</v>
      </c>
      <c r="B2489" s="41"/>
      <c r="C2489" s="48"/>
      <c r="D2489" s="49"/>
      <c r="E2489" s="48"/>
      <c r="F2489" s="48"/>
      <c r="G2489" s="48"/>
      <c r="H2489" s="48"/>
      <c r="I2489" s="50"/>
    </row>
    <row r="2490" spans="1:9">
      <c r="A2490" s="7" t="s">
        <v>28</v>
      </c>
      <c r="B2490" s="3" t="s">
        <v>29</v>
      </c>
      <c r="C2490" s="45">
        <f t="shared" ref="C2490:C2497" si="542">D2490+E2490+F2490+G2490+H2490+I2490</f>
        <v>552.91100000000006</v>
      </c>
      <c r="D2490" s="53">
        <f>D2492</f>
        <v>191.46</v>
      </c>
      <c r="E2490" s="53">
        <f t="shared" ref="E2490:I2491" si="543">E2492</f>
        <v>342</v>
      </c>
      <c r="F2490" s="53">
        <f t="shared" si="543"/>
        <v>0</v>
      </c>
      <c r="G2490" s="53">
        <f t="shared" si="543"/>
        <v>0</v>
      </c>
      <c r="H2490" s="53">
        <f t="shared" si="543"/>
        <v>0</v>
      </c>
      <c r="I2490" s="53">
        <f t="shared" si="543"/>
        <v>19.451000000000022</v>
      </c>
    </row>
    <row r="2491" spans="1:9" ht="12.95" thickBot="1">
      <c r="A2491" s="8"/>
      <c r="B2491" s="9" t="s">
        <v>30</v>
      </c>
      <c r="C2491" s="45">
        <f t="shared" si="542"/>
        <v>552.91100000000006</v>
      </c>
      <c r="D2491" s="53">
        <f>D2493</f>
        <v>191.46</v>
      </c>
      <c r="E2491" s="53">
        <f t="shared" si="543"/>
        <v>342</v>
      </c>
      <c r="F2491" s="53">
        <f t="shared" si="543"/>
        <v>0</v>
      </c>
      <c r="G2491" s="53">
        <f t="shared" si="543"/>
        <v>0</v>
      </c>
      <c r="H2491" s="53">
        <f t="shared" si="543"/>
        <v>0</v>
      </c>
      <c r="I2491" s="53">
        <f t="shared" si="543"/>
        <v>19.451000000000022</v>
      </c>
    </row>
    <row r="2492" spans="1:9">
      <c r="A2492" s="23" t="s">
        <v>60</v>
      </c>
      <c r="B2492" s="24" t="s">
        <v>29</v>
      </c>
      <c r="C2492" s="45">
        <f t="shared" si="542"/>
        <v>552.91100000000006</v>
      </c>
      <c r="D2492" s="53">
        <f>D2494+D2496</f>
        <v>191.46</v>
      </c>
      <c r="E2492" s="53">
        <f t="shared" ref="E2492:I2493" si="544">E2494+E2496</f>
        <v>342</v>
      </c>
      <c r="F2492" s="53">
        <f t="shared" si="544"/>
        <v>0</v>
      </c>
      <c r="G2492" s="53">
        <f t="shared" si="544"/>
        <v>0</v>
      </c>
      <c r="H2492" s="53">
        <f t="shared" si="544"/>
        <v>0</v>
      </c>
      <c r="I2492" s="53">
        <f t="shared" si="544"/>
        <v>19.451000000000022</v>
      </c>
    </row>
    <row r="2493" spans="1:9">
      <c r="A2493" s="21" t="s">
        <v>45</v>
      </c>
      <c r="B2493" s="26" t="s">
        <v>30</v>
      </c>
      <c r="C2493" s="45">
        <f t="shared" si="542"/>
        <v>552.91100000000006</v>
      </c>
      <c r="D2493" s="53">
        <f>D2495+D2497</f>
        <v>191.46</v>
      </c>
      <c r="E2493" s="53">
        <f t="shared" si="544"/>
        <v>342</v>
      </c>
      <c r="F2493" s="53">
        <f t="shared" si="544"/>
        <v>0</v>
      </c>
      <c r="G2493" s="53">
        <f t="shared" si="544"/>
        <v>0</v>
      </c>
      <c r="H2493" s="53">
        <f t="shared" si="544"/>
        <v>0</v>
      </c>
      <c r="I2493" s="53">
        <f t="shared" si="544"/>
        <v>19.451000000000022</v>
      </c>
    </row>
    <row r="2494" spans="1:9" s="20" customFormat="1" ht="12.95">
      <c r="A2494" s="529" t="s">
        <v>944</v>
      </c>
      <c r="B2494" s="54" t="s">
        <v>29</v>
      </c>
      <c r="C2494" s="64">
        <f>D2494+E2494+F2494+G2494+H2494+I2494</f>
        <v>99</v>
      </c>
      <c r="D2494" s="64">
        <f t="shared" ref="D2494:I2495" si="545">D776</f>
        <v>0</v>
      </c>
      <c r="E2494" s="64">
        <f t="shared" si="545"/>
        <v>99</v>
      </c>
      <c r="F2494" s="64">
        <f t="shared" si="545"/>
        <v>0</v>
      </c>
      <c r="G2494" s="64">
        <f t="shared" si="545"/>
        <v>0</v>
      </c>
      <c r="H2494" s="64">
        <f t="shared" si="545"/>
        <v>0</v>
      </c>
      <c r="I2494" s="64">
        <f t="shared" si="545"/>
        <v>0</v>
      </c>
    </row>
    <row r="2495" spans="1:9" s="20" customFormat="1" ht="12.95">
      <c r="A2495" s="16" t="s">
        <v>35</v>
      </c>
      <c r="B2495" s="55" t="s">
        <v>30</v>
      </c>
      <c r="C2495" s="64">
        <f t="shared" ref="C2495" si="546">D2495+E2495+F2495+G2495+H2495+I2495</f>
        <v>99</v>
      </c>
      <c r="D2495" s="64">
        <f t="shared" si="545"/>
        <v>0</v>
      </c>
      <c r="E2495" s="64">
        <f t="shared" si="545"/>
        <v>99</v>
      </c>
      <c r="F2495" s="64">
        <f t="shared" si="545"/>
        <v>0</v>
      </c>
      <c r="G2495" s="64">
        <f t="shared" si="545"/>
        <v>0</v>
      </c>
      <c r="H2495" s="64">
        <f t="shared" si="545"/>
        <v>0</v>
      </c>
      <c r="I2495" s="64">
        <f t="shared" si="545"/>
        <v>0</v>
      </c>
    </row>
    <row r="2496" spans="1:9" ht="12.95">
      <c r="A2496" s="19" t="s">
        <v>37</v>
      </c>
      <c r="B2496" s="3" t="s">
        <v>29</v>
      </c>
      <c r="C2496" s="52">
        <f t="shared" si="542"/>
        <v>453.91100000000006</v>
      </c>
      <c r="D2496" s="72">
        <f t="shared" ref="D2496:I2497" si="547">D784+D1585+D2123</f>
        <v>191.46</v>
      </c>
      <c r="E2496" s="72">
        <f t="shared" si="547"/>
        <v>243</v>
      </c>
      <c r="F2496" s="72">
        <f t="shared" si="547"/>
        <v>0</v>
      </c>
      <c r="G2496" s="72">
        <f t="shared" si="547"/>
        <v>0</v>
      </c>
      <c r="H2496" s="72">
        <f t="shared" si="547"/>
        <v>0</v>
      </c>
      <c r="I2496" s="72">
        <f t="shared" si="547"/>
        <v>19.451000000000022</v>
      </c>
    </row>
    <row r="2497" spans="1:9" ht="12.95">
      <c r="A2497" s="16"/>
      <c r="B2497" s="4" t="s">
        <v>30</v>
      </c>
      <c r="C2497" s="52">
        <f t="shared" si="542"/>
        <v>453.91100000000006</v>
      </c>
      <c r="D2497" s="72">
        <f t="shared" si="547"/>
        <v>191.46</v>
      </c>
      <c r="E2497" s="72">
        <f t="shared" si="547"/>
        <v>243</v>
      </c>
      <c r="F2497" s="72">
        <f t="shared" si="547"/>
        <v>0</v>
      </c>
      <c r="G2497" s="72">
        <f t="shared" si="547"/>
        <v>0</v>
      </c>
      <c r="H2497" s="72">
        <f t="shared" si="547"/>
        <v>0</v>
      </c>
      <c r="I2497" s="72">
        <f t="shared" si="547"/>
        <v>19.451000000000022</v>
      </c>
    </row>
    <row r="2498" spans="1:9">
      <c r="A2498" s="568" t="s">
        <v>86</v>
      </c>
      <c r="B2498" s="569"/>
      <c r="C2498" s="569"/>
      <c r="D2498" s="569"/>
      <c r="E2498" s="569"/>
      <c r="F2498" s="569"/>
      <c r="G2498" s="569"/>
      <c r="H2498" s="569"/>
      <c r="I2498" s="570"/>
    </row>
    <row r="2499" spans="1:9">
      <c r="A2499" s="7" t="s">
        <v>28</v>
      </c>
      <c r="B2499" s="3" t="s">
        <v>29</v>
      </c>
      <c r="C2499" s="52">
        <f t="shared" ref="C2499:C2508" si="548">D2499+E2499+F2499+G2499+H2499+I2499</f>
        <v>370270.80200000003</v>
      </c>
      <c r="D2499" s="72">
        <f>D2501</f>
        <v>106874.43700000001</v>
      </c>
      <c r="E2499" s="72">
        <f t="shared" ref="E2499:I2500" si="549">E2501</f>
        <v>76142</v>
      </c>
      <c r="F2499" s="72">
        <f t="shared" si="549"/>
        <v>43960</v>
      </c>
      <c r="G2499" s="72">
        <f t="shared" si="549"/>
        <v>43960</v>
      </c>
      <c r="H2499" s="72">
        <f t="shared" si="549"/>
        <v>40246</v>
      </c>
      <c r="I2499" s="72">
        <f t="shared" si="549"/>
        <v>59088.364999999991</v>
      </c>
    </row>
    <row r="2500" spans="1:9" ht="12.95" thickBot="1">
      <c r="A2500" s="8"/>
      <c r="B2500" s="9" t="s">
        <v>30</v>
      </c>
      <c r="C2500" s="52">
        <f t="shared" si="548"/>
        <v>370270.80200000003</v>
      </c>
      <c r="D2500" s="72">
        <f>D2502</f>
        <v>106874.43700000001</v>
      </c>
      <c r="E2500" s="72">
        <f t="shared" si="549"/>
        <v>76142</v>
      </c>
      <c r="F2500" s="72">
        <f t="shared" si="549"/>
        <v>43960</v>
      </c>
      <c r="G2500" s="72">
        <f t="shared" si="549"/>
        <v>43960</v>
      </c>
      <c r="H2500" s="72">
        <f t="shared" si="549"/>
        <v>40246</v>
      </c>
      <c r="I2500" s="72">
        <f t="shared" si="549"/>
        <v>59088.364999999991</v>
      </c>
    </row>
    <row r="2501" spans="1:9">
      <c r="A2501" s="47" t="s">
        <v>47</v>
      </c>
      <c r="B2501" s="24" t="s">
        <v>29</v>
      </c>
      <c r="C2501" s="52">
        <f t="shared" si="548"/>
        <v>370270.80200000003</v>
      </c>
      <c r="D2501" s="72">
        <f>D2503+D2505+D2507</f>
        <v>106874.43700000001</v>
      </c>
      <c r="E2501" s="72">
        <f t="shared" ref="E2501:I2502" si="550">E2503+E2505+E2507</f>
        <v>76142</v>
      </c>
      <c r="F2501" s="72">
        <f t="shared" si="550"/>
        <v>43960</v>
      </c>
      <c r="G2501" s="72">
        <f t="shared" si="550"/>
        <v>43960</v>
      </c>
      <c r="H2501" s="72">
        <f t="shared" si="550"/>
        <v>40246</v>
      </c>
      <c r="I2501" s="72">
        <f t="shared" si="550"/>
        <v>59088.364999999991</v>
      </c>
    </row>
    <row r="2502" spans="1:9">
      <c r="A2502" s="12" t="s">
        <v>48</v>
      </c>
      <c r="B2502" s="26" t="s">
        <v>30</v>
      </c>
      <c r="C2502" s="52">
        <f t="shared" si="548"/>
        <v>370270.80200000003</v>
      </c>
      <c r="D2502" s="72">
        <f>D2504+D2506+D2508</f>
        <v>106874.43700000001</v>
      </c>
      <c r="E2502" s="72">
        <f t="shared" si="550"/>
        <v>76142</v>
      </c>
      <c r="F2502" s="72">
        <f t="shared" si="550"/>
        <v>43960</v>
      </c>
      <c r="G2502" s="72">
        <f t="shared" si="550"/>
        <v>43960</v>
      </c>
      <c r="H2502" s="72">
        <f t="shared" si="550"/>
        <v>40246</v>
      </c>
      <c r="I2502" s="72">
        <f t="shared" si="550"/>
        <v>59088.364999999991</v>
      </c>
    </row>
    <row r="2503" spans="1:9" s="209" customFormat="1" ht="12.95">
      <c r="A2503" s="17" t="s">
        <v>944</v>
      </c>
      <c r="B2503" s="54" t="s">
        <v>29</v>
      </c>
      <c r="C2503" s="64">
        <f>D2503+E2503+F2503+G2503+H2503+I2503</f>
        <v>28225</v>
      </c>
      <c r="D2503" s="64">
        <f t="shared" ref="D2503:I2504" si="551">D799+D2146</f>
        <v>427</v>
      </c>
      <c r="E2503" s="64">
        <f t="shared" si="551"/>
        <v>27798</v>
      </c>
      <c r="F2503" s="64">
        <f t="shared" si="551"/>
        <v>0</v>
      </c>
      <c r="G2503" s="64">
        <f t="shared" si="551"/>
        <v>0</v>
      </c>
      <c r="H2503" s="64">
        <f t="shared" si="551"/>
        <v>0</v>
      </c>
      <c r="I2503" s="64">
        <f t="shared" si="551"/>
        <v>0</v>
      </c>
    </row>
    <row r="2504" spans="1:9" s="209" customFormat="1" ht="12.95">
      <c r="A2504" s="16" t="s">
        <v>35</v>
      </c>
      <c r="B2504" s="55" t="s">
        <v>30</v>
      </c>
      <c r="C2504" s="64">
        <f>D2504+E2504+F2504+G2504+H2504+I2504</f>
        <v>28225</v>
      </c>
      <c r="D2504" s="64">
        <f t="shared" si="551"/>
        <v>427</v>
      </c>
      <c r="E2504" s="64">
        <f t="shared" si="551"/>
        <v>27798</v>
      </c>
      <c r="F2504" s="64">
        <f t="shared" si="551"/>
        <v>0</v>
      </c>
      <c r="G2504" s="64">
        <f t="shared" si="551"/>
        <v>0</v>
      </c>
      <c r="H2504" s="64">
        <f t="shared" si="551"/>
        <v>0</v>
      </c>
      <c r="I2504" s="64">
        <f t="shared" si="551"/>
        <v>0</v>
      </c>
    </row>
    <row r="2505" spans="1:9" s="20" customFormat="1" ht="25.7">
      <c r="A2505" s="258" t="s">
        <v>36</v>
      </c>
      <c r="B2505" s="54" t="s">
        <v>29</v>
      </c>
      <c r="C2505" s="64">
        <f>D2505+E2505+F2505+G2505+H2505+I2505</f>
        <v>23590</v>
      </c>
      <c r="D2505" s="64">
        <f t="shared" ref="D2505:I2506" si="552">D807</f>
        <v>14624.970000000001</v>
      </c>
      <c r="E2505" s="64">
        <f t="shared" si="552"/>
        <v>7837</v>
      </c>
      <c r="F2505" s="64">
        <f t="shared" si="552"/>
        <v>0</v>
      </c>
      <c r="G2505" s="64">
        <f t="shared" si="552"/>
        <v>0</v>
      </c>
      <c r="H2505" s="64">
        <f t="shared" si="552"/>
        <v>0</v>
      </c>
      <c r="I2505" s="64">
        <f t="shared" si="552"/>
        <v>1128.0299999999995</v>
      </c>
    </row>
    <row r="2506" spans="1:9" s="20" customFormat="1" ht="12.95">
      <c r="A2506" s="16"/>
      <c r="B2506" s="55" t="s">
        <v>30</v>
      </c>
      <c r="C2506" s="64">
        <f t="shared" ref="C2506" si="553">D2506+E2506+F2506+G2506+H2506+I2506</f>
        <v>23590</v>
      </c>
      <c r="D2506" s="64">
        <f t="shared" si="552"/>
        <v>14624.970000000001</v>
      </c>
      <c r="E2506" s="64">
        <f t="shared" si="552"/>
        <v>7837</v>
      </c>
      <c r="F2506" s="64">
        <f t="shared" si="552"/>
        <v>0</v>
      </c>
      <c r="G2506" s="64">
        <f t="shared" si="552"/>
        <v>0</v>
      </c>
      <c r="H2506" s="64">
        <f t="shared" si="552"/>
        <v>0</v>
      </c>
      <c r="I2506" s="64">
        <f t="shared" si="552"/>
        <v>1128.0299999999995</v>
      </c>
    </row>
    <row r="2507" spans="1:9" ht="12.95">
      <c r="A2507" s="19" t="s">
        <v>37</v>
      </c>
      <c r="B2507" s="3" t="s">
        <v>29</v>
      </c>
      <c r="C2507" s="52">
        <f t="shared" si="548"/>
        <v>318455.80200000003</v>
      </c>
      <c r="D2507" s="72">
        <f t="shared" ref="D2507:I2508" si="554">D181+D825+D1600+D2152+D428</f>
        <v>91822.467000000004</v>
      </c>
      <c r="E2507" s="72">
        <f t="shared" si="554"/>
        <v>40507</v>
      </c>
      <c r="F2507" s="72">
        <f t="shared" si="554"/>
        <v>43960</v>
      </c>
      <c r="G2507" s="72">
        <f t="shared" si="554"/>
        <v>43960</v>
      </c>
      <c r="H2507" s="72">
        <f t="shared" si="554"/>
        <v>40246</v>
      </c>
      <c r="I2507" s="72">
        <f t="shared" si="554"/>
        <v>57960.334999999992</v>
      </c>
    </row>
    <row r="2508" spans="1:9" ht="12.95">
      <c r="A2508" s="16"/>
      <c r="B2508" s="4" t="s">
        <v>30</v>
      </c>
      <c r="C2508" s="52">
        <f t="shared" si="548"/>
        <v>318455.80200000003</v>
      </c>
      <c r="D2508" s="72">
        <f t="shared" si="554"/>
        <v>91822.467000000004</v>
      </c>
      <c r="E2508" s="72">
        <f t="shared" si="554"/>
        <v>40507</v>
      </c>
      <c r="F2508" s="72">
        <f t="shared" si="554"/>
        <v>43960</v>
      </c>
      <c r="G2508" s="72">
        <f t="shared" si="554"/>
        <v>43960</v>
      </c>
      <c r="H2508" s="72">
        <f t="shared" si="554"/>
        <v>40246</v>
      </c>
      <c r="I2508" s="72">
        <f t="shared" si="554"/>
        <v>57960.334999999992</v>
      </c>
    </row>
    <row r="2509" spans="1:9">
      <c r="A2509" s="565" t="s">
        <v>877</v>
      </c>
      <c r="B2509" s="566"/>
      <c r="C2509" s="566"/>
      <c r="D2509" s="566"/>
      <c r="E2509" s="566"/>
      <c r="F2509" s="566"/>
      <c r="G2509" s="566"/>
      <c r="H2509" s="566"/>
      <c r="I2509" s="567"/>
    </row>
    <row r="2510" spans="1:9">
      <c r="A2510" s="7" t="s">
        <v>28</v>
      </c>
      <c r="B2510" s="160" t="s">
        <v>29</v>
      </c>
      <c r="C2510" s="52">
        <f t="shared" ref="C2510:C2521" si="555">D2510+E2510+F2510+G2510+H2510+I2510</f>
        <v>90907.106</v>
      </c>
      <c r="D2510" s="52">
        <f>D2512+D2518</f>
        <v>15859.44</v>
      </c>
      <c r="E2510" s="52">
        <f t="shared" ref="E2510:I2511" si="556">E2512+E2518</f>
        <v>62194</v>
      </c>
      <c r="F2510" s="52">
        <f t="shared" si="556"/>
        <v>7230.8799999999992</v>
      </c>
      <c r="G2510" s="52">
        <f t="shared" si="556"/>
        <v>0</v>
      </c>
      <c r="H2510" s="52">
        <f t="shared" si="556"/>
        <v>0</v>
      </c>
      <c r="I2510" s="52">
        <f t="shared" si="556"/>
        <v>5622.7860000000001</v>
      </c>
    </row>
    <row r="2511" spans="1:9" ht="12.95" thickBot="1">
      <c r="A2511" s="8"/>
      <c r="B2511" s="4" t="s">
        <v>30</v>
      </c>
      <c r="C2511" s="52">
        <f t="shared" si="555"/>
        <v>90907.106</v>
      </c>
      <c r="D2511" s="52">
        <f>D2513+D2519</f>
        <v>15859.44</v>
      </c>
      <c r="E2511" s="52">
        <f t="shared" si="556"/>
        <v>62194</v>
      </c>
      <c r="F2511" s="52">
        <f t="shared" si="556"/>
        <v>7230.8799999999992</v>
      </c>
      <c r="G2511" s="52">
        <f t="shared" si="556"/>
        <v>0</v>
      </c>
      <c r="H2511" s="52">
        <f t="shared" si="556"/>
        <v>0</v>
      </c>
      <c r="I2511" s="52">
        <f t="shared" si="556"/>
        <v>5622.7860000000001</v>
      </c>
    </row>
    <row r="2512" spans="1:9">
      <c r="A2512" s="23" t="s">
        <v>60</v>
      </c>
      <c r="B2512" s="160" t="s">
        <v>29</v>
      </c>
      <c r="C2512" s="52">
        <f t="shared" si="555"/>
        <v>274.64</v>
      </c>
      <c r="D2512" s="52">
        <f>D2514+D2516</f>
        <v>157.64000000000001</v>
      </c>
      <c r="E2512" s="52">
        <f t="shared" ref="E2512:I2513" si="557">E2514+E2516</f>
        <v>117</v>
      </c>
      <c r="F2512" s="52">
        <f t="shared" si="557"/>
        <v>0</v>
      </c>
      <c r="G2512" s="52">
        <f t="shared" si="557"/>
        <v>0</v>
      </c>
      <c r="H2512" s="52">
        <f t="shared" si="557"/>
        <v>0</v>
      </c>
      <c r="I2512" s="52">
        <f t="shared" si="557"/>
        <v>0</v>
      </c>
    </row>
    <row r="2513" spans="1:9">
      <c r="A2513" s="21" t="s">
        <v>89</v>
      </c>
      <c r="B2513" s="4" t="s">
        <v>30</v>
      </c>
      <c r="C2513" s="52">
        <f t="shared" si="555"/>
        <v>274.64</v>
      </c>
      <c r="D2513" s="52">
        <f>D2515+D2517</f>
        <v>157.64000000000001</v>
      </c>
      <c r="E2513" s="52">
        <f t="shared" si="557"/>
        <v>117</v>
      </c>
      <c r="F2513" s="52">
        <f t="shared" si="557"/>
        <v>0</v>
      </c>
      <c r="G2513" s="52">
        <f t="shared" si="557"/>
        <v>0</v>
      </c>
      <c r="H2513" s="52">
        <f t="shared" si="557"/>
        <v>0</v>
      </c>
      <c r="I2513" s="52">
        <f t="shared" si="557"/>
        <v>0</v>
      </c>
    </row>
    <row r="2514" spans="1:9" s="209" customFormat="1" ht="12.95">
      <c r="A2514" s="17" t="s">
        <v>34</v>
      </c>
      <c r="B2514" s="54" t="s">
        <v>29</v>
      </c>
      <c r="C2514" s="64">
        <f>D2514+E2514+F2514+G2514+H2514+I2514</f>
        <v>31.12</v>
      </c>
      <c r="D2514" s="64">
        <f t="shared" ref="D2514:I2515" si="558">D1170</f>
        <v>31.12</v>
      </c>
      <c r="E2514" s="64">
        <f t="shared" si="558"/>
        <v>0</v>
      </c>
      <c r="F2514" s="64">
        <f t="shared" si="558"/>
        <v>0</v>
      </c>
      <c r="G2514" s="64">
        <f t="shared" si="558"/>
        <v>0</v>
      </c>
      <c r="H2514" s="64">
        <f t="shared" si="558"/>
        <v>0</v>
      </c>
      <c r="I2514" s="64">
        <f t="shared" si="558"/>
        <v>0</v>
      </c>
    </row>
    <row r="2515" spans="1:9" s="209" customFormat="1" ht="12.95">
      <c r="A2515" s="16" t="s">
        <v>35</v>
      </c>
      <c r="B2515" s="55" t="s">
        <v>30</v>
      </c>
      <c r="C2515" s="64">
        <f>D2515+E2515+F2515+G2515+H2515+I2515</f>
        <v>31.12</v>
      </c>
      <c r="D2515" s="64">
        <f t="shared" si="558"/>
        <v>31.12</v>
      </c>
      <c r="E2515" s="64">
        <f t="shared" si="558"/>
        <v>0</v>
      </c>
      <c r="F2515" s="64">
        <f t="shared" si="558"/>
        <v>0</v>
      </c>
      <c r="G2515" s="64">
        <f t="shared" si="558"/>
        <v>0</v>
      </c>
      <c r="H2515" s="64">
        <f t="shared" si="558"/>
        <v>0</v>
      </c>
      <c r="I2515" s="64">
        <f t="shared" si="558"/>
        <v>0</v>
      </c>
    </row>
    <row r="2516" spans="1:9" ht="12.95">
      <c r="A2516" s="19" t="s">
        <v>37</v>
      </c>
      <c r="B2516" s="3" t="s">
        <v>29</v>
      </c>
      <c r="C2516" s="52">
        <f t="shared" ref="C2516:C2519" si="559">D2516+E2516+F2516+G2516+H2516+I2516</f>
        <v>243.52</v>
      </c>
      <c r="D2516" s="52">
        <f t="shared" ref="D2516:I2517" si="560">D1176+D1745</f>
        <v>126.52000000000001</v>
      </c>
      <c r="E2516" s="52">
        <f t="shared" si="560"/>
        <v>117</v>
      </c>
      <c r="F2516" s="52">
        <f t="shared" si="560"/>
        <v>0</v>
      </c>
      <c r="G2516" s="52">
        <f t="shared" si="560"/>
        <v>0</v>
      </c>
      <c r="H2516" s="52">
        <f t="shared" si="560"/>
        <v>0</v>
      </c>
      <c r="I2516" s="52">
        <f t="shared" si="560"/>
        <v>0</v>
      </c>
    </row>
    <row r="2517" spans="1:9" ht="12.95">
      <c r="A2517" s="16"/>
      <c r="B2517" s="4" t="s">
        <v>30</v>
      </c>
      <c r="C2517" s="52">
        <f t="shared" si="559"/>
        <v>243.52</v>
      </c>
      <c r="D2517" s="52">
        <f t="shared" si="560"/>
        <v>126.52000000000001</v>
      </c>
      <c r="E2517" s="52">
        <f t="shared" si="560"/>
        <v>117</v>
      </c>
      <c r="F2517" s="52">
        <f t="shared" si="560"/>
        <v>0</v>
      </c>
      <c r="G2517" s="52">
        <f t="shared" si="560"/>
        <v>0</v>
      </c>
      <c r="H2517" s="52">
        <f t="shared" si="560"/>
        <v>0</v>
      </c>
      <c r="I2517" s="52">
        <f t="shared" si="560"/>
        <v>0</v>
      </c>
    </row>
    <row r="2518" spans="1:9">
      <c r="A2518" s="47" t="s">
        <v>47</v>
      </c>
      <c r="B2518" s="24" t="s">
        <v>29</v>
      </c>
      <c r="C2518" s="52">
        <f t="shared" si="559"/>
        <v>90632.466000000015</v>
      </c>
      <c r="D2518" s="72">
        <f>D2520</f>
        <v>15701.800000000001</v>
      </c>
      <c r="E2518" s="72">
        <f t="shared" ref="E2518:I2519" si="561">E2520</f>
        <v>62077</v>
      </c>
      <c r="F2518" s="72">
        <f t="shared" si="561"/>
        <v>7230.8799999999992</v>
      </c>
      <c r="G2518" s="72">
        <f t="shared" si="561"/>
        <v>0</v>
      </c>
      <c r="H2518" s="72">
        <f t="shared" si="561"/>
        <v>0</v>
      </c>
      <c r="I2518" s="72">
        <f t="shared" si="561"/>
        <v>5622.7860000000001</v>
      </c>
    </row>
    <row r="2519" spans="1:9">
      <c r="A2519" s="12" t="s">
        <v>48</v>
      </c>
      <c r="B2519" s="26" t="s">
        <v>30</v>
      </c>
      <c r="C2519" s="52">
        <f t="shared" si="559"/>
        <v>90632.466000000015</v>
      </c>
      <c r="D2519" s="72">
        <f>D2521</f>
        <v>15701.800000000001</v>
      </c>
      <c r="E2519" s="72">
        <f t="shared" si="561"/>
        <v>62077</v>
      </c>
      <c r="F2519" s="72">
        <f t="shared" si="561"/>
        <v>7230.8799999999992</v>
      </c>
      <c r="G2519" s="72">
        <f t="shared" si="561"/>
        <v>0</v>
      </c>
      <c r="H2519" s="72">
        <f t="shared" si="561"/>
        <v>0</v>
      </c>
      <c r="I2519" s="72">
        <f t="shared" si="561"/>
        <v>5622.7860000000001</v>
      </c>
    </row>
    <row r="2520" spans="1:9" ht="12.95">
      <c r="A2520" s="19" t="s">
        <v>37</v>
      </c>
      <c r="B2520" s="3" t="s">
        <v>29</v>
      </c>
      <c r="C2520" s="52">
        <f t="shared" si="555"/>
        <v>90632.466000000015</v>
      </c>
      <c r="D2520" s="52">
        <f t="shared" ref="D2520:I2521" si="562">D204+D447+D1190+D1757+D2237</f>
        <v>15701.800000000001</v>
      </c>
      <c r="E2520" s="52">
        <f t="shared" si="562"/>
        <v>62077</v>
      </c>
      <c r="F2520" s="52">
        <f t="shared" si="562"/>
        <v>7230.8799999999992</v>
      </c>
      <c r="G2520" s="52">
        <f t="shared" si="562"/>
        <v>0</v>
      </c>
      <c r="H2520" s="52">
        <f t="shared" si="562"/>
        <v>0</v>
      </c>
      <c r="I2520" s="52">
        <f t="shared" si="562"/>
        <v>5622.7860000000001</v>
      </c>
    </row>
    <row r="2521" spans="1:9" ht="12.95">
      <c r="A2521" s="16"/>
      <c r="B2521" s="4" t="s">
        <v>30</v>
      </c>
      <c r="C2521" s="52">
        <f t="shared" si="555"/>
        <v>90632.466000000015</v>
      </c>
      <c r="D2521" s="52">
        <f t="shared" si="562"/>
        <v>15701.800000000001</v>
      </c>
      <c r="E2521" s="52">
        <f t="shared" si="562"/>
        <v>62077</v>
      </c>
      <c r="F2521" s="52">
        <f t="shared" si="562"/>
        <v>7230.8799999999992</v>
      </c>
      <c r="G2521" s="52">
        <f t="shared" si="562"/>
        <v>0</v>
      </c>
      <c r="H2521" s="52">
        <f t="shared" si="562"/>
        <v>0</v>
      </c>
      <c r="I2521" s="52">
        <f t="shared" si="562"/>
        <v>5622.7860000000001</v>
      </c>
    </row>
    <row r="2522" spans="1:9">
      <c r="A2522" s="565" t="s">
        <v>947</v>
      </c>
      <c r="B2522" s="566"/>
      <c r="C2522" s="566"/>
      <c r="D2522" s="566"/>
      <c r="E2522" s="566"/>
      <c r="F2522" s="566"/>
      <c r="G2522" s="566"/>
      <c r="H2522" s="566"/>
      <c r="I2522" s="567"/>
    </row>
    <row r="2523" spans="1:9">
      <c r="A2523" s="22" t="s">
        <v>54</v>
      </c>
      <c r="B2523" s="71"/>
      <c r="C2523" s="45"/>
      <c r="D2523" s="72"/>
      <c r="E2523" s="72"/>
      <c r="F2523" s="72"/>
      <c r="G2523" s="72"/>
      <c r="H2523" s="72"/>
      <c r="I2523" s="72"/>
    </row>
    <row r="2524" spans="1:9">
      <c r="A2524" s="7" t="s">
        <v>28</v>
      </c>
      <c r="B2524" s="3" t="s">
        <v>29</v>
      </c>
      <c r="C2524" s="45">
        <f t="shared" ref="C2524:C2537" si="563">D2524+E2524+F2524+G2524+H2524+I2524</f>
        <v>48459.509999999995</v>
      </c>
      <c r="D2524" s="53">
        <f t="shared" ref="D2524:I2525" si="564">D2526+D2534</f>
        <v>30236.17</v>
      </c>
      <c r="E2524" s="53">
        <f t="shared" si="564"/>
        <v>5189</v>
      </c>
      <c r="F2524" s="53">
        <f t="shared" si="564"/>
        <v>2565</v>
      </c>
      <c r="G2524" s="53">
        <f t="shared" si="564"/>
        <v>2300</v>
      </c>
      <c r="H2524" s="53">
        <f t="shared" si="564"/>
        <v>0</v>
      </c>
      <c r="I2524" s="53">
        <f t="shared" si="564"/>
        <v>8169.34</v>
      </c>
    </row>
    <row r="2525" spans="1:9" ht="12.95" thickBot="1">
      <c r="A2525" s="8"/>
      <c r="B2525" s="9" t="s">
        <v>30</v>
      </c>
      <c r="C2525" s="45">
        <f t="shared" si="563"/>
        <v>48459.509999999995</v>
      </c>
      <c r="D2525" s="53">
        <f t="shared" si="564"/>
        <v>30236.17</v>
      </c>
      <c r="E2525" s="53">
        <f t="shared" si="564"/>
        <v>5189</v>
      </c>
      <c r="F2525" s="53">
        <f t="shared" si="564"/>
        <v>2565</v>
      </c>
      <c r="G2525" s="53">
        <f t="shared" si="564"/>
        <v>2300</v>
      </c>
      <c r="H2525" s="53">
        <f t="shared" si="564"/>
        <v>0</v>
      </c>
      <c r="I2525" s="53">
        <f t="shared" si="564"/>
        <v>8169.34</v>
      </c>
    </row>
    <row r="2526" spans="1:9">
      <c r="A2526" s="23" t="s">
        <v>60</v>
      </c>
      <c r="B2526" s="24" t="s">
        <v>29</v>
      </c>
      <c r="C2526" s="45">
        <f t="shared" si="563"/>
        <v>31687.809999999998</v>
      </c>
      <c r="D2526" s="53">
        <f>D2528+D2530+D2532</f>
        <v>21651.199999999997</v>
      </c>
      <c r="E2526" s="53">
        <f t="shared" ref="E2526:I2527" si="565">E2528+E2530+E2532</f>
        <v>2658</v>
      </c>
      <c r="F2526" s="53">
        <f t="shared" si="565"/>
        <v>0</v>
      </c>
      <c r="G2526" s="53">
        <f t="shared" si="565"/>
        <v>0</v>
      </c>
      <c r="H2526" s="53">
        <f t="shared" si="565"/>
        <v>0</v>
      </c>
      <c r="I2526" s="53">
        <f t="shared" si="565"/>
        <v>7378.6100000000006</v>
      </c>
    </row>
    <row r="2527" spans="1:9">
      <c r="A2527" s="21" t="s">
        <v>45</v>
      </c>
      <c r="B2527" s="26" t="s">
        <v>30</v>
      </c>
      <c r="C2527" s="45">
        <f t="shared" si="563"/>
        <v>31687.809999999998</v>
      </c>
      <c r="D2527" s="53">
        <f>D2529+D2531+D2533</f>
        <v>21651.199999999997</v>
      </c>
      <c r="E2527" s="53">
        <f t="shared" si="565"/>
        <v>2658</v>
      </c>
      <c r="F2527" s="53">
        <f t="shared" si="565"/>
        <v>0</v>
      </c>
      <c r="G2527" s="53">
        <f t="shared" si="565"/>
        <v>0</v>
      </c>
      <c r="H2527" s="53">
        <f t="shared" si="565"/>
        <v>0</v>
      </c>
      <c r="I2527" s="53">
        <f t="shared" si="565"/>
        <v>7378.6100000000006</v>
      </c>
    </row>
    <row r="2528" spans="1:9" ht="12.95">
      <c r="A2528" s="19" t="s">
        <v>34</v>
      </c>
      <c r="B2528" s="59" t="s">
        <v>29</v>
      </c>
      <c r="C2528" s="45">
        <f>D2528+E2528+F2528+G2528+H2528+I2528</f>
        <v>18383.349999999999</v>
      </c>
      <c r="D2528" s="53">
        <f t="shared" ref="D2528:I2529" si="566">D219</f>
        <v>13131.669999999998</v>
      </c>
      <c r="E2528" s="53">
        <f t="shared" si="566"/>
        <v>0</v>
      </c>
      <c r="F2528" s="53">
        <f t="shared" si="566"/>
        <v>0</v>
      </c>
      <c r="G2528" s="53">
        <f t="shared" si="566"/>
        <v>0</v>
      </c>
      <c r="H2528" s="53">
        <f t="shared" si="566"/>
        <v>0</v>
      </c>
      <c r="I2528" s="53">
        <f t="shared" si="566"/>
        <v>5251.68</v>
      </c>
    </row>
    <row r="2529" spans="1:9" ht="12.95">
      <c r="A2529" s="16" t="s">
        <v>35</v>
      </c>
      <c r="B2529" s="62" t="s">
        <v>30</v>
      </c>
      <c r="C2529" s="45">
        <f>D2529+E2529+F2529+G2529+H2529+I2529</f>
        <v>18383.349999999999</v>
      </c>
      <c r="D2529" s="53">
        <f t="shared" si="566"/>
        <v>13131.669999999998</v>
      </c>
      <c r="E2529" s="53">
        <f t="shared" si="566"/>
        <v>0</v>
      </c>
      <c r="F2529" s="53">
        <f t="shared" si="566"/>
        <v>0</v>
      </c>
      <c r="G2529" s="53">
        <f t="shared" si="566"/>
        <v>0</v>
      </c>
      <c r="H2529" s="53">
        <f t="shared" si="566"/>
        <v>0</v>
      </c>
      <c r="I2529" s="53">
        <f t="shared" si="566"/>
        <v>5251.68</v>
      </c>
    </row>
    <row r="2530" spans="1:9" s="20" customFormat="1" ht="25.7">
      <c r="A2530" s="258" t="s">
        <v>36</v>
      </c>
      <c r="B2530" s="54" t="s">
        <v>29</v>
      </c>
      <c r="C2530" s="64">
        <f>D2530+E2530+F2530+G2530+H2530+I2530</f>
        <v>2040.69</v>
      </c>
      <c r="D2530" s="64">
        <f t="shared" ref="D2530:I2531" si="567">D229</f>
        <v>2040.69</v>
      </c>
      <c r="E2530" s="64">
        <f t="shared" si="567"/>
        <v>0</v>
      </c>
      <c r="F2530" s="64">
        <f t="shared" si="567"/>
        <v>0</v>
      </c>
      <c r="G2530" s="64">
        <f t="shared" si="567"/>
        <v>0</v>
      </c>
      <c r="H2530" s="64">
        <f t="shared" si="567"/>
        <v>0</v>
      </c>
      <c r="I2530" s="64">
        <f t="shared" si="567"/>
        <v>0</v>
      </c>
    </row>
    <row r="2531" spans="1:9" s="20" customFormat="1" ht="12.95">
      <c r="A2531" s="16"/>
      <c r="B2531" s="55" t="s">
        <v>30</v>
      </c>
      <c r="C2531" s="64">
        <f t="shared" ref="C2531" si="568">D2531+E2531+F2531+G2531+H2531+I2531</f>
        <v>2040.69</v>
      </c>
      <c r="D2531" s="64">
        <f t="shared" si="567"/>
        <v>2040.69</v>
      </c>
      <c r="E2531" s="64">
        <f t="shared" si="567"/>
        <v>0</v>
      </c>
      <c r="F2531" s="64">
        <f t="shared" si="567"/>
        <v>0</v>
      </c>
      <c r="G2531" s="64">
        <f t="shared" si="567"/>
        <v>0</v>
      </c>
      <c r="H2531" s="64">
        <f t="shared" si="567"/>
        <v>0</v>
      </c>
      <c r="I2531" s="64">
        <f t="shared" si="567"/>
        <v>0</v>
      </c>
    </row>
    <row r="2532" spans="1:9" ht="12.95">
      <c r="A2532" s="19" t="s">
        <v>37</v>
      </c>
      <c r="B2532" s="3" t="s">
        <v>29</v>
      </c>
      <c r="C2532" s="45">
        <f t="shared" si="563"/>
        <v>11263.77</v>
      </c>
      <c r="D2532" s="53">
        <f t="shared" ref="D2532:I2533" si="569">D237+D567+D1355+D2280+D1828</f>
        <v>6478.84</v>
      </c>
      <c r="E2532" s="53">
        <f t="shared" si="569"/>
        <v>2658</v>
      </c>
      <c r="F2532" s="53">
        <f t="shared" si="569"/>
        <v>0</v>
      </c>
      <c r="G2532" s="53">
        <f t="shared" si="569"/>
        <v>0</v>
      </c>
      <c r="H2532" s="53">
        <f t="shared" si="569"/>
        <v>0</v>
      </c>
      <c r="I2532" s="53">
        <f t="shared" si="569"/>
        <v>2126.9299999999998</v>
      </c>
    </row>
    <row r="2533" spans="1:9" ht="12.95">
      <c r="A2533" s="16"/>
      <c r="B2533" s="4" t="s">
        <v>30</v>
      </c>
      <c r="C2533" s="45">
        <f t="shared" si="563"/>
        <v>11263.77</v>
      </c>
      <c r="D2533" s="53">
        <f t="shared" si="569"/>
        <v>6478.84</v>
      </c>
      <c r="E2533" s="53">
        <f t="shared" si="569"/>
        <v>2658</v>
      </c>
      <c r="F2533" s="53">
        <f t="shared" si="569"/>
        <v>0</v>
      </c>
      <c r="G2533" s="53">
        <f t="shared" si="569"/>
        <v>0</v>
      </c>
      <c r="H2533" s="53">
        <f t="shared" si="569"/>
        <v>0</v>
      </c>
      <c r="I2533" s="53">
        <f t="shared" si="569"/>
        <v>2126.9299999999998</v>
      </c>
    </row>
    <row r="2534" spans="1:9">
      <c r="A2534" s="57" t="s">
        <v>47</v>
      </c>
      <c r="B2534" s="24" t="s">
        <v>29</v>
      </c>
      <c r="C2534" s="45">
        <f t="shared" si="563"/>
        <v>16771.7</v>
      </c>
      <c r="D2534" s="45">
        <f>D2536</f>
        <v>8584.9699999999993</v>
      </c>
      <c r="E2534" s="45">
        <f t="shared" ref="E2534:I2535" si="570">E2536</f>
        <v>2531</v>
      </c>
      <c r="F2534" s="45">
        <f t="shared" si="570"/>
        <v>2565</v>
      </c>
      <c r="G2534" s="45">
        <f t="shared" si="570"/>
        <v>2300</v>
      </c>
      <c r="H2534" s="45">
        <f t="shared" si="570"/>
        <v>0</v>
      </c>
      <c r="I2534" s="45">
        <f t="shared" si="570"/>
        <v>790.73</v>
      </c>
    </row>
    <row r="2535" spans="1:9">
      <c r="A2535" s="38" t="s">
        <v>48</v>
      </c>
      <c r="B2535" s="26" t="s">
        <v>30</v>
      </c>
      <c r="C2535" s="45">
        <f t="shared" si="563"/>
        <v>16771.7</v>
      </c>
      <c r="D2535" s="45">
        <f>D2537</f>
        <v>8584.9699999999993</v>
      </c>
      <c r="E2535" s="45">
        <f t="shared" si="570"/>
        <v>2531</v>
      </c>
      <c r="F2535" s="45">
        <f t="shared" si="570"/>
        <v>2565</v>
      </c>
      <c r="G2535" s="45">
        <f t="shared" si="570"/>
        <v>2300</v>
      </c>
      <c r="H2535" s="45">
        <f t="shared" si="570"/>
        <v>0</v>
      </c>
      <c r="I2535" s="45">
        <f t="shared" si="570"/>
        <v>790.73</v>
      </c>
    </row>
    <row r="2536" spans="1:9" ht="12.95">
      <c r="A2536" s="19" t="s">
        <v>37</v>
      </c>
      <c r="B2536" s="3" t="s">
        <v>29</v>
      </c>
      <c r="C2536" s="52">
        <f t="shared" si="563"/>
        <v>16771.7</v>
      </c>
      <c r="D2536" s="52">
        <f t="shared" ref="D2536:I2537" si="571">D249+D1383+D2372+D1930</f>
        <v>8584.9699999999993</v>
      </c>
      <c r="E2536" s="52">
        <f t="shared" si="571"/>
        <v>2531</v>
      </c>
      <c r="F2536" s="52">
        <f t="shared" si="571"/>
        <v>2565</v>
      </c>
      <c r="G2536" s="52">
        <f t="shared" si="571"/>
        <v>2300</v>
      </c>
      <c r="H2536" s="52">
        <f t="shared" si="571"/>
        <v>0</v>
      </c>
      <c r="I2536" s="52">
        <f t="shared" si="571"/>
        <v>790.73</v>
      </c>
    </row>
    <row r="2537" spans="1:9" ht="12.95">
      <c r="A2537" s="16"/>
      <c r="B2537" s="4" t="s">
        <v>30</v>
      </c>
      <c r="C2537" s="52">
        <f t="shared" si="563"/>
        <v>16771.7</v>
      </c>
      <c r="D2537" s="52">
        <f t="shared" si="571"/>
        <v>8584.9699999999993</v>
      </c>
      <c r="E2537" s="52">
        <f t="shared" si="571"/>
        <v>2531</v>
      </c>
      <c r="F2537" s="52">
        <f t="shared" si="571"/>
        <v>2565</v>
      </c>
      <c r="G2537" s="52">
        <f t="shared" si="571"/>
        <v>2300</v>
      </c>
      <c r="H2537" s="52">
        <f t="shared" si="571"/>
        <v>0</v>
      </c>
      <c r="I2537" s="52">
        <f t="shared" si="571"/>
        <v>790.73</v>
      </c>
    </row>
    <row r="2538" spans="1:9">
      <c r="A2538" s="571" t="s">
        <v>948</v>
      </c>
      <c r="B2538" s="572"/>
      <c r="C2538" s="572"/>
      <c r="D2538" s="572"/>
      <c r="E2538" s="572"/>
      <c r="F2538" s="572"/>
      <c r="G2538" s="572"/>
      <c r="H2538" s="572"/>
      <c r="I2538" s="573"/>
    </row>
    <row r="2539" spans="1:9">
      <c r="A2539" s="7" t="s">
        <v>28</v>
      </c>
      <c r="B2539" s="160" t="s">
        <v>29</v>
      </c>
      <c r="C2539" s="45">
        <f t="shared" ref="C2539:C2546" si="572">D2539+E2539+F2539+G2539+H2539+I2539</f>
        <v>1463.9850000000001</v>
      </c>
      <c r="D2539" s="45">
        <f>D2541</f>
        <v>67.984999999999999</v>
      </c>
      <c r="E2539" s="45">
        <f t="shared" ref="E2539:I2540" si="573">E2541</f>
        <v>696</v>
      </c>
      <c r="F2539" s="45">
        <f t="shared" si="573"/>
        <v>700</v>
      </c>
      <c r="G2539" s="45">
        <f t="shared" si="573"/>
        <v>0</v>
      </c>
      <c r="H2539" s="45">
        <f t="shared" si="573"/>
        <v>0</v>
      </c>
      <c r="I2539" s="45">
        <f t="shared" si="573"/>
        <v>0</v>
      </c>
    </row>
    <row r="2540" spans="1:9" ht="12.95" thickBot="1">
      <c r="A2540" s="8"/>
      <c r="B2540" s="4" t="s">
        <v>30</v>
      </c>
      <c r="C2540" s="45">
        <f t="shared" si="572"/>
        <v>1463.9850000000001</v>
      </c>
      <c r="D2540" s="45">
        <f>D2542</f>
        <v>67.984999999999999</v>
      </c>
      <c r="E2540" s="45">
        <f t="shared" si="573"/>
        <v>696</v>
      </c>
      <c r="F2540" s="45">
        <f t="shared" si="573"/>
        <v>700</v>
      </c>
      <c r="G2540" s="45">
        <f t="shared" si="573"/>
        <v>0</v>
      </c>
      <c r="H2540" s="45">
        <f t="shared" si="573"/>
        <v>0</v>
      </c>
      <c r="I2540" s="45">
        <f t="shared" si="573"/>
        <v>0</v>
      </c>
    </row>
    <row r="2541" spans="1:9">
      <c r="A2541" s="58" t="s">
        <v>31</v>
      </c>
      <c r="B2541" s="160" t="s">
        <v>29</v>
      </c>
      <c r="C2541" s="45">
        <f t="shared" si="572"/>
        <v>1463.9850000000001</v>
      </c>
      <c r="D2541" s="45">
        <f>D2545+D2543</f>
        <v>67.984999999999999</v>
      </c>
      <c r="E2541" s="45">
        <f t="shared" ref="E2541:I2542" si="574">E2545+E2543</f>
        <v>696</v>
      </c>
      <c r="F2541" s="45">
        <f t="shared" si="574"/>
        <v>700</v>
      </c>
      <c r="G2541" s="45">
        <f t="shared" si="574"/>
        <v>0</v>
      </c>
      <c r="H2541" s="45">
        <f t="shared" si="574"/>
        <v>0</v>
      </c>
      <c r="I2541" s="45">
        <f t="shared" si="574"/>
        <v>0</v>
      </c>
    </row>
    <row r="2542" spans="1:9">
      <c r="A2542" s="21" t="s">
        <v>89</v>
      </c>
      <c r="B2542" s="4" t="s">
        <v>30</v>
      </c>
      <c r="C2542" s="45">
        <f t="shared" si="572"/>
        <v>1463.9850000000001</v>
      </c>
      <c r="D2542" s="45">
        <f>D2546+D2544</f>
        <v>67.984999999999999</v>
      </c>
      <c r="E2542" s="45">
        <f t="shared" si="574"/>
        <v>696</v>
      </c>
      <c r="F2542" s="45">
        <f t="shared" si="574"/>
        <v>700</v>
      </c>
      <c r="G2542" s="45">
        <f t="shared" si="574"/>
        <v>0</v>
      </c>
      <c r="H2542" s="45">
        <f t="shared" si="574"/>
        <v>0</v>
      </c>
      <c r="I2542" s="45">
        <f t="shared" si="574"/>
        <v>0</v>
      </c>
    </row>
    <row r="2543" spans="1:9" s="172" customFormat="1" ht="27" customHeight="1">
      <c r="A2543" s="501" t="s">
        <v>49</v>
      </c>
      <c r="B2543" s="82" t="s">
        <v>29</v>
      </c>
      <c r="C2543" s="78">
        <f t="shared" si="572"/>
        <v>487.02</v>
      </c>
      <c r="D2543" s="78">
        <f t="shared" ref="D2543:I2544" si="575">D264</f>
        <v>4.0199999999999996</v>
      </c>
      <c r="E2543" s="78">
        <f t="shared" si="575"/>
        <v>483</v>
      </c>
      <c r="F2543" s="78">
        <f t="shared" si="575"/>
        <v>0</v>
      </c>
      <c r="G2543" s="78">
        <f t="shared" si="575"/>
        <v>0</v>
      </c>
      <c r="H2543" s="78">
        <f t="shared" si="575"/>
        <v>0</v>
      </c>
      <c r="I2543" s="78">
        <f t="shared" si="575"/>
        <v>0</v>
      </c>
    </row>
    <row r="2544" spans="1:9" s="172" customFormat="1" ht="12.95">
      <c r="A2544" s="67"/>
      <c r="B2544" s="86" t="s">
        <v>30</v>
      </c>
      <c r="C2544" s="78">
        <f t="shared" si="572"/>
        <v>487.02</v>
      </c>
      <c r="D2544" s="78">
        <f t="shared" si="575"/>
        <v>4.0199999999999996</v>
      </c>
      <c r="E2544" s="78">
        <f t="shared" si="575"/>
        <v>483</v>
      </c>
      <c r="F2544" s="78">
        <f t="shared" si="575"/>
        <v>0</v>
      </c>
      <c r="G2544" s="78">
        <f t="shared" si="575"/>
        <v>0</v>
      </c>
      <c r="H2544" s="78">
        <f t="shared" si="575"/>
        <v>0</v>
      </c>
      <c r="I2544" s="78">
        <f t="shared" si="575"/>
        <v>0</v>
      </c>
    </row>
    <row r="2545" spans="1:13" ht="12.95">
      <c r="A2545" s="19" t="s">
        <v>37</v>
      </c>
      <c r="B2545" s="3" t="s">
        <v>29</v>
      </c>
      <c r="C2545" s="273">
        <f t="shared" si="572"/>
        <v>976.96500000000003</v>
      </c>
      <c r="D2545" s="273">
        <f>D268+D462</f>
        <v>63.965000000000003</v>
      </c>
      <c r="E2545" s="273">
        <f t="shared" ref="E2545:I2545" si="576">E268+E462</f>
        <v>213</v>
      </c>
      <c r="F2545" s="273">
        <f t="shared" si="576"/>
        <v>700</v>
      </c>
      <c r="G2545" s="273">
        <f t="shared" si="576"/>
        <v>0</v>
      </c>
      <c r="H2545" s="273">
        <f t="shared" si="576"/>
        <v>0</v>
      </c>
      <c r="I2545" s="273">
        <f t="shared" si="576"/>
        <v>0</v>
      </c>
    </row>
    <row r="2546" spans="1:13" ht="12.95">
      <c r="A2546" s="16"/>
      <c r="B2546" s="4" t="s">
        <v>30</v>
      </c>
      <c r="C2546" s="273">
        <f t="shared" si="572"/>
        <v>976.96500000000003</v>
      </c>
      <c r="D2546" s="273">
        <f>D269+D463</f>
        <v>63.965000000000003</v>
      </c>
      <c r="E2546" s="273">
        <f t="shared" ref="E2546:I2546" si="577">E269+E463</f>
        <v>213</v>
      </c>
      <c r="F2546" s="273">
        <f t="shared" si="577"/>
        <v>700</v>
      </c>
      <c r="G2546" s="273">
        <f t="shared" si="577"/>
        <v>0</v>
      </c>
      <c r="H2546" s="273">
        <f t="shared" si="577"/>
        <v>0</v>
      </c>
      <c r="I2546" s="273">
        <f t="shared" si="577"/>
        <v>0</v>
      </c>
    </row>
    <row r="2547" spans="1:13">
      <c r="A2547" s="568" t="s">
        <v>949</v>
      </c>
      <c r="B2547" s="569"/>
      <c r="C2547" s="569"/>
      <c r="D2547" s="569"/>
      <c r="E2547" s="569"/>
      <c r="F2547" s="569"/>
      <c r="G2547" s="569"/>
      <c r="H2547" s="569"/>
      <c r="I2547" s="570"/>
    </row>
    <row r="2548" spans="1:13">
      <c r="A2548" s="553" t="s">
        <v>54</v>
      </c>
      <c r="B2548" s="554"/>
      <c r="C2548" s="554"/>
      <c r="D2548" s="554"/>
      <c r="E2548" s="554"/>
      <c r="F2548" s="554"/>
      <c r="G2548" s="554"/>
      <c r="H2548" s="554"/>
      <c r="I2548" s="555"/>
    </row>
    <row r="2549" spans="1:13">
      <c r="A2549" s="251" t="s">
        <v>28</v>
      </c>
      <c r="B2549" s="160" t="s">
        <v>29</v>
      </c>
      <c r="C2549" s="52">
        <f t="shared" ref="C2549:C2566" si="578">D2549+E2549+F2549+G2549+H2549+I2549</f>
        <v>1787900.9500000002</v>
      </c>
      <c r="D2549" s="72">
        <f t="shared" ref="D2549:I2550" si="579">D2551+D2574</f>
        <v>518171.52</v>
      </c>
      <c r="E2549" s="72">
        <f t="shared" si="579"/>
        <v>324773</v>
      </c>
      <c r="F2549" s="72">
        <f t="shared" si="579"/>
        <v>483705.25</v>
      </c>
      <c r="G2549" s="72">
        <f t="shared" si="579"/>
        <v>296186.283</v>
      </c>
      <c r="H2549" s="72">
        <f t="shared" si="579"/>
        <v>26694.27</v>
      </c>
      <c r="I2549" s="72">
        <f t="shared" si="579"/>
        <v>138370.62700000001</v>
      </c>
      <c r="M2549" s="252"/>
    </row>
    <row r="2550" spans="1:13">
      <c r="A2550" s="10"/>
      <c r="B2550" s="4" t="s">
        <v>30</v>
      </c>
      <c r="C2550" s="52">
        <f t="shared" si="578"/>
        <v>1787900.9500000002</v>
      </c>
      <c r="D2550" s="72">
        <f t="shared" si="579"/>
        <v>518171.52</v>
      </c>
      <c r="E2550" s="72">
        <f t="shared" si="579"/>
        <v>324773</v>
      </c>
      <c r="F2550" s="72">
        <f t="shared" si="579"/>
        <v>483705.25</v>
      </c>
      <c r="G2550" s="72">
        <f t="shared" si="579"/>
        <v>296186.283</v>
      </c>
      <c r="H2550" s="72">
        <f t="shared" si="579"/>
        <v>26694.27</v>
      </c>
      <c r="I2550" s="72">
        <f t="shared" si="579"/>
        <v>138370.62700000001</v>
      </c>
    </row>
    <row r="2551" spans="1:13" s="27" customFormat="1">
      <c r="A2551" s="75" t="s">
        <v>60</v>
      </c>
      <c r="B2551" s="24" t="s">
        <v>29</v>
      </c>
      <c r="C2551" s="72">
        <f t="shared" si="578"/>
        <v>1726702.6</v>
      </c>
      <c r="D2551" s="72">
        <f>D2553+D2555+D2557</f>
        <v>457585.07700000005</v>
      </c>
      <c r="E2551" s="72">
        <f t="shared" ref="E2551:I2552" si="580">E2553+E2555+E2557</f>
        <v>324773</v>
      </c>
      <c r="F2551" s="72">
        <f t="shared" si="580"/>
        <v>483705.25</v>
      </c>
      <c r="G2551" s="72">
        <f t="shared" si="580"/>
        <v>296186.283</v>
      </c>
      <c r="H2551" s="72">
        <f t="shared" si="580"/>
        <v>26694.27</v>
      </c>
      <c r="I2551" s="72">
        <f t="shared" si="580"/>
        <v>137758.72</v>
      </c>
    </row>
    <row r="2552" spans="1:13" s="27" customFormat="1">
      <c r="A2552" s="80" t="s">
        <v>87</v>
      </c>
      <c r="B2552" s="26" t="s">
        <v>30</v>
      </c>
      <c r="C2552" s="72">
        <f t="shared" si="578"/>
        <v>1726702.6</v>
      </c>
      <c r="D2552" s="72">
        <f>D2554+D2556+D2558</f>
        <v>457585.07700000005</v>
      </c>
      <c r="E2552" s="72">
        <f t="shared" si="580"/>
        <v>324773</v>
      </c>
      <c r="F2552" s="72">
        <f t="shared" si="580"/>
        <v>483705.25</v>
      </c>
      <c r="G2552" s="72">
        <f t="shared" si="580"/>
        <v>296186.283</v>
      </c>
      <c r="H2552" s="72">
        <f t="shared" si="580"/>
        <v>26694.27</v>
      </c>
      <c r="I2552" s="72">
        <f t="shared" si="580"/>
        <v>137758.72</v>
      </c>
    </row>
    <row r="2553" spans="1:13" s="172" customFormat="1" ht="25.7">
      <c r="A2553" s="181" t="s">
        <v>49</v>
      </c>
      <c r="B2553" s="82" t="s">
        <v>29</v>
      </c>
      <c r="C2553" s="78">
        <f t="shared" si="578"/>
        <v>741417</v>
      </c>
      <c r="D2553" s="78">
        <f t="shared" ref="D2553:I2554" si="581">D282</f>
        <v>102613</v>
      </c>
      <c r="E2553" s="78">
        <f t="shared" si="581"/>
        <v>276537</v>
      </c>
      <c r="F2553" s="78">
        <f t="shared" si="581"/>
        <v>239268</v>
      </c>
      <c r="G2553" s="78">
        <f t="shared" si="581"/>
        <v>117999</v>
      </c>
      <c r="H2553" s="78">
        <f t="shared" si="581"/>
        <v>5000</v>
      </c>
      <c r="I2553" s="78">
        <f t="shared" si="581"/>
        <v>0</v>
      </c>
    </row>
    <row r="2554" spans="1:13" s="172" customFormat="1" ht="12.95">
      <c r="A2554" s="67"/>
      <c r="B2554" s="86" t="s">
        <v>30</v>
      </c>
      <c r="C2554" s="78">
        <f t="shared" si="578"/>
        <v>741417</v>
      </c>
      <c r="D2554" s="78">
        <f t="shared" si="581"/>
        <v>102613</v>
      </c>
      <c r="E2554" s="78">
        <f t="shared" si="581"/>
        <v>276537</v>
      </c>
      <c r="F2554" s="78">
        <f t="shared" si="581"/>
        <v>239268</v>
      </c>
      <c r="G2554" s="78">
        <f t="shared" si="581"/>
        <v>117999</v>
      </c>
      <c r="H2554" s="78">
        <f t="shared" si="581"/>
        <v>5000</v>
      </c>
      <c r="I2554" s="78">
        <f t="shared" si="581"/>
        <v>0</v>
      </c>
    </row>
    <row r="2555" spans="1:13" s="208" customFormat="1" ht="12.95">
      <c r="A2555" s="17" t="s">
        <v>34</v>
      </c>
      <c r="B2555" s="29" t="s">
        <v>29</v>
      </c>
      <c r="C2555" s="53">
        <f t="shared" si="578"/>
        <v>186276</v>
      </c>
      <c r="D2555" s="72">
        <f t="shared" ref="D2555:I2556" si="582">D288+D1969</f>
        <v>186276</v>
      </c>
      <c r="E2555" s="72">
        <f t="shared" si="582"/>
        <v>0</v>
      </c>
      <c r="F2555" s="72">
        <f t="shared" si="582"/>
        <v>0</v>
      </c>
      <c r="G2555" s="72">
        <f t="shared" si="582"/>
        <v>0</v>
      </c>
      <c r="H2555" s="72">
        <f t="shared" si="582"/>
        <v>0</v>
      </c>
      <c r="I2555" s="72">
        <f t="shared" si="582"/>
        <v>0</v>
      </c>
    </row>
    <row r="2556" spans="1:13" s="208" customFormat="1" ht="12.95">
      <c r="A2556" s="16" t="s">
        <v>35</v>
      </c>
      <c r="B2556" s="26" t="s">
        <v>30</v>
      </c>
      <c r="C2556" s="72">
        <f t="shared" si="578"/>
        <v>186276</v>
      </c>
      <c r="D2556" s="72">
        <f t="shared" si="582"/>
        <v>186276</v>
      </c>
      <c r="E2556" s="72">
        <f t="shared" si="582"/>
        <v>0</v>
      </c>
      <c r="F2556" s="72">
        <f t="shared" si="582"/>
        <v>0</v>
      </c>
      <c r="G2556" s="72">
        <f t="shared" si="582"/>
        <v>0</v>
      </c>
      <c r="H2556" s="72">
        <f t="shared" si="582"/>
        <v>0</v>
      </c>
      <c r="I2556" s="72">
        <f t="shared" si="582"/>
        <v>0</v>
      </c>
    </row>
    <row r="2557" spans="1:13" ht="12.95">
      <c r="A2557" s="19" t="s">
        <v>37</v>
      </c>
      <c r="B2557" s="3" t="s">
        <v>29</v>
      </c>
      <c r="C2557" s="45">
        <f t="shared" si="578"/>
        <v>799009.60000000009</v>
      </c>
      <c r="D2557" s="45">
        <f t="shared" ref="D2557:I2558" si="583">D302+D475+D1458+D1973+D2441</f>
        <v>168696.07700000005</v>
      </c>
      <c r="E2557" s="45">
        <f t="shared" si="583"/>
        <v>48236</v>
      </c>
      <c r="F2557" s="45">
        <f t="shared" si="583"/>
        <v>244437.24999999997</v>
      </c>
      <c r="G2557" s="45">
        <f t="shared" si="583"/>
        <v>178187.283</v>
      </c>
      <c r="H2557" s="45">
        <f t="shared" si="583"/>
        <v>21694.27</v>
      </c>
      <c r="I2557" s="45">
        <f t="shared" si="583"/>
        <v>137758.72</v>
      </c>
    </row>
    <row r="2558" spans="1:13" ht="12.95">
      <c r="A2558" s="16"/>
      <c r="B2558" s="4" t="s">
        <v>30</v>
      </c>
      <c r="C2558" s="45">
        <f t="shared" si="578"/>
        <v>799009.60000000009</v>
      </c>
      <c r="D2558" s="45">
        <f t="shared" si="583"/>
        <v>168696.07700000005</v>
      </c>
      <c r="E2558" s="45">
        <f t="shared" si="583"/>
        <v>48236</v>
      </c>
      <c r="F2558" s="45">
        <f t="shared" si="583"/>
        <v>244437.24999999997</v>
      </c>
      <c r="G2558" s="45">
        <f t="shared" si="583"/>
        <v>178187.283</v>
      </c>
      <c r="H2558" s="45">
        <f t="shared" si="583"/>
        <v>21694.27</v>
      </c>
      <c r="I2558" s="45">
        <f t="shared" si="583"/>
        <v>137758.72</v>
      </c>
    </row>
    <row r="2559" spans="1:13" ht="0.75" customHeight="1">
      <c r="A2559" s="34" t="s">
        <v>950</v>
      </c>
      <c r="B2559" s="29" t="s">
        <v>29</v>
      </c>
      <c r="C2559" s="52" t="e">
        <f t="shared" si="578"/>
        <v>#REF!</v>
      </c>
      <c r="D2559" s="72" t="e">
        <f>#REF!</f>
        <v>#REF!</v>
      </c>
      <c r="E2559" s="72" t="e">
        <f>#REF!</f>
        <v>#REF!</v>
      </c>
      <c r="F2559" s="72" t="e">
        <f>#REF!</f>
        <v>#REF!</v>
      </c>
      <c r="G2559" s="72" t="e">
        <f>#REF!</f>
        <v>#REF!</v>
      </c>
      <c r="H2559" s="72" t="e">
        <f>#REF!</f>
        <v>#REF!</v>
      </c>
      <c r="I2559" s="72" t="e">
        <f>#REF!</f>
        <v>#REF!</v>
      </c>
    </row>
    <row r="2560" spans="1:13" ht="12.95" hidden="1">
      <c r="A2560" s="67" t="s">
        <v>35</v>
      </c>
      <c r="B2560" s="29" t="s">
        <v>30</v>
      </c>
      <c r="C2560" s="52" t="e">
        <f t="shared" si="578"/>
        <v>#REF!</v>
      </c>
      <c r="D2560" s="72" t="e">
        <f>#REF!</f>
        <v>#REF!</v>
      </c>
      <c r="E2560" s="72" t="e">
        <f>#REF!</f>
        <v>#REF!</v>
      </c>
      <c r="F2560" s="72" t="e">
        <f>#REF!</f>
        <v>#REF!</v>
      </c>
      <c r="G2560" s="72" t="e">
        <f>#REF!</f>
        <v>#REF!</v>
      </c>
      <c r="H2560" s="72" t="e">
        <f>#REF!</f>
        <v>#REF!</v>
      </c>
      <c r="I2560" s="72" t="e">
        <f>#REF!</f>
        <v>#REF!</v>
      </c>
    </row>
    <row r="2561" spans="1:9" ht="12.95" hidden="1">
      <c r="A2561" s="19" t="s">
        <v>37</v>
      </c>
      <c r="B2561" s="3" t="s">
        <v>29</v>
      </c>
      <c r="C2561" s="52" t="e">
        <f t="shared" si="578"/>
        <v>#REF!</v>
      </c>
      <c r="D2561" s="72" t="e">
        <f>D302+D475+#REF!+D1973+D2390+#REF!</f>
        <v>#REF!</v>
      </c>
      <c r="E2561" s="72" t="e">
        <f>E302+E475+#REF!+E1973+E2390+#REF!</f>
        <v>#REF!</v>
      </c>
      <c r="F2561" s="72" t="e">
        <f>F302+F475+#REF!+F1973+F2390+#REF!</f>
        <v>#REF!</v>
      </c>
      <c r="G2561" s="72" t="e">
        <f>G302+G475+#REF!+G1973+G2390+#REF!</f>
        <v>#REF!</v>
      </c>
      <c r="H2561" s="72" t="e">
        <f>H302+H475+#REF!+H1973+H2390+#REF!</f>
        <v>#REF!</v>
      </c>
      <c r="I2561" s="72" t="e">
        <f>I302+I475+#REF!+I1973+I2390+#REF!</f>
        <v>#REF!</v>
      </c>
    </row>
    <row r="2562" spans="1:9" ht="12.95" hidden="1">
      <c r="A2562" s="16"/>
      <c r="B2562" s="4" t="s">
        <v>30</v>
      </c>
      <c r="C2562" s="52" t="e">
        <f t="shared" si="578"/>
        <v>#REF!</v>
      </c>
      <c r="D2562" s="72" t="e">
        <f>D303+D476+#REF!+D1974+D2391+#REF!</f>
        <v>#REF!</v>
      </c>
      <c r="E2562" s="72" t="e">
        <f>E303+E476+#REF!+E1974+E2391+#REF!</f>
        <v>#REF!</v>
      </c>
      <c r="F2562" s="72" t="e">
        <f>F303+F476+#REF!+F1974+F2391+#REF!</f>
        <v>#REF!</v>
      </c>
      <c r="G2562" s="72" t="e">
        <f>G303+G476+#REF!+G1974+G2391+#REF!</f>
        <v>#REF!</v>
      </c>
      <c r="H2562" s="72" t="e">
        <f>H303+H476+#REF!+H1974+H2391+#REF!</f>
        <v>#REF!</v>
      </c>
      <c r="I2562" s="72" t="e">
        <f>I303+I476+#REF!+I1974+I2391+#REF!</f>
        <v>#REF!</v>
      </c>
    </row>
    <row r="2563" spans="1:9" hidden="1">
      <c r="A2563" s="14" t="s">
        <v>47</v>
      </c>
      <c r="B2563" s="24" t="s">
        <v>29</v>
      </c>
      <c r="C2563" s="52" t="e">
        <f t="shared" si="578"/>
        <v>#REF!</v>
      </c>
      <c r="D2563" s="52" t="e">
        <f>D2565</f>
        <v>#REF!</v>
      </c>
      <c r="E2563" s="52" t="e">
        <f t="shared" ref="E2563:I2564" si="584">E2565</f>
        <v>#REF!</v>
      </c>
      <c r="F2563" s="52" t="e">
        <f t="shared" si="584"/>
        <v>#REF!</v>
      </c>
      <c r="G2563" s="52" t="e">
        <f t="shared" si="584"/>
        <v>#REF!</v>
      </c>
      <c r="H2563" s="52" t="e">
        <f t="shared" si="584"/>
        <v>#REF!</v>
      </c>
      <c r="I2563" s="52" t="e">
        <f t="shared" si="584"/>
        <v>#REF!</v>
      </c>
    </row>
    <row r="2564" spans="1:9" hidden="1">
      <c r="A2564" s="12" t="s">
        <v>48</v>
      </c>
      <c r="B2564" s="35" t="s">
        <v>30</v>
      </c>
      <c r="C2564" s="52" t="e">
        <f t="shared" si="578"/>
        <v>#REF!</v>
      </c>
      <c r="D2564" s="52" t="e">
        <f>D2566</f>
        <v>#REF!</v>
      </c>
      <c r="E2564" s="52" t="e">
        <f t="shared" si="584"/>
        <v>#REF!</v>
      </c>
      <c r="F2564" s="52" t="e">
        <f t="shared" si="584"/>
        <v>#REF!</v>
      </c>
      <c r="G2564" s="52" t="e">
        <f t="shared" si="584"/>
        <v>#REF!</v>
      </c>
      <c r="H2564" s="52" t="e">
        <f t="shared" si="584"/>
        <v>#REF!</v>
      </c>
      <c r="I2564" s="52" t="e">
        <f t="shared" si="584"/>
        <v>#REF!</v>
      </c>
    </row>
    <row r="2565" spans="1:9" ht="12.95" hidden="1">
      <c r="A2565" s="19" t="s">
        <v>37</v>
      </c>
      <c r="B2565" s="3" t="s">
        <v>29</v>
      </c>
      <c r="C2565" s="52" t="e">
        <f t="shared" si="578"/>
        <v>#REF!</v>
      </c>
      <c r="D2565" s="52" t="e">
        <f>#REF!</f>
        <v>#REF!</v>
      </c>
      <c r="E2565" s="52" t="e">
        <f>#REF!</f>
        <v>#REF!</v>
      </c>
      <c r="F2565" s="52" t="e">
        <f>#REF!</f>
        <v>#REF!</v>
      </c>
      <c r="G2565" s="52" t="e">
        <f>#REF!</f>
        <v>#REF!</v>
      </c>
      <c r="H2565" s="52" t="e">
        <f>#REF!</f>
        <v>#REF!</v>
      </c>
      <c r="I2565" s="52" t="e">
        <f>#REF!</f>
        <v>#REF!</v>
      </c>
    </row>
    <row r="2566" spans="1:9" ht="12.95" hidden="1">
      <c r="A2566" s="16"/>
      <c r="B2566" s="4" t="s">
        <v>30</v>
      </c>
      <c r="C2566" s="52" t="e">
        <f t="shared" si="578"/>
        <v>#REF!</v>
      </c>
      <c r="D2566" s="52" t="e">
        <f>#REF!</f>
        <v>#REF!</v>
      </c>
      <c r="E2566" s="52" t="e">
        <f>#REF!</f>
        <v>#REF!</v>
      </c>
      <c r="F2566" s="52" t="e">
        <f>#REF!</f>
        <v>#REF!</v>
      </c>
      <c r="G2566" s="52" t="e">
        <f>#REF!</f>
        <v>#REF!</v>
      </c>
      <c r="H2566" s="52" t="e">
        <f>#REF!</f>
        <v>#REF!</v>
      </c>
      <c r="I2566" s="52" t="e">
        <f>#REF!</f>
        <v>#REF!</v>
      </c>
    </row>
    <row r="2567" spans="1:9" hidden="1">
      <c r="A2567" s="556" t="s">
        <v>951</v>
      </c>
      <c r="B2567" s="557"/>
      <c r="C2567" s="557"/>
      <c r="D2567" s="557"/>
      <c r="E2567" s="557"/>
      <c r="F2567" s="557"/>
      <c r="G2567" s="557"/>
      <c r="H2567" s="557"/>
      <c r="I2567" s="558"/>
    </row>
    <row r="2568" spans="1:9" hidden="1">
      <c r="A2568" s="36" t="s">
        <v>54</v>
      </c>
      <c r="B2568" s="24" t="s">
        <v>29</v>
      </c>
      <c r="C2568" s="52" t="e">
        <f t="shared" ref="C2568:C2579" si="585">D2568+E2568+F2568+G2568+H2568+I2568</f>
        <v>#REF!</v>
      </c>
      <c r="D2568" s="52" t="e">
        <f t="shared" ref="D2568:I2571" si="586">D2570</f>
        <v>#REF!</v>
      </c>
      <c r="E2568" s="64" t="e">
        <f t="shared" si="586"/>
        <v>#REF!</v>
      </c>
      <c r="F2568" s="52" t="e">
        <f t="shared" si="586"/>
        <v>#REF!</v>
      </c>
      <c r="G2568" s="52" t="e">
        <f t="shared" si="586"/>
        <v>#REF!</v>
      </c>
      <c r="H2568" s="52" t="e">
        <f t="shared" si="586"/>
        <v>#REF!</v>
      </c>
      <c r="I2568" s="52" t="e">
        <f t="shared" si="586"/>
        <v>#REF!</v>
      </c>
    </row>
    <row r="2569" spans="1:9" hidden="1">
      <c r="A2569" s="37" t="s">
        <v>87</v>
      </c>
      <c r="B2569" s="26" t="s">
        <v>30</v>
      </c>
      <c r="C2569" s="52" t="e">
        <f t="shared" si="585"/>
        <v>#REF!</v>
      </c>
      <c r="D2569" s="52" t="e">
        <f t="shared" si="586"/>
        <v>#REF!</v>
      </c>
      <c r="E2569" s="64" t="e">
        <f t="shared" si="586"/>
        <v>#REF!</v>
      </c>
      <c r="F2569" s="52" t="e">
        <f t="shared" si="586"/>
        <v>#REF!</v>
      </c>
      <c r="G2569" s="52" t="e">
        <f t="shared" si="586"/>
        <v>#REF!</v>
      </c>
      <c r="H2569" s="52" t="e">
        <f t="shared" si="586"/>
        <v>#REF!</v>
      </c>
      <c r="I2569" s="52" t="e">
        <f t="shared" si="586"/>
        <v>#REF!</v>
      </c>
    </row>
    <row r="2570" spans="1:9" hidden="1">
      <c r="A2570" s="57" t="s">
        <v>47</v>
      </c>
      <c r="B2570" s="24" t="s">
        <v>29</v>
      </c>
      <c r="C2570" s="52" t="e">
        <f t="shared" si="585"/>
        <v>#REF!</v>
      </c>
      <c r="D2570" s="52" t="e">
        <f>D2572</f>
        <v>#REF!</v>
      </c>
      <c r="E2570" s="52" t="e">
        <f t="shared" si="586"/>
        <v>#REF!</v>
      </c>
      <c r="F2570" s="52" t="e">
        <f t="shared" si="586"/>
        <v>#REF!</v>
      </c>
      <c r="G2570" s="52" t="e">
        <f t="shared" si="586"/>
        <v>#REF!</v>
      </c>
      <c r="H2570" s="52" t="e">
        <f t="shared" si="586"/>
        <v>#REF!</v>
      </c>
      <c r="I2570" s="52" t="e">
        <f t="shared" si="586"/>
        <v>#REF!</v>
      </c>
    </row>
    <row r="2571" spans="1:9" hidden="1">
      <c r="A2571" s="38" t="s">
        <v>48</v>
      </c>
      <c r="B2571" s="26" t="s">
        <v>30</v>
      </c>
      <c r="C2571" s="52" t="e">
        <f t="shared" si="585"/>
        <v>#REF!</v>
      </c>
      <c r="D2571" s="52" t="e">
        <f>D2573</f>
        <v>#REF!</v>
      </c>
      <c r="E2571" s="52" t="e">
        <f t="shared" si="586"/>
        <v>#REF!</v>
      </c>
      <c r="F2571" s="52" t="e">
        <f t="shared" si="586"/>
        <v>#REF!</v>
      </c>
      <c r="G2571" s="52" t="e">
        <f t="shared" si="586"/>
        <v>#REF!</v>
      </c>
      <c r="H2571" s="52" t="e">
        <f t="shared" si="586"/>
        <v>#REF!</v>
      </c>
      <c r="I2571" s="52" t="e">
        <f t="shared" si="586"/>
        <v>#REF!</v>
      </c>
    </row>
    <row r="2572" spans="1:9" ht="12.95" hidden="1">
      <c r="A2572" s="19" t="s">
        <v>37</v>
      </c>
      <c r="B2572" s="3" t="s">
        <v>29</v>
      </c>
      <c r="C2572" s="52" t="e">
        <f t="shared" si="585"/>
        <v>#REF!</v>
      </c>
      <c r="D2572" s="52" t="e">
        <f>#REF!</f>
        <v>#REF!</v>
      </c>
      <c r="E2572" s="52" t="e">
        <f>#REF!</f>
        <v>#REF!</v>
      </c>
      <c r="F2572" s="52" t="e">
        <f>#REF!</f>
        <v>#REF!</v>
      </c>
      <c r="G2572" s="52" t="e">
        <f>#REF!</f>
        <v>#REF!</v>
      </c>
      <c r="H2572" s="52" t="e">
        <f>#REF!</f>
        <v>#REF!</v>
      </c>
      <c r="I2572" s="52" t="e">
        <f>#REF!</f>
        <v>#REF!</v>
      </c>
    </row>
    <row r="2573" spans="1:9" ht="12" hidden="1" customHeight="1">
      <c r="A2573" s="16"/>
      <c r="B2573" s="4" t="s">
        <v>30</v>
      </c>
      <c r="C2573" s="52" t="e">
        <f t="shared" si="585"/>
        <v>#REF!</v>
      </c>
      <c r="D2573" s="52" t="e">
        <f>#REF!</f>
        <v>#REF!</v>
      </c>
      <c r="E2573" s="52" t="e">
        <f>#REF!</f>
        <v>#REF!</v>
      </c>
      <c r="F2573" s="52" t="e">
        <f>#REF!</f>
        <v>#REF!</v>
      </c>
      <c r="G2573" s="52" t="e">
        <f>#REF!</f>
        <v>#REF!</v>
      </c>
      <c r="H2573" s="52" t="e">
        <f>#REF!</f>
        <v>#REF!</v>
      </c>
      <c r="I2573" s="52" t="e">
        <f>#REF!</f>
        <v>#REF!</v>
      </c>
    </row>
    <row r="2574" spans="1:9" s="20" customFormat="1">
      <c r="A2574" s="275" t="s">
        <v>44</v>
      </c>
      <c r="B2574" s="59" t="s">
        <v>29</v>
      </c>
      <c r="C2574" s="64">
        <f t="shared" si="585"/>
        <v>61198.35</v>
      </c>
      <c r="D2574" s="64">
        <f>D2576+D2578</f>
        <v>60586.442999999999</v>
      </c>
      <c r="E2574" s="64">
        <f t="shared" ref="E2574:I2575" si="587">E2576+E2578</f>
        <v>0</v>
      </c>
      <c r="F2574" s="64">
        <f t="shared" si="587"/>
        <v>0</v>
      </c>
      <c r="G2574" s="64">
        <f t="shared" si="587"/>
        <v>0</v>
      </c>
      <c r="H2574" s="64">
        <f t="shared" si="587"/>
        <v>0</v>
      </c>
      <c r="I2574" s="64">
        <f t="shared" si="587"/>
        <v>611.90699999999981</v>
      </c>
    </row>
    <row r="2575" spans="1:9" s="20" customFormat="1">
      <c r="A2575" s="12" t="s">
        <v>32</v>
      </c>
      <c r="B2575" s="62" t="s">
        <v>30</v>
      </c>
      <c r="C2575" s="64">
        <f t="shared" si="585"/>
        <v>61198.35</v>
      </c>
      <c r="D2575" s="64">
        <f>D2577+D2579</f>
        <v>60586.442999999999</v>
      </c>
      <c r="E2575" s="64">
        <f t="shared" si="587"/>
        <v>0</v>
      </c>
      <c r="F2575" s="64">
        <f t="shared" si="587"/>
        <v>0</v>
      </c>
      <c r="G2575" s="64">
        <f t="shared" si="587"/>
        <v>0</v>
      </c>
      <c r="H2575" s="64">
        <f t="shared" si="587"/>
        <v>0</v>
      </c>
      <c r="I2575" s="64">
        <f t="shared" si="587"/>
        <v>611.90699999999981</v>
      </c>
    </row>
    <row r="2576" spans="1:9" s="20" customFormat="1" ht="12.95">
      <c r="A2576" s="17" t="s">
        <v>34</v>
      </c>
      <c r="B2576" s="54" t="s">
        <v>29</v>
      </c>
      <c r="C2576" s="64">
        <f t="shared" si="585"/>
        <v>30448</v>
      </c>
      <c r="D2576" s="64">
        <f t="shared" ref="D2576:I2577" si="588">D296</f>
        <v>30448</v>
      </c>
      <c r="E2576" s="64">
        <f t="shared" si="588"/>
        <v>0</v>
      </c>
      <c r="F2576" s="64">
        <f t="shared" si="588"/>
        <v>0</v>
      </c>
      <c r="G2576" s="64">
        <f t="shared" si="588"/>
        <v>0</v>
      </c>
      <c r="H2576" s="64">
        <f t="shared" si="588"/>
        <v>0</v>
      </c>
      <c r="I2576" s="64">
        <f t="shared" si="588"/>
        <v>0</v>
      </c>
    </row>
    <row r="2577" spans="1:9" s="20" customFormat="1" ht="12.95">
      <c r="A2577" s="16" t="s">
        <v>35</v>
      </c>
      <c r="B2577" s="55" t="s">
        <v>30</v>
      </c>
      <c r="C2577" s="64">
        <f t="shared" si="585"/>
        <v>30448</v>
      </c>
      <c r="D2577" s="64">
        <f t="shared" si="588"/>
        <v>30448</v>
      </c>
      <c r="E2577" s="64">
        <f t="shared" si="588"/>
        <v>0</v>
      </c>
      <c r="F2577" s="64">
        <f t="shared" si="588"/>
        <v>0</v>
      </c>
      <c r="G2577" s="64">
        <f t="shared" si="588"/>
        <v>0</v>
      </c>
      <c r="H2577" s="64">
        <f t="shared" si="588"/>
        <v>0</v>
      </c>
      <c r="I2577" s="64">
        <f t="shared" si="588"/>
        <v>0</v>
      </c>
    </row>
    <row r="2578" spans="1:9" ht="12.95">
      <c r="A2578" s="19" t="s">
        <v>37</v>
      </c>
      <c r="B2578" s="3" t="s">
        <v>29</v>
      </c>
      <c r="C2578" s="45">
        <f t="shared" si="585"/>
        <v>30750.35</v>
      </c>
      <c r="D2578" s="45">
        <f t="shared" ref="D2578:I2579" si="589">D380</f>
        <v>30138.442999999999</v>
      </c>
      <c r="E2578" s="45">
        <f t="shared" si="589"/>
        <v>0</v>
      </c>
      <c r="F2578" s="45">
        <f t="shared" si="589"/>
        <v>0</v>
      </c>
      <c r="G2578" s="45">
        <f t="shared" si="589"/>
        <v>0</v>
      </c>
      <c r="H2578" s="45">
        <f t="shared" si="589"/>
        <v>0</v>
      </c>
      <c r="I2578" s="45">
        <f t="shared" si="589"/>
        <v>611.90699999999981</v>
      </c>
    </row>
    <row r="2579" spans="1:9" ht="12.95">
      <c r="A2579" s="16"/>
      <c r="B2579" s="4" t="s">
        <v>30</v>
      </c>
      <c r="C2579" s="45">
        <f t="shared" si="585"/>
        <v>30750.35</v>
      </c>
      <c r="D2579" s="45">
        <f t="shared" si="589"/>
        <v>30138.442999999999</v>
      </c>
      <c r="E2579" s="45">
        <f t="shared" si="589"/>
        <v>0</v>
      </c>
      <c r="F2579" s="45">
        <f t="shared" si="589"/>
        <v>0</v>
      </c>
      <c r="G2579" s="45">
        <f t="shared" si="589"/>
        <v>0</v>
      </c>
      <c r="H2579" s="45">
        <f t="shared" si="589"/>
        <v>0</v>
      </c>
      <c r="I2579" s="45">
        <f t="shared" si="589"/>
        <v>611.90699999999981</v>
      </c>
    </row>
    <row r="2580" spans="1:9" ht="12.95">
      <c r="A2580" s="531"/>
      <c r="C2580" s="532"/>
      <c r="D2580" s="532"/>
      <c r="E2580" s="532"/>
      <c r="F2580" s="532"/>
      <c r="G2580" s="532"/>
      <c r="H2580" s="532"/>
      <c r="I2580" s="532"/>
    </row>
    <row r="2581" spans="1:9" ht="12.95">
      <c r="A2581" s="531"/>
      <c r="C2581" s="532"/>
      <c r="D2581" s="532"/>
      <c r="E2581" s="532"/>
      <c r="F2581" s="532"/>
      <c r="G2581" s="532"/>
      <c r="H2581" s="532"/>
      <c r="I2581" s="532"/>
    </row>
    <row r="2582" spans="1:9" ht="12.95">
      <c r="A2582" s="531"/>
      <c r="C2582" s="532"/>
      <c r="D2582" s="532"/>
      <c r="E2582" s="532"/>
      <c r="F2582" s="532"/>
      <c r="G2582" s="532"/>
      <c r="H2582" s="532"/>
      <c r="I2582" s="532"/>
    </row>
    <row r="2583" spans="1:9" ht="12.95">
      <c r="A2583" s="531"/>
      <c r="C2583" s="532"/>
      <c r="D2583" s="532"/>
      <c r="E2583" s="532"/>
      <c r="F2583" s="532"/>
      <c r="G2583" s="532"/>
      <c r="H2583" s="532"/>
      <c r="I2583" s="532"/>
    </row>
    <row r="2584" spans="1:9" ht="14.25" customHeight="1">
      <c r="A2584" s="162" t="s">
        <v>952</v>
      </c>
      <c r="B2584" s="559" t="s">
        <v>953</v>
      </c>
      <c r="C2584" s="559"/>
      <c r="D2584" s="559"/>
      <c r="E2584" s="560"/>
      <c r="F2584" s="560"/>
      <c r="G2584" s="560"/>
      <c r="H2584" s="560"/>
      <c r="I2584" s="560"/>
    </row>
    <row r="2585" spans="1:9">
      <c r="A2585" s="94" t="s">
        <v>954</v>
      </c>
      <c r="B2585" s="561" t="s">
        <v>955</v>
      </c>
      <c r="C2585" s="561"/>
      <c r="D2585" s="561"/>
      <c r="E2585" s="562"/>
      <c r="F2585" s="562"/>
      <c r="G2585" s="562"/>
      <c r="H2585" s="562"/>
      <c r="I2585" s="562"/>
    </row>
    <row r="2586" spans="1:9">
      <c r="A2586" s="347" t="s">
        <v>956</v>
      </c>
      <c r="B2586" s="563" t="s">
        <v>957</v>
      </c>
      <c r="C2586" s="564"/>
      <c r="D2586" s="564"/>
      <c r="E2586" s="757"/>
      <c r="F2586" s="757"/>
      <c r="G2586" s="757"/>
      <c r="H2586" s="757"/>
      <c r="I2586" s="757"/>
    </row>
    <row r="2587" spans="1:9">
      <c r="A2587" s="347"/>
      <c r="B2587" s="348"/>
      <c r="C2587" s="6"/>
    </row>
    <row r="2588" spans="1:9">
      <c r="A2588" s="347"/>
      <c r="B2588" s="348"/>
      <c r="C2588" s="6"/>
    </row>
    <row r="2589" spans="1:9">
      <c r="A2589" s="347"/>
      <c r="B2589" s="348"/>
      <c r="C2589" s="6"/>
    </row>
    <row r="2590" spans="1:9">
      <c r="A2590" s="347"/>
      <c r="B2590" s="348"/>
      <c r="C2590" s="6"/>
    </row>
    <row r="2591" spans="1:9">
      <c r="A2591" s="347"/>
      <c r="B2591" s="348"/>
      <c r="C2591" s="6"/>
    </row>
    <row r="2592" spans="1:9" ht="12.75" customHeight="1">
      <c r="A2592" s="548" t="s">
        <v>958</v>
      </c>
      <c r="B2592" s="548"/>
      <c r="C2592" s="20"/>
      <c r="D2592"/>
      <c r="F2592" s="549"/>
      <c r="G2592" s="549"/>
    </row>
    <row r="2593" spans="1:19">
      <c r="A2593" s="548" t="s">
        <v>959</v>
      </c>
      <c r="B2593" s="548"/>
      <c r="C2593" s="347"/>
      <c r="D2593"/>
      <c r="F2593" s="549"/>
      <c r="G2593" s="549"/>
    </row>
    <row r="2594" spans="1:19">
      <c r="A2594" s="347"/>
      <c r="B2594"/>
      <c r="D2594"/>
      <c r="F2594" s="347"/>
      <c r="G2594" s="347"/>
    </row>
    <row r="2595" spans="1:19">
      <c r="A2595" s="347"/>
      <c r="B2595"/>
      <c r="D2595"/>
      <c r="F2595" s="347"/>
      <c r="G2595" s="549"/>
      <c r="H2595" s="549"/>
      <c r="I2595" s="549"/>
    </row>
    <row r="2596" spans="1:19">
      <c r="G2596" s="549"/>
      <c r="H2596" s="549"/>
      <c r="I2596" s="549"/>
    </row>
    <row r="2597" spans="1:19">
      <c r="G2597" s="549"/>
      <c r="H2597" s="549"/>
      <c r="I2597" s="549"/>
    </row>
    <row r="2598" spans="1:19" s="6" customFormat="1">
      <c r="A2598" s="20"/>
      <c r="C2598"/>
      <c r="E2598"/>
      <c r="F2598"/>
      <c r="G2598"/>
      <c r="H2598"/>
      <c r="I2598"/>
      <c r="J2598"/>
      <c r="K2598"/>
      <c r="L2598"/>
      <c r="M2598"/>
      <c r="N2598"/>
      <c r="O2598"/>
      <c r="P2598"/>
      <c r="Q2598"/>
      <c r="R2598"/>
      <c r="S2598"/>
    </row>
    <row r="2599" spans="1:19" s="6" customFormat="1">
      <c r="A2599" s="20"/>
      <c r="C2599"/>
      <c r="E2599"/>
      <c r="F2599"/>
      <c r="G2599"/>
      <c r="H2599"/>
      <c r="I2599"/>
      <c r="J2599"/>
      <c r="K2599"/>
      <c r="L2599"/>
      <c r="M2599"/>
      <c r="N2599"/>
      <c r="O2599"/>
      <c r="P2599"/>
      <c r="Q2599"/>
      <c r="R2599"/>
      <c r="S2599"/>
    </row>
  </sheetData>
  <mergeCells count="265">
    <mergeCell ref="F1:I1"/>
    <mergeCell ref="A3:I3"/>
    <mergeCell ref="A4:I4"/>
    <mergeCell ref="A5:I5"/>
    <mergeCell ref="A9:I9"/>
    <mergeCell ref="A10:I10"/>
    <mergeCell ref="H20:I20"/>
    <mergeCell ref="E21:E24"/>
    <mergeCell ref="F21:F24"/>
    <mergeCell ref="G21:G24"/>
    <mergeCell ref="H21:H24"/>
    <mergeCell ref="I21:I24"/>
    <mergeCell ref="A11:I11"/>
    <mergeCell ref="F13:I13"/>
    <mergeCell ref="F14:I14"/>
    <mergeCell ref="F15:I15"/>
    <mergeCell ref="A17:I17"/>
    <mergeCell ref="A18:I18"/>
    <mergeCell ref="J126:N127"/>
    <mergeCell ref="J128:N129"/>
    <mergeCell ref="J130:P131"/>
    <mergeCell ref="J132:O133"/>
    <mergeCell ref="J134:O135"/>
    <mergeCell ref="J138:O139"/>
    <mergeCell ref="A76:I76"/>
    <mergeCell ref="A77:I77"/>
    <mergeCell ref="A108:I108"/>
    <mergeCell ref="A109:I109"/>
    <mergeCell ref="J120:O121"/>
    <mergeCell ref="J122:O123"/>
    <mergeCell ref="J116:Q117"/>
    <mergeCell ref="J174:N175"/>
    <mergeCell ref="A176:I176"/>
    <mergeCell ref="J189:O190"/>
    <mergeCell ref="J195:P196"/>
    <mergeCell ref="J197:P198"/>
    <mergeCell ref="A199:I199"/>
    <mergeCell ref="J140:O141"/>
    <mergeCell ref="J150:P151"/>
    <mergeCell ref="J152:O153"/>
    <mergeCell ref="J166:N167"/>
    <mergeCell ref="J170:N171"/>
    <mergeCell ref="J172:N173"/>
    <mergeCell ref="J233:N234"/>
    <mergeCell ref="J235:N236"/>
    <mergeCell ref="J245:P246"/>
    <mergeCell ref="J257:N258"/>
    <mergeCell ref="A259:I259"/>
    <mergeCell ref="J274:N275"/>
    <mergeCell ref="J212:P213"/>
    <mergeCell ref="A214:I214"/>
    <mergeCell ref="J223:Q224"/>
    <mergeCell ref="J225:M225"/>
    <mergeCell ref="J226:M226"/>
    <mergeCell ref="J227:R228"/>
    <mergeCell ref="J292:O293"/>
    <mergeCell ref="A298:A299"/>
    <mergeCell ref="J298:O299"/>
    <mergeCell ref="J300:O301"/>
    <mergeCell ref="J308:O309"/>
    <mergeCell ref="J310:Q311"/>
    <mergeCell ref="A276:I276"/>
    <mergeCell ref="A277:I277"/>
    <mergeCell ref="J284:P285"/>
    <mergeCell ref="J286:P287"/>
    <mergeCell ref="A290:A291"/>
    <mergeCell ref="J290:N291"/>
    <mergeCell ref="J326:P327"/>
    <mergeCell ref="J328:P329"/>
    <mergeCell ref="J330:P331"/>
    <mergeCell ref="J332:O333"/>
    <mergeCell ref="J334:O335"/>
    <mergeCell ref="J336:O337"/>
    <mergeCell ref="J312:O313"/>
    <mergeCell ref="J314:Q315"/>
    <mergeCell ref="A316:A317"/>
    <mergeCell ref="A318:A319"/>
    <mergeCell ref="J318:Q319"/>
    <mergeCell ref="J324:O325"/>
    <mergeCell ref="J350:O351"/>
    <mergeCell ref="J352:P353"/>
    <mergeCell ref="K354:Q354"/>
    <mergeCell ref="K356:P356"/>
    <mergeCell ref="J358:O359"/>
    <mergeCell ref="J360:O361"/>
    <mergeCell ref="J338:N338"/>
    <mergeCell ref="K340:P340"/>
    <mergeCell ref="J342:P343"/>
    <mergeCell ref="K344:Q344"/>
    <mergeCell ref="J346:P347"/>
    <mergeCell ref="J348:P349"/>
    <mergeCell ref="J374:O375"/>
    <mergeCell ref="J376:O377"/>
    <mergeCell ref="J382:O383"/>
    <mergeCell ref="J384:O385"/>
    <mergeCell ref="J386:O387"/>
    <mergeCell ref="A388:I388"/>
    <mergeCell ref="J362:O363"/>
    <mergeCell ref="J364:O365"/>
    <mergeCell ref="J366:O366"/>
    <mergeCell ref="J368:O369"/>
    <mergeCell ref="J370:O371"/>
    <mergeCell ref="J372:O373"/>
    <mergeCell ref="A442:I442"/>
    <mergeCell ref="J455:P456"/>
    <mergeCell ref="A470:I470"/>
    <mergeCell ref="J483:O484"/>
    <mergeCell ref="J485:O485"/>
    <mergeCell ref="J486:O486"/>
    <mergeCell ref="A389:I389"/>
    <mergeCell ref="A408:I408"/>
    <mergeCell ref="J419:O419"/>
    <mergeCell ref="J421:N421"/>
    <mergeCell ref="A423:I423"/>
    <mergeCell ref="J436:R437"/>
    <mergeCell ref="J440:R441"/>
    <mergeCell ref="A457:I457"/>
    <mergeCell ref="J468:N469"/>
    <mergeCell ref="A538:I538"/>
    <mergeCell ref="A549:I549"/>
    <mergeCell ref="J560:M561"/>
    <mergeCell ref="A562:C562"/>
    <mergeCell ref="D562:F562"/>
    <mergeCell ref="G562:I562"/>
    <mergeCell ref="J487:O488"/>
    <mergeCell ref="J489:O490"/>
    <mergeCell ref="J491:O492"/>
    <mergeCell ref="A495:I495"/>
    <mergeCell ref="A496:I496"/>
    <mergeCell ref="A537:I537"/>
    <mergeCell ref="J493:O494"/>
    <mergeCell ref="J630:Q631"/>
    <mergeCell ref="J638:N638"/>
    <mergeCell ref="A690:I690"/>
    <mergeCell ref="A709:I709"/>
    <mergeCell ref="A736:I736"/>
    <mergeCell ref="A771:I771"/>
    <mergeCell ref="A579:I579"/>
    <mergeCell ref="A580:I580"/>
    <mergeCell ref="A617:I617"/>
    <mergeCell ref="J624:Q625"/>
    <mergeCell ref="J628:Q629"/>
    <mergeCell ref="J811:Q812"/>
    <mergeCell ref="J813:Q814"/>
    <mergeCell ref="J815:Q816"/>
    <mergeCell ref="J817:Q818"/>
    <mergeCell ref="J819:Q820"/>
    <mergeCell ref="J821:Q822"/>
    <mergeCell ref="J792:Q793"/>
    <mergeCell ref="A794:I794"/>
    <mergeCell ref="J801:Q802"/>
    <mergeCell ref="J803:Q804"/>
    <mergeCell ref="J805:Q806"/>
    <mergeCell ref="J809:Q810"/>
    <mergeCell ref="J1121:O1122"/>
    <mergeCell ref="J1123:O1124"/>
    <mergeCell ref="J1125:O1126"/>
    <mergeCell ref="A1165:I1165"/>
    <mergeCell ref="A1350:I1350"/>
    <mergeCell ref="J1375:O1376"/>
    <mergeCell ref="J823:Q824"/>
    <mergeCell ref="A1095:A1096"/>
    <mergeCell ref="J1113:O1114"/>
    <mergeCell ref="J1115:O1116"/>
    <mergeCell ref="J1117:O1118"/>
    <mergeCell ref="J1119:O1120"/>
    <mergeCell ref="A1507:A1508"/>
    <mergeCell ref="A1509:A1510"/>
    <mergeCell ref="A1559:I1559"/>
    <mergeCell ref="A1595:I1595"/>
    <mergeCell ref="J1634:N1635"/>
    <mergeCell ref="J1644:Q1645"/>
    <mergeCell ref="A1453:I1453"/>
    <mergeCell ref="A1466:I1466"/>
    <mergeCell ref="A1467:I1467"/>
    <mergeCell ref="A1488:I1488"/>
    <mergeCell ref="A1503:A1504"/>
    <mergeCell ref="A1505:A1506"/>
    <mergeCell ref="J1848:M1848"/>
    <mergeCell ref="J1894:P1895"/>
    <mergeCell ref="J1896:P1897"/>
    <mergeCell ref="A1964:I1964"/>
    <mergeCell ref="J1971:M1972"/>
    <mergeCell ref="J1985:N1986"/>
    <mergeCell ref="J1680:J1685"/>
    <mergeCell ref="A1726:A1727"/>
    <mergeCell ref="A1728:A1729"/>
    <mergeCell ref="A1740:I1740"/>
    <mergeCell ref="J1799:O1800"/>
    <mergeCell ref="A1823:I1823"/>
    <mergeCell ref="A2141:I2141"/>
    <mergeCell ref="J2150:O2150"/>
    <mergeCell ref="A2059:I2059"/>
    <mergeCell ref="A2084:I2084"/>
    <mergeCell ref="J2093:S2094"/>
    <mergeCell ref="J2095:S2096"/>
    <mergeCell ref="A2097:I2097"/>
    <mergeCell ref="J2108:M2108"/>
    <mergeCell ref="A2035:I2035"/>
    <mergeCell ref="A2036:I2036"/>
    <mergeCell ref="A2045:I2045"/>
    <mergeCell ref="J2054:S2055"/>
    <mergeCell ref="J2056:S2057"/>
    <mergeCell ref="A2058:I2058"/>
    <mergeCell ref="J2160:P2161"/>
    <mergeCell ref="J2162:R2163"/>
    <mergeCell ref="J2178:P2179"/>
    <mergeCell ref="J2182:O2183"/>
    <mergeCell ref="J2186:O2187"/>
    <mergeCell ref="J2190:O2191"/>
    <mergeCell ref="J2114:M2114"/>
    <mergeCell ref="J2116:P2117"/>
    <mergeCell ref="J2131:O2132"/>
    <mergeCell ref="J2139:P2140"/>
    <mergeCell ref="J2164:R2165"/>
    <mergeCell ref="J2166:R2167"/>
    <mergeCell ref="J2208:P2209"/>
    <mergeCell ref="J2210:P2211"/>
    <mergeCell ref="J2218:P2219"/>
    <mergeCell ref="J2222:P2223"/>
    <mergeCell ref="J2224:P2225"/>
    <mergeCell ref="J2226:P2227"/>
    <mergeCell ref="J2192:O2193"/>
    <mergeCell ref="J2194:O2195"/>
    <mergeCell ref="J2198:P2199"/>
    <mergeCell ref="J2200:P2201"/>
    <mergeCell ref="J2202:P2203"/>
    <mergeCell ref="J2204:P2205"/>
    <mergeCell ref="A2481:I2481"/>
    <mergeCell ref="J2382:Q2383"/>
    <mergeCell ref="J2398:O2399"/>
    <mergeCell ref="J2400:O2401"/>
    <mergeCell ref="J2402:O2403"/>
    <mergeCell ref="J2418:O2419"/>
    <mergeCell ref="J2434:O2435"/>
    <mergeCell ref="J2230:N2231"/>
    <mergeCell ref="A2232:I2232"/>
    <mergeCell ref="J2273:P2274"/>
    <mergeCell ref="A2275:I2275"/>
    <mergeCell ref="J2368:L2369"/>
    <mergeCell ref="J2380:Q2381"/>
    <mergeCell ref="A2593:B2593"/>
    <mergeCell ref="F2593:G2593"/>
    <mergeCell ref="G2595:I2595"/>
    <mergeCell ref="G2596:I2596"/>
    <mergeCell ref="G2597:I2597"/>
    <mergeCell ref="J2170:N2171"/>
    <mergeCell ref="A2548:I2548"/>
    <mergeCell ref="A2567:I2567"/>
    <mergeCell ref="B2584:I2584"/>
    <mergeCell ref="B2585:I2585"/>
    <mergeCell ref="B2586:I2586"/>
    <mergeCell ref="A2592:B2592"/>
    <mergeCell ref="F2592:G2592"/>
    <mergeCell ref="A2488:I2488"/>
    <mergeCell ref="A2498:I2498"/>
    <mergeCell ref="A2509:I2509"/>
    <mergeCell ref="A2522:I2522"/>
    <mergeCell ref="A2538:I2538"/>
    <mergeCell ref="A2547:I2547"/>
    <mergeCell ref="A2436:I2436"/>
    <mergeCell ref="A2449:I2449"/>
    <mergeCell ref="A2450:I2450"/>
    <mergeCell ref="A2467:I2467"/>
    <mergeCell ref="A2474:I2474"/>
  </mergeCells>
  <pageMargins left="0.70866141732283472" right="0.31496062992125984" top="0.55118110236220474" bottom="0.55118110236220474" header="0.31496062992125984" footer="0.31496062992125984"/>
  <pageSetup scale="85"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8B38CB-1C69-41E6-A1A4-FE245FAB8654}"/>
</file>

<file path=customXml/itemProps2.xml><?xml version="1.0" encoding="utf-8"?>
<ds:datastoreItem xmlns:ds="http://schemas.openxmlformats.org/officeDocument/2006/customXml" ds:itemID="{F4515089-23F3-42BB-8CD1-55AC461EEB9B}"/>
</file>

<file path=customXml/itemProps3.xml><?xml version="1.0" encoding="utf-8"?>
<ds:datastoreItem xmlns:ds="http://schemas.openxmlformats.org/officeDocument/2006/customXml" ds:itemID="{89C65700-0634-4F01-98FD-D83B87B92EDB}"/>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2026-06-03T17:19:49Z</dcterms:modified>
  <cp:category/>
  <cp:contentStatus/>
</cp:coreProperties>
</file>