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2 PROIECTE\BRADET\FINAL - DEVIZ, MEMORIU\"/>
    </mc:Choice>
  </mc:AlternateContent>
  <bookViews>
    <workbookView xWindow="0" yWindow="0" windowWidth="10368" windowHeight="8700" tabRatio="772" activeTab="2"/>
  </bookViews>
  <sheets>
    <sheet name="4.2.1 LUCRARI LOCALE SPITAL" sheetId="19" r:id="rId1"/>
    <sheet name="4.2.1 LUCRARI CONTAINER" sheetId="18" r:id="rId2"/>
    <sheet name="GENERAL" sheetId="11" r:id="rId3"/>
  </sheets>
  <definedNames>
    <definedName name="_xlnm.Print_Area" localSheetId="0">'4.2.1 LUCRARI LOCALE SPITAL'!$A$1:$E$102</definedName>
    <definedName name="_xlnm.Print_Area" localSheetId="2">GENERAL!$A$1:$E$86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11" l="1"/>
  <c r="D53" i="11" l="1"/>
  <c r="D54" i="11"/>
  <c r="D55" i="11"/>
  <c r="D47" i="11"/>
  <c r="D50" i="11"/>
  <c r="D49" i="11"/>
  <c r="D48" i="11"/>
  <c r="C55" i="11"/>
  <c r="C54" i="11"/>
  <c r="C53" i="11"/>
  <c r="C50" i="11"/>
  <c r="C49" i="11"/>
  <c r="C48" i="11"/>
  <c r="I54" i="11"/>
  <c r="G54" i="11"/>
  <c r="I55" i="11"/>
  <c r="E94" i="19" l="1"/>
  <c r="D94" i="19"/>
  <c r="C94" i="19"/>
  <c r="C41" i="19"/>
  <c r="I63" i="11" l="1"/>
  <c r="H63" i="11"/>
  <c r="I62" i="11"/>
  <c r="H62" i="11"/>
  <c r="I61" i="11"/>
  <c r="H61" i="11"/>
  <c r="D59" i="11" l="1"/>
  <c r="D44" i="11"/>
  <c r="E53" i="18"/>
  <c r="E76" i="18"/>
  <c r="E79" i="18"/>
  <c r="D53" i="18"/>
  <c r="D76" i="18"/>
  <c r="D79" i="18"/>
  <c r="C53" i="18"/>
  <c r="C55" i="18"/>
  <c r="C56" i="18"/>
  <c r="C58" i="18"/>
  <c r="C60" i="18"/>
  <c r="C62" i="18"/>
  <c r="C65" i="18"/>
  <c r="C68" i="18"/>
  <c r="C69" i="18"/>
  <c r="C70" i="18"/>
  <c r="C73" i="18"/>
  <c r="C74" i="18"/>
  <c r="C75" i="18"/>
  <c r="C76" i="18"/>
  <c r="C78" i="18"/>
  <c r="C79" i="18"/>
  <c r="C20" i="18"/>
  <c r="C63" i="18" s="1"/>
  <c r="D10" i="18"/>
  <c r="E10" i="18"/>
  <c r="E63" i="19"/>
  <c r="E90" i="19"/>
  <c r="D63" i="19"/>
  <c r="D90" i="19"/>
  <c r="D98" i="19"/>
  <c r="C63" i="19"/>
  <c r="C65" i="19"/>
  <c r="C66" i="19"/>
  <c r="C67" i="19"/>
  <c r="C68" i="19"/>
  <c r="C69" i="19"/>
  <c r="C70" i="19"/>
  <c r="C72" i="19"/>
  <c r="C74" i="19"/>
  <c r="C76" i="19"/>
  <c r="C77" i="19"/>
  <c r="C79" i="19"/>
  <c r="C82" i="19"/>
  <c r="C83" i="19"/>
  <c r="C84" i="19"/>
  <c r="C87" i="19"/>
  <c r="C88" i="19"/>
  <c r="C89" i="19"/>
  <c r="C90" i="19"/>
  <c r="C92" i="19"/>
  <c r="C93" i="19"/>
  <c r="C95" i="19"/>
  <c r="C96" i="19"/>
  <c r="C97" i="19"/>
  <c r="C98" i="19"/>
  <c r="E44" i="19"/>
  <c r="E97" i="19" s="1"/>
  <c r="C44" i="19"/>
  <c r="G55" i="11" s="1"/>
  <c r="D45" i="19"/>
  <c r="E45" i="19" s="1"/>
  <c r="E98" i="19" s="1"/>
  <c r="D44" i="19" l="1"/>
  <c r="D97" i="19" s="1"/>
  <c r="C35" i="11"/>
  <c r="C38" i="19"/>
  <c r="C91" i="19" s="1"/>
  <c r="C52" i="11"/>
  <c r="D52" i="11" s="1"/>
  <c r="D39" i="19"/>
  <c r="D40" i="19"/>
  <c r="D41" i="19"/>
  <c r="D42" i="19"/>
  <c r="D43" i="19"/>
  <c r="C34" i="18"/>
  <c r="C77" i="18" s="1"/>
  <c r="D35" i="18"/>
  <c r="E43" i="19" l="1"/>
  <c r="E96" i="19" s="1"/>
  <c r="D96" i="19"/>
  <c r="E40" i="19"/>
  <c r="E93" i="19" s="1"/>
  <c r="D93" i="19"/>
  <c r="E35" i="18"/>
  <c r="E78" i="18" s="1"/>
  <c r="D78" i="18"/>
  <c r="E39" i="19"/>
  <c r="E92" i="19" s="1"/>
  <c r="D92" i="19"/>
  <c r="E42" i="19"/>
  <c r="E95" i="19" s="1"/>
  <c r="D95" i="19"/>
  <c r="E41" i="19"/>
  <c r="C25" i="19"/>
  <c r="C78" i="19" s="1"/>
  <c r="C11" i="19" l="1"/>
  <c r="C64" i="19" s="1"/>
  <c r="D38" i="19"/>
  <c r="D36" i="19"/>
  <c r="D35" i="19"/>
  <c r="D34" i="19"/>
  <c r="C33" i="19"/>
  <c r="C86" i="19" s="1"/>
  <c r="D31" i="19"/>
  <c r="D30" i="19"/>
  <c r="D29" i="19"/>
  <c r="C28" i="19"/>
  <c r="C81" i="19" s="1"/>
  <c r="D26" i="19"/>
  <c r="D79" i="19" s="1"/>
  <c r="D24" i="19"/>
  <c r="D23" i="19"/>
  <c r="C22" i="19"/>
  <c r="C75" i="19" s="1"/>
  <c r="D21" i="19"/>
  <c r="C20" i="19"/>
  <c r="C73" i="19" s="1"/>
  <c r="D19" i="19"/>
  <c r="C18" i="19"/>
  <c r="C71" i="19" s="1"/>
  <c r="D17" i="19"/>
  <c r="D16" i="19"/>
  <c r="D15" i="19"/>
  <c r="D14" i="19"/>
  <c r="D13" i="19"/>
  <c r="D12" i="19"/>
  <c r="E16" i="19" l="1"/>
  <c r="E69" i="19" s="1"/>
  <c r="D69" i="19"/>
  <c r="E12" i="19"/>
  <c r="E65" i="19" s="1"/>
  <c r="D65" i="19"/>
  <c r="E24" i="19"/>
  <c r="E77" i="19" s="1"/>
  <c r="D77" i="19"/>
  <c r="E35" i="19"/>
  <c r="E88" i="19" s="1"/>
  <c r="D88" i="19"/>
  <c r="E13" i="19"/>
  <c r="E66" i="19" s="1"/>
  <c r="D66" i="19"/>
  <c r="E19" i="19"/>
  <c r="E72" i="19" s="1"/>
  <c r="D72" i="19"/>
  <c r="E34" i="19"/>
  <c r="E87" i="19" s="1"/>
  <c r="D87" i="19"/>
  <c r="E14" i="19"/>
  <c r="E67" i="19" s="1"/>
  <c r="D67" i="19"/>
  <c r="E15" i="19"/>
  <c r="E68" i="19" s="1"/>
  <c r="D68" i="19"/>
  <c r="E21" i="19"/>
  <c r="E74" i="19" s="1"/>
  <c r="D74" i="19"/>
  <c r="E29" i="19"/>
  <c r="E82" i="19" s="1"/>
  <c r="D82" i="19"/>
  <c r="E36" i="19"/>
  <c r="E89" i="19" s="1"/>
  <c r="D89" i="19"/>
  <c r="E30" i="19"/>
  <c r="E83" i="19" s="1"/>
  <c r="D83" i="19"/>
  <c r="E38" i="19"/>
  <c r="E91" i="19" s="1"/>
  <c r="D91" i="19"/>
  <c r="E17" i="19"/>
  <c r="E70" i="19" s="1"/>
  <c r="D70" i="19"/>
  <c r="E23" i="19"/>
  <c r="E76" i="19" s="1"/>
  <c r="D76" i="19"/>
  <c r="E31" i="19"/>
  <c r="E84" i="19" s="1"/>
  <c r="D84" i="19"/>
  <c r="C32" i="19"/>
  <c r="C85" i="19" s="1"/>
  <c r="E26" i="19"/>
  <c r="D25" i="19"/>
  <c r="D78" i="19" s="1"/>
  <c r="D22" i="19"/>
  <c r="D75" i="19" s="1"/>
  <c r="D28" i="19"/>
  <c r="D18" i="19"/>
  <c r="D71" i="19" s="1"/>
  <c r="D20" i="19"/>
  <c r="D73" i="19" s="1"/>
  <c r="D11" i="19"/>
  <c r="D64" i="19" s="1"/>
  <c r="D33" i="19"/>
  <c r="C9" i="19"/>
  <c r="C62" i="19" s="1"/>
  <c r="E11" i="19"/>
  <c r="E64" i="19" s="1"/>
  <c r="E18" i="19" l="1"/>
  <c r="E71" i="19" s="1"/>
  <c r="E25" i="19"/>
  <c r="E78" i="19" s="1"/>
  <c r="E79" i="19"/>
  <c r="D46" i="19"/>
  <c r="D99" i="19" s="1"/>
  <c r="D86" i="19"/>
  <c r="E20" i="19"/>
  <c r="E73" i="19" s="1"/>
  <c r="D32" i="19"/>
  <c r="D85" i="19" s="1"/>
  <c r="D81" i="19"/>
  <c r="E22" i="19"/>
  <c r="E75" i="19" s="1"/>
  <c r="C27" i="19"/>
  <c r="C80" i="19" s="1"/>
  <c r="E28" i="19"/>
  <c r="D9" i="19"/>
  <c r="E33" i="19"/>
  <c r="D27" i="19" l="1"/>
  <c r="D62" i="19"/>
  <c r="E32" i="19"/>
  <c r="E85" i="19" s="1"/>
  <c r="E81" i="19"/>
  <c r="E46" i="19"/>
  <c r="E99" i="19" s="1"/>
  <c r="E86" i="19"/>
  <c r="E9" i="19"/>
  <c r="E27" i="19" l="1"/>
  <c r="E62" i="19"/>
  <c r="D47" i="19"/>
  <c r="D100" i="19" s="1"/>
  <c r="D80" i="19"/>
  <c r="D74" i="11"/>
  <c r="E47" i="19" l="1"/>
  <c r="E100" i="19" s="1"/>
  <c r="E80" i="19"/>
  <c r="E52" i="11"/>
  <c r="E54" i="11"/>
  <c r="E53" i="11" l="1"/>
  <c r="C29" i="18" l="1"/>
  <c r="C72" i="18" s="1"/>
  <c r="C21" i="18"/>
  <c r="C64" i="18" s="1"/>
  <c r="C18" i="18"/>
  <c r="C61" i="18" s="1"/>
  <c r="C16" i="18"/>
  <c r="C59" i="18" s="1"/>
  <c r="C14" i="18"/>
  <c r="C57" i="18" s="1"/>
  <c r="C11" i="18"/>
  <c r="C54" i="18" s="1"/>
  <c r="D34" i="18"/>
  <c r="D32" i="18"/>
  <c r="D31" i="18"/>
  <c r="D30" i="18"/>
  <c r="D27" i="18"/>
  <c r="D26" i="18"/>
  <c r="D25" i="18"/>
  <c r="C24" i="18"/>
  <c r="C67" i="18" s="1"/>
  <c r="D22" i="18"/>
  <c r="D65" i="18" s="1"/>
  <c r="D20" i="18"/>
  <c r="D19" i="18"/>
  <c r="D62" i="18" s="1"/>
  <c r="D17" i="18"/>
  <c r="D15" i="18"/>
  <c r="D13" i="18"/>
  <c r="D12" i="18"/>
  <c r="E26" i="18" l="1"/>
  <c r="E69" i="18" s="1"/>
  <c r="D69" i="18"/>
  <c r="E17" i="18"/>
  <c r="E60" i="18" s="1"/>
  <c r="D60" i="18"/>
  <c r="E27" i="18"/>
  <c r="E70" i="18" s="1"/>
  <c r="D70" i="18"/>
  <c r="E20" i="18"/>
  <c r="E63" i="18" s="1"/>
  <c r="D63" i="18"/>
  <c r="E30" i="18"/>
  <c r="E73" i="18" s="1"/>
  <c r="D73" i="18"/>
  <c r="E12" i="18"/>
  <c r="E55" i="18" s="1"/>
  <c r="D55" i="18"/>
  <c r="E31" i="18"/>
  <c r="E74" i="18" s="1"/>
  <c r="D74" i="18"/>
  <c r="E13" i="18"/>
  <c r="E56" i="18" s="1"/>
  <c r="D56" i="18"/>
  <c r="E32" i="18"/>
  <c r="E75" i="18" s="1"/>
  <c r="D75" i="18"/>
  <c r="E15" i="18"/>
  <c r="E58" i="18" s="1"/>
  <c r="D58" i="18"/>
  <c r="E25" i="18"/>
  <c r="E68" i="18" s="1"/>
  <c r="D68" i="18"/>
  <c r="E34" i="18"/>
  <c r="E77" i="18" s="1"/>
  <c r="D77" i="18"/>
  <c r="C28" i="18"/>
  <c r="C71" i="18" s="1"/>
  <c r="D29" i="18"/>
  <c r="D72" i="18" s="1"/>
  <c r="C51" i="11"/>
  <c r="E19" i="18"/>
  <c r="D18" i="18"/>
  <c r="D61" i="18" s="1"/>
  <c r="E22" i="18"/>
  <c r="D21" i="18"/>
  <c r="D64" i="18" s="1"/>
  <c r="D37" i="18"/>
  <c r="D80" i="18" s="1"/>
  <c r="E16" i="18"/>
  <c r="E59" i="18" s="1"/>
  <c r="C9" i="18"/>
  <c r="C52" i="18" s="1"/>
  <c r="D11" i="18"/>
  <c r="D54" i="18" s="1"/>
  <c r="D16" i="18"/>
  <c r="D59" i="18" s="1"/>
  <c r="C37" i="18"/>
  <c r="C80" i="18" s="1"/>
  <c r="D14" i="18"/>
  <c r="D57" i="18" s="1"/>
  <c r="D24" i="18"/>
  <c r="D67" i="18" s="1"/>
  <c r="E29" i="18"/>
  <c r="E37" i="18" l="1"/>
  <c r="E80" i="18" s="1"/>
  <c r="E72" i="18"/>
  <c r="E21" i="18"/>
  <c r="E64" i="18" s="1"/>
  <c r="E65" i="18"/>
  <c r="E11" i="18"/>
  <c r="E54" i="18" s="1"/>
  <c r="E50" i="11"/>
  <c r="E18" i="18"/>
  <c r="E61" i="18" s="1"/>
  <c r="E62" i="18"/>
  <c r="E51" i="11"/>
  <c r="E14" i="18"/>
  <c r="E57" i="18" s="1"/>
  <c r="C23" i="18"/>
  <c r="C66" i="18" s="1"/>
  <c r="D9" i="18"/>
  <c r="D28" i="18"/>
  <c r="D71" i="18" s="1"/>
  <c r="E24" i="18"/>
  <c r="C38" i="18" l="1"/>
  <c r="C81" i="18" s="1"/>
  <c r="D23" i="18"/>
  <c r="D66" i="18" s="1"/>
  <c r="D52" i="18"/>
  <c r="E28" i="18"/>
  <c r="E71" i="18" s="1"/>
  <c r="E67" i="18"/>
  <c r="E49" i="11"/>
  <c r="E48" i="11"/>
  <c r="C47" i="11"/>
  <c r="E9" i="18"/>
  <c r="H55" i="11" l="1"/>
  <c r="E23" i="18"/>
  <c r="E52" i="18"/>
  <c r="D38" i="18"/>
  <c r="D81" i="18" s="1"/>
  <c r="D70" i="11"/>
  <c r="E70" i="11" s="1"/>
  <c r="E38" i="18" l="1"/>
  <c r="E81" i="18" s="1"/>
  <c r="E66" i="18"/>
  <c r="D37" i="11"/>
  <c r="D29" i="11"/>
  <c r="D24" i="11"/>
  <c r="E24" i="11" s="1"/>
  <c r="D25" i="11"/>
  <c r="E25" i="11" s="1"/>
  <c r="D22" i="11"/>
  <c r="E22" i="11" s="1"/>
  <c r="E74" i="11"/>
  <c r="E37" i="11" l="1"/>
  <c r="D35" i="11"/>
  <c r="D23" i="11"/>
  <c r="E44" i="11"/>
  <c r="D30" i="11" l="1"/>
  <c r="C15" i="11" l="1"/>
  <c r="D14" i="11"/>
  <c r="E14" i="11" s="1"/>
  <c r="E15" i="11" s="1"/>
  <c r="D15" i="11" l="1"/>
  <c r="C72" i="11"/>
  <c r="D71" i="11"/>
  <c r="E71" i="11" s="1"/>
  <c r="E72" i="11" s="1"/>
  <c r="D72" i="11" l="1"/>
  <c r="D8" i="11" l="1"/>
  <c r="D9" i="11"/>
  <c r="D10" i="11"/>
  <c r="D11" i="11"/>
  <c r="E11" i="11" s="1"/>
  <c r="C12" i="11"/>
  <c r="E9" i="11" l="1"/>
  <c r="D12" i="11"/>
  <c r="E12" i="11" s="1"/>
  <c r="D18" i="11" l="1"/>
  <c r="E18" i="11" s="1"/>
  <c r="D19" i="11"/>
  <c r="E19" i="11" s="1"/>
  <c r="D21" i="11"/>
  <c r="E21" i="11" s="1"/>
  <c r="E23" i="11"/>
  <c r="D27" i="11"/>
  <c r="E27" i="11" s="1"/>
  <c r="D28" i="11"/>
  <c r="E28" i="11" s="1"/>
  <c r="E29" i="11"/>
  <c r="E30" i="11"/>
  <c r="C17" i="11" l="1"/>
  <c r="D17" i="11" s="1"/>
  <c r="E17" i="11" s="1"/>
  <c r="D20" i="11"/>
  <c r="E20" i="11" s="1"/>
  <c r="D61" i="11" l="1"/>
  <c r="E61" i="11" s="1"/>
  <c r="D67" i="11"/>
  <c r="E67" i="11" s="1"/>
  <c r="E59" i="11" l="1"/>
  <c r="D33" i="11" l="1"/>
  <c r="E33" i="11" s="1"/>
  <c r="D31" i="11" l="1"/>
  <c r="D38" i="11"/>
  <c r="E38" i="11" s="1"/>
  <c r="C34" i="11" l="1"/>
  <c r="E36" i="11"/>
  <c r="E31" i="11"/>
  <c r="E35" i="11" l="1"/>
  <c r="D34" i="11" l="1"/>
  <c r="E34" i="11" s="1"/>
  <c r="H54" i="11" l="1"/>
  <c r="C32" i="11" l="1"/>
  <c r="C58" i="11"/>
  <c r="D58" i="11" s="1"/>
  <c r="E47" i="11"/>
  <c r="E55" i="11" s="1"/>
  <c r="J55" i="11"/>
  <c r="E58" i="11" l="1"/>
  <c r="D77" i="11"/>
  <c r="C77" i="11"/>
  <c r="C65" i="11" s="1"/>
  <c r="D65" i="11" s="1"/>
  <c r="C57" i="11"/>
  <c r="D57" i="11" s="1"/>
  <c r="E57" i="11" s="1"/>
  <c r="C26" i="11"/>
  <c r="D32" i="11"/>
  <c r="C41" i="11" l="1"/>
  <c r="D41" i="11" s="1"/>
  <c r="E41" i="11" s="1"/>
  <c r="E77" i="11"/>
  <c r="C64" i="11"/>
  <c r="E64" i="11" s="1"/>
  <c r="C43" i="11"/>
  <c r="D43" i="11" s="1"/>
  <c r="E43" i="11" s="1"/>
  <c r="C62" i="11"/>
  <c r="E62" i="11" s="1"/>
  <c r="C42" i="11"/>
  <c r="D42" i="11" s="1"/>
  <c r="E42" i="11" s="1"/>
  <c r="C63" i="11"/>
  <c r="E63" i="11" s="1"/>
  <c r="C66" i="11"/>
  <c r="D66" i="11" s="1"/>
  <c r="E66" i="11" s="1"/>
  <c r="D60" i="11"/>
  <c r="E65" i="11"/>
  <c r="C40" i="11"/>
  <c r="C60" i="11" l="1"/>
  <c r="C68" i="11" s="1"/>
  <c r="D68" i="11"/>
  <c r="C39" i="11"/>
  <c r="D39" i="11" s="1"/>
  <c r="D40" i="11"/>
  <c r="E40" i="11" s="1"/>
  <c r="E60" i="11"/>
  <c r="E68" i="11" s="1"/>
  <c r="E32" i="11"/>
  <c r="E26" i="11" s="1"/>
  <c r="D26" i="11"/>
  <c r="C45" i="11" l="1"/>
  <c r="E39" i="11"/>
  <c r="E45" i="11" s="1"/>
  <c r="D45" i="11"/>
  <c r="C73" i="11"/>
  <c r="D73" i="11" s="1"/>
  <c r="D75" i="11" s="1"/>
  <c r="D76" i="11" s="1"/>
  <c r="C75" i="11" l="1"/>
  <c r="C76" i="11" s="1"/>
  <c r="E73" i="11" l="1"/>
  <c r="E75" i="11" s="1"/>
  <c r="E76" i="11" s="1"/>
  <c r="C46" i="19" l="1"/>
  <c r="C47" i="19" l="1"/>
  <c r="C100" i="19" s="1"/>
  <c r="C99" i="19"/>
</calcChain>
</file>

<file path=xl/sharedStrings.xml><?xml version="1.0" encoding="utf-8"?>
<sst xmlns="http://schemas.openxmlformats.org/spreadsheetml/2006/main" count="345" uniqueCount="179">
  <si>
    <r>
      <rPr>
        <b/>
        <sz val="8.5"/>
        <rFont val="Arial"/>
        <family val="2"/>
      </rPr>
      <t>privind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cheltuielile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necesare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realizării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investiţiei</t>
    </r>
  </si>
  <si>
    <r>
      <rPr>
        <b/>
        <sz val="7.5"/>
        <rFont val="Arial"/>
        <family val="2"/>
      </rPr>
      <t>Nr.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Crt.</t>
    </r>
  </si>
  <si>
    <r>
      <rPr>
        <b/>
        <sz val="7.5"/>
        <rFont val="Arial"/>
        <family val="2"/>
      </rPr>
      <t>Denumire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capitolelor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şi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subcapitolelor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de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cheltuieli</t>
    </r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</si>
  <si>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(fără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TVA)
</t>
    </r>
    <r>
      <rPr>
        <b/>
        <sz val="7.5"/>
        <rFont val="Arial"/>
        <family val="2"/>
      </rPr>
      <t>Lei</t>
    </r>
  </si>
  <si>
    <r>
      <rPr>
        <b/>
        <sz val="7.5"/>
        <rFont val="Arial"/>
        <family val="2"/>
      </rPr>
      <t>TVA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(19%)
</t>
    </r>
    <r>
      <rPr>
        <b/>
        <sz val="7.5"/>
        <rFont val="Arial"/>
        <family val="2"/>
      </rPr>
      <t>Lei</t>
    </r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</si>
  <si>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(cu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TVA)
</t>
    </r>
    <r>
      <rPr>
        <b/>
        <sz val="7.5"/>
        <rFont val="Arial"/>
        <family val="2"/>
      </rPr>
      <t>Lei</t>
    </r>
  </si>
  <si>
    <r>
      <rPr>
        <b/>
        <sz val="8.5"/>
        <rFont val="Arial"/>
        <family val="2"/>
      </rPr>
      <t>Cap.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Cheltuieli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pentru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investiţia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bază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</si>
  <si>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subcapitolul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4.1.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</si>
  <si>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subcapitolul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4.2.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</si>
  <si>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subcapitolele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4.3.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4.4.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4.5.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4.6.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</si>
  <si>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DEVIZ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OBIECT
</t>
    </r>
    <r>
      <rPr>
        <b/>
        <sz val="8.5"/>
        <rFont val="Arial"/>
        <family val="2"/>
      </rPr>
      <t>(TOTAL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III)</t>
    </r>
  </si>
  <si>
    <t>3.3.</t>
  </si>
  <si>
    <t>3.4.</t>
  </si>
  <si>
    <t>3.5.</t>
  </si>
  <si>
    <t>Expertiză tehnică</t>
  </si>
  <si>
    <t>3.2.</t>
  </si>
  <si>
    <t>3.6.</t>
  </si>
  <si>
    <t>Cheltuieli penru asigurarea utilităților necesare obiectiv</t>
  </si>
  <si>
    <t>2.1.</t>
  </si>
  <si>
    <t>Proiectare</t>
  </si>
  <si>
    <t>1.1.</t>
  </si>
  <si>
    <t>1.2.</t>
  </si>
  <si>
    <t>1.3.</t>
  </si>
  <si>
    <t>1.4.</t>
  </si>
  <si>
    <t>3.1.</t>
  </si>
  <si>
    <t>Studii</t>
  </si>
  <si>
    <t>3.7.</t>
  </si>
  <si>
    <t>Consultanţă</t>
  </si>
  <si>
    <t>3.8.</t>
  </si>
  <si>
    <t>4.1.</t>
  </si>
  <si>
    <t>4.2.</t>
  </si>
  <si>
    <t>4.3.</t>
  </si>
  <si>
    <t>4.4.</t>
  </si>
  <si>
    <t>4.5.</t>
  </si>
  <si>
    <t>4.6.</t>
  </si>
  <si>
    <t>5.1.</t>
  </si>
  <si>
    <t>5.2.</t>
  </si>
  <si>
    <t>5.3.</t>
  </si>
  <si>
    <t>5.4.</t>
  </si>
  <si>
    <t>6.1.</t>
  </si>
  <si>
    <t>6.2.</t>
  </si>
  <si>
    <t>3.8.3.Servicii SSM</t>
  </si>
  <si>
    <t>3.4.1.Certificarea performanţei energetice şi auditul energetic a clădirilor</t>
  </si>
  <si>
    <t>Certificarea performanţei energetice şi auditul energetic</t>
  </si>
  <si>
    <t>3.5.1. Temă de proiectare</t>
  </si>
  <si>
    <t>3.5.2. Studiu de prefezabilitate</t>
  </si>
  <si>
    <t>3.5.4. Documentaţii pentru obţinerea avizelor/acordurilor/autorizaţiilor</t>
  </si>
  <si>
    <t>3.5.5. Verificarea tehnică de calitate a proiectului tehnic</t>
  </si>
  <si>
    <t>3.5.6. Proiect tehnic şi detalii de execuţie</t>
  </si>
  <si>
    <t xml:space="preserve">3.7.1. Consultanță </t>
  </si>
  <si>
    <t>3.8.1.1. pe perioada execuţiei lucrărilor</t>
  </si>
  <si>
    <t>5.2.2. Cota ISC pentru controlul calităţii lucrărilor de construcţii (0,5% din valoarea estimata a lucrărilor,  fără TVA)</t>
  </si>
  <si>
    <t>5.2.3. Cota ISC pentru controlul statului în amenajarea teritoriului, urbanism şi pentru autorizarea lucrărilor de construcţii (0,1% din valoarea lucrărilor autorizate, fără TVA)</t>
  </si>
  <si>
    <t>5.2.4. Cota aferantă Casei Sociale a Constructorilor - CSC (0,5% din  suma lucrărilor de C+M, fără TVA)</t>
  </si>
  <si>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investiţia</t>
    </r>
  </si>
  <si>
    <r>
      <rPr>
        <b/>
        <sz val="8.5"/>
        <color theme="1"/>
        <rFont val="Times New Roman"/>
        <family val="1"/>
      </rPr>
      <t>Nr.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crt.</t>
    </r>
  </si>
  <si>
    <r>
      <rPr>
        <b/>
        <sz val="8.5"/>
        <color theme="1"/>
        <rFont val="Times New Roman"/>
        <family val="1"/>
      </rPr>
      <t>Denumire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subcapitole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</si>
  <si>
    <r>
      <rPr>
        <b/>
        <sz val="8.5"/>
        <color theme="1"/>
        <rFont val="Times New Roman"/>
        <family val="1"/>
      </rPr>
      <t>Valoare
(fără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TVA)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</si>
  <si>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TVA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(19%)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</si>
  <si>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Valoare
(inclusiv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TVA)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</si>
  <si>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obţinerea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amenajarea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terenului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</si>
  <si>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</si>
  <si>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asigurarea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utilităţilor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necesare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obiectivului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</si>
  <si>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</si>
  <si>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3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proiectare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asistenţă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tehnică</t>
    </r>
  </si>
  <si>
    <r>
      <rPr>
        <sz val="8.5"/>
        <color theme="1"/>
        <rFont val="Times New Roman"/>
        <family val="1"/>
      </rPr>
      <t>3.1.1. Studii de teren</t>
    </r>
  </si>
  <si>
    <r>
      <rPr>
        <sz val="8.5"/>
        <color theme="1"/>
        <rFont val="Times New Roman"/>
        <family val="1"/>
      </rPr>
      <t>3.1.2. Raport privind impactul asupra mediului</t>
    </r>
  </si>
  <si>
    <r>
      <rPr>
        <sz val="8.5"/>
        <color theme="1"/>
        <rFont val="Times New Roman"/>
        <family val="1"/>
      </rPr>
      <t>3.1.3. Alte studii specifice</t>
    </r>
  </si>
  <si>
    <r>
      <rPr>
        <sz val="8.5"/>
        <color theme="1"/>
        <rFont val="Times New Roman"/>
        <family val="1"/>
      </rPr>
      <t>Cheltuieli pentru obţinerea de avize, acorduri şi autorizaţii</t>
    </r>
  </si>
  <si>
    <r>
      <rPr>
        <sz val="8.5"/>
        <color theme="1"/>
        <rFont val="Times New Roman"/>
        <family val="1"/>
      </rPr>
      <t>3.8.1. Asistenţă tehnică din partea proiectantului</t>
    </r>
  </si>
  <si>
    <r>
      <rPr>
        <sz val="8.5"/>
        <color theme="1"/>
        <rFont val="Times New Roman"/>
        <family val="1"/>
      </rPr>
      <t>3.8.1.2. pentru participarea la fazele de execuţie</t>
    </r>
  </si>
  <si>
    <r>
      <rPr>
        <sz val="8.5"/>
        <color theme="1"/>
        <rFont val="Times New Roman"/>
        <family val="1"/>
      </rPr>
      <t>3.8.2. Dirigenţie de şantier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</si>
  <si>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3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</si>
  <si>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investiţia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bază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</si>
  <si>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</si>
  <si>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Alte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</si>
  <si>
    <r>
      <rPr>
        <sz val="8.5"/>
        <color theme="1"/>
        <rFont val="Times New Roman"/>
        <family val="1"/>
      </rPr>
      <t>5.1.1. Lucrari de construcţii si instalaţii aferente OS</t>
    </r>
  </si>
  <si>
    <r>
      <rPr>
        <sz val="8.5"/>
        <color theme="1"/>
        <rFont val="Times New Roman"/>
        <family val="1"/>
      </rPr>
      <t>5.1.2. Cheltuieli conexe OS</t>
    </r>
  </si>
  <si>
    <r>
      <rPr>
        <sz val="8.5"/>
        <color theme="1"/>
        <rFont val="Times New Roman"/>
        <family val="1"/>
      </rPr>
      <t>5.2.1. Comisioane şi dobânzi aferente creditului băncii finanţatoare</t>
    </r>
  </si>
  <si>
    <r>
      <rPr>
        <sz val="8.5"/>
        <color theme="1"/>
        <rFont val="Times New Roman"/>
        <family val="1"/>
      </rPr>
      <t>5.2.5. Taxe pentru acorduri, avize conforme şi AC/AD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</si>
  <si>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</si>
  <si>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6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în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exploatare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</si>
  <si>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6</t>
    </r>
  </si>
  <si>
    <r>
      <rPr>
        <b/>
        <sz val="8.5"/>
        <color theme="1"/>
        <rFont val="Times New Roman"/>
        <family val="1"/>
      </rPr>
      <t>Din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C+M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(1.2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1.3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1.4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4.1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4.2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5.1.1)</t>
    </r>
  </si>
  <si>
    <t>3.4.2. Auditul energetic al clădirii</t>
  </si>
  <si>
    <r>
      <rPr>
        <b/>
        <sz val="8.5"/>
        <color theme="0" tint="-4.9989318521683403E-2"/>
        <rFont val="Times New Roman"/>
        <family val="1"/>
      </rPr>
      <t>TOTAL</t>
    </r>
    <r>
      <rPr>
        <sz val="8.5"/>
        <color theme="0" tint="-4.9989318521683403E-2"/>
        <rFont val="Times New Roman"/>
        <family val="1"/>
      </rPr>
      <t xml:space="preserve"> </t>
    </r>
    <r>
      <rPr>
        <b/>
        <sz val="8.5"/>
        <color theme="0" tint="-4.9989318521683403E-2"/>
        <rFont val="Times New Roman"/>
        <family val="1"/>
      </rPr>
      <t>GENERAL</t>
    </r>
  </si>
  <si>
    <t>7.1</t>
  </si>
  <si>
    <t>Cheltuieli aferente marjei de buget 25% din (1.2 + 1.3 + 1.4 + 2 + 3.1 + 3.2 + 3.3 + 3.5 + 3.7 + 3.8 + 4 + 5.1.1)</t>
  </si>
  <si>
    <t>7.2</t>
  </si>
  <si>
    <t>Cheltuieli pentru constituirea rezervei de implementare pentru ajustarea de preţ</t>
  </si>
  <si>
    <t>TOTAL CAPITOLUL 7</t>
  </si>
  <si>
    <t>Cheltuieli diverse şi neprevăzute (10%)</t>
  </si>
  <si>
    <t>3.7.1.2.Consultanță în vedere elaborării cererii de finanțare</t>
  </si>
  <si>
    <t>Montaj utilaje, echipamente tehnologice şi funcţionale</t>
  </si>
  <si>
    <t>Utilaje, echipamente tehnologice şi funcţionale cu montaj</t>
  </si>
  <si>
    <t>Utilaje fără montaj şi echipamente de transport</t>
  </si>
  <si>
    <t>Active necorporale</t>
  </si>
  <si>
    <r>
      <t xml:space="preserve">  DEVIZ GENERAL scenariul 1 - recomandat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</rPr>
      <t>conform  hotărâre  907/2016</t>
    </r>
  </si>
  <si>
    <r>
      <rPr>
        <sz val="8.5"/>
        <color theme="1"/>
        <rFont val="Times New Roman"/>
        <family val="1"/>
      </rPr>
      <t>Obţinerea terenului</t>
    </r>
  </si>
  <si>
    <r>
      <rPr>
        <sz val="8.5"/>
        <color theme="1"/>
        <rFont val="Times New Roman"/>
        <family val="1"/>
      </rPr>
      <t>Amenajarea terenului</t>
    </r>
  </si>
  <si>
    <r>
      <rPr>
        <sz val="8.5"/>
        <color theme="1"/>
        <rFont val="Times New Roman"/>
        <family val="1"/>
      </rPr>
      <t>Amenajări pentru protecţia mediului şi aducerea la starea iniţială</t>
    </r>
  </si>
  <si>
    <r>
      <rPr>
        <sz val="8.5"/>
        <color theme="1"/>
        <rFont val="Times New Roman"/>
        <family val="1"/>
      </rPr>
      <t>Cheltuieli pentru relocarea/protecţia utilităţilor</t>
    </r>
  </si>
  <si>
    <r>
      <rPr>
        <b/>
        <sz val="8.5"/>
        <color theme="1"/>
        <rFont val="Times New Roman"/>
        <family val="1"/>
      </rPr>
      <t>Asistenţă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tehnică</t>
    </r>
  </si>
  <si>
    <r>
      <rPr>
        <b/>
        <sz val="8.5"/>
        <color theme="1"/>
        <rFont val="Times New Roman"/>
        <family val="1"/>
      </rPr>
      <t>Construcţii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instalaţii</t>
    </r>
  </si>
  <si>
    <r>
      <rPr>
        <b/>
        <sz val="8.5"/>
        <color theme="1"/>
        <rFont val="Times New Roman"/>
        <family val="1"/>
      </rPr>
      <t>Organizare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şantier</t>
    </r>
  </si>
  <si>
    <r>
      <rPr>
        <b/>
        <sz val="8.5"/>
        <color theme="1"/>
        <rFont val="Times New Roman"/>
        <family val="1"/>
      </rPr>
      <t>Comisioane,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cote,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taxe,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costul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creditului</t>
    </r>
  </si>
  <si>
    <r>
      <rPr>
        <b/>
        <sz val="8.5"/>
        <color theme="1"/>
        <rFont val="Times New Roman"/>
        <family val="1"/>
      </rPr>
      <t>Cheltuieli pentru informare şi publicitate</t>
    </r>
  </si>
  <si>
    <r>
      <rPr>
        <sz val="8.5"/>
        <color theme="1"/>
        <rFont val="Times New Roman"/>
        <family val="1"/>
      </rPr>
      <t>Pregătirea personalului de exploatare</t>
    </r>
  </si>
  <si>
    <r>
      <rPr>
        <sz val="8.5"/>
        <color theme="1"/>
        <rFont val="Times New Roman"/>
        <family val="1"/>
      </rPr>
      <t>Probe tehnologice şi teste</t>
    </r>
  </si>
  <si>
    <t>3.5.3. Documentație Avizare Lucrări Execuție</t>
  </si>
  <si>
    <t>4.1.2.</t>
  </si>
  <si>
    <t>Lucrari rezistenta</t>
  </si>
  <si>
    <t>4.1.1.</t>
  </si>
  <si>
    <t>4.1.2.1 Arh-desfaceri</t>
  </si>
  <si>
    <t>4.1.2.4 Arh-pereti interiori</t>
  </si>
  <si>
    <t>4.1.2.5 Arh-plafoane</t>
  </si>
  <si>
    <t>4.1.2.10 Arh.-tenc sape</t>
  </si>
  <si>
    <t>4.1.2.11 Arh-pardoseli</t>
  </si>
  <si>
    <t>4.1.2.13 Arh-tamplarii interioare</t>
  </si>
  <si>
    <t>4.1.3.</t>
  </si>
  <si>
    <t>Lucrari sanitare</t>
  </si>
  <si>
    <t>4.1.3.2 Instalatii sanitare exterioare</t>
  </si>
  <si>
    <t xml:space="preserve">4.1.3.3 Instalatii sanitare interioare </t>
  </si>
  <si>
    <t>Lucrari electrice</t>
  </si>
  <si>
    <t>4.1.4.</t>
  </si>
  <si>
    <t>Lucrari HVAC</t>
  </si>
  <si>
    <t>4.1.5.</t>
  </si>
  <si>
    <t>4.1.4.1 Instalatii electrice exterioare</t>
  </si>
  <si>
    <t>4.1.4.2 Instalatii electrice interioare</t>
  </si>
  <si>
    <t>4.1.5.1 Instalatii incalzire</t>
  </si>
  <si>
    <t>4.1.5.2 Instalatii ventilare si climatizare</t>
  </si>
  <si>
    <t>Lucrari gaz</t>
  </si>
  <si>
    <t>4.1.7.</t>
  </si>
  <si>
    <t>4.1.7.1 Instalatii gaz</t>
  </si>
  <si>
    <t>4.2.1.Montaj utilaje- sanitare</t>
  </si>
  <si>
    <t>4.2.2.Montaj utilaje- electrice</t>
  </si>
  <si>
    <t>4.2.3.Montaj utilaje- hvac</t>
  </si>
  <si>
    <t>4.3.1 Utilaje cu montaj- sanitare</t>
  </si>
  <si>
    <t>4.3.2 Utilaje cu montaj- electrice</t>
  </si>
  <si>
    <t>4.3.3 Utilaje cu montaj- hvac</t>
  </si>
  <si>
    <t>4.2.2 LUCRARI CORP C15</t>
  </si>
  <si>
    <r>
      <rPr>
        <b/>
        <sz val="8.5"/>
        <rFont val="Arial"/>
        <family val="2"/>
      </rPr>
      <t>Construcţii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instalaţii</t>
    </r>
  </si>
  <si>
    <r>
      <rPr>
        <b/>
        <sz val="8.5"/>
        <rFont val="Arial"/>
        <family val="2"/>
      </rPr>
      <t>Montaj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</si>
  <si>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care
necesită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montaj</t>
    </r>
  </si>
  <si>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care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nu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necesită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montaj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transport</t>
    </r>
  </si>
  <si>
    <t>Dotări</t>
  </si>
  <si>
    <r>
      <rPr>
        <b/>
        <sz val="8.5"/>
        <rFont val="Arial"/>
        <family val="2"/>
      </rPr>
      <t>Active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necorporale</t>
    </r>
  </si>
  <si>
    <t>Dotări(mobilier, echipamente electronice)</t>
  </si>
  <si>
    <t>Lucrari arhitectura</t>
  </si>
  <si>
    <t>3.7.2. Auditul financiar</t>
  </si>
  <si>
    <t xml:space="preserve">LUCRĂRI DE REABILITARE SALOANE ȘI GRUPURI SANITARE, SĂLI DE TRATAMENT, DOTĂRI CU ECHIPAMENTE MEDICALE ȘI NEMEDICALE
Spitalul de Recuperare Brădet sat Bradetu, Nr. 73- H, comuna Brăduleț, jud. Argeș, Nr. cad. 80804.
</t>
  </si>
  <si>
    <t xml:space="preserve">DEVIZ OBIECTULUI scenariu 1  nr.4.2.1.  LUCRĂRI LOCALE SCHIMBARE FINISAJE, INSTALATII, DOTARI CORP SPITAL </t>
  </si>
  <si>
    <t>Euro = 4,9759 Lei la data de 22.11.2024</t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</si>
  <si>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         arh. Radu Ioan Anghel</t>
    </r>
  </si>
  <si>
    <t>Data:
22.11.2024</t>
  </si>
  <si>
    <t>DEVIZ OBIECTULUI scenariu 1  nr.4.2.2.  LUCRĂRI CONTAINER RADIOLOGIE</t>
  </si>
  <si>
    <t>4.5.1.Dotari arhitectura</t>
  </si>
  <si>
    <t>4.1.2.1 Arh-infrastructura</t>
  </si>
  <si>
    <t>4.1.2.2 Arh-suprastructura</t>
  </si>
  <si>
    <t>4.5.1 Dotari radiologie fixa</t>
  </si>
  <si>
    <t>LUCRĂRI DE REABILITARE SALOANE ȘI GRUPURI SANITARE, SĂLI DE TRATAMENT, DOTĂRI CU ECHIPAMENTE MEDICALE ȘI NEMEDICALE
Spitalul de Recuperare Brădet sat Bradetu, Nr. 73- H, comuna Brăduleț, jud. Argeș, Nr. cad. 80804.</t>
  </si>
  <si>
    <t xml:space="preserve">4.2.1 LUCRARI   LOCALE SCHIMBARE FINISAJE, INSTALATII, DOTARI CORP SPITAL </t>
  </si>
  <si>
    <r>
      <rPr>
        <b/>
        <sz val="8.5"/>
        <rFont val="Times New Roman"/>
        <family val="1"/>
      </rPr>
      <t>Organizarea procedurilor de achiziţie</t>
    </r>
  </si>
  <si>
    <t>3.7.1.1.Managementul de proiect pentru obiectivul de investiții (Management proiect echipa UIP)</t>
  </si>
  <si>
    <t>4.5.2.Dotari digitalizare - echipamente it</t>
  </si>
  <si>
    <t>4.5.3 Dotari echipamente medicale</t>
  </si>
  <si>
    <t xml:space="preserve">4.5.4.Dotari mobilier medical </t>
  </si>
  <si>
    <t>4.5.5.Dotari mobilier nemedical</t>
  </si>
  <si>
    <t>4.6.1 Dotari digitalizare- servicii soft</t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</si>
  <si>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(fără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TVA)
Lei</t>
    </r>
  </si>
  <si>
    <r>
      <rPr>
        <b/>
        <sz val="7.5"/>
        <rFont val="Arial"/>
        <family val="2"/>
      </rPr>
      <t>TVA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(19%)
Lei</t>
    </r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</si>
  <si>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(cu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TVA)
Lei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</si>
  <si>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DEVIZ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OBIECT
(TOTAL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III)</t>
    </r>
  </si>
  <si>
    <t>4.6.1 Active necorporale- servicii soft - digitalizare</t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</si>
  <si>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         arh. Radu Ioan Anghel</t>
    </r>
  </si>
  <si>
    <t>Valoare reziduala</t>
  </si>
  <si>
    <t>Amortizare anuala</t>
  </si>
  <si>
    <t>Scenariul 1</t>
  </si>
  <si>
    <t>Scenariul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</si>
</sst>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l_e_i_-;\-* #,##0.00\ _l_e_i_-;_-* &quot;-&quot;??\ _l_e_i_-;_-@_-"/>
    <numFmt numFmtId="164" formatCode="_-* #,##0.00_-;\-* #,##0.00_-;_-* &quot;-&quot;??_-;_-@_-"/>
    <numFmt numFmtId="165" formatCode="_-* #,##0.0000_-;\-* #,##0.0000_-;_-* &quot;-&quot;??_-;_-@_-"/>
    <numFmt numFmtId="166" formatCode="#,##0.0000"/>
  </numFmts>
  <fonts count="35" x14ac:knownFonts="1">
    <font>
      <sz val="10"/>
      <color rgb="FF000000"/>
      <name val="Times New Roman"/>
      <charset val="204"/>
    </font>
    <font>
      <b/>
      <sz val="7.5"/>
      <color rgb="FF000000"/>
      <name val="Arial"/>
      <family val="2"/>
    </font>
    <font>
      <sz val="8.5"/>
      <name val="Arial"/>
      <family val="2"/>
    </font>
    <font>
      <sz val="8.5"/>
      <color rgb="FF000000"/>
      <name val="Arial"/>
      <family val="2"/>
    </font>
    <font>
      <b/>
      <sz val="8.5"/>
      <color rgb="FF000000"/>
      <name val="Arial"/>
      <family val="2"/>
    </font>
    <font>
      <b/>
      <sz val="8.5"/>
      <name val="Arial"/>
      <family val="2"/>
    </font>
    <font>
      <sz val="8.5"/>
      <name val="Times New Roman"/>
      <family val="1"/>
    </font>
    <font>
      <b/>
      <sz val="7.5"/>
      <name val="Arial"/>
      <family val="2"/>
    </font>
    <font>
      <sz val="7.5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8.5"/>
      <color theme="1"/>
      <name val="Times New Roman"/>
      <family val="1"/>
    </font>
    <font>
      <b/>
      <sz val="10"/>
      <color theme="1"/>
      <name val="Times New Roman"/>
      <family val="1"/>
    </font>
    <font>
      <b/>
      <sz val="8.5"/>
      <color theme="1"/>
      <name val="Times New Roman"/>
      <family val="1"/>
    </font>
    <font>
      <sz val="8.5"/>
      <name val="Times New Roman"/>
      <family val="2"/>
    </font>
    <font>
      <b/>
      <sz val="7.5"/>
      <color theme="1"/>
      <name val="Times New Roman"/>
      <family val="1"/>
    </font>
    <font>
      <sz val="8"/>
      <color theme="1"/>
      <name val="Times New Roman"/>
      <family val="1"/>
    </font>
    <font>
      <sz val="8.5"/>
      <color rgb="FF000000"/>
      <name val="Times New Roman"/>
      <family val="1"/>
    </font>
    <font>
      <sz val="8"/>
      <name val="Times New Roman"/>
      <family val="1"/>
    </font>
    <font>
      <sz val="10"/>
      <color theme="0" tint="-4.9989318521683403E-2"/>
      <name val="Times New Roman"/>
      <family val="1"/>
    </font>
    <font>
      <b/>
      <sz val="8.5"/>
      <color theme="0" tint="-4.9989318521683403E-2"/>
      <name val="Times New Roman"/>
      <family val="1"/>
    </font>
    <font>
      <sz val="8.5"/>
      <color theme="0" tint="-4.9989318521683403E-2"/>
      <name val="Times New Roman"/>
      <family val="1"/>
    </font>
    <font>
      <b/>
      <sz val="8"/>
      <name val="Times New Roman"/>
      <family val="1"/>
    </font>
    <font>
      <b/>
      <sz val="8"/>
      <color theme="1"/>
      <name val="Times New Roman"/>
      <family val="1"/>
    </font>
    <font>
      <sz val="10"/>
      <color rgb="FF000000"/>
      <name val="Times New Roman"/>
      <family val="1"/>
    </font>
    <font>
      <b/>
      <sz val="9.5"/>
      <color theme="1"/>
      <name val="Times New Roman"/>
      <family val="1"/>
    </font>
    <font>
      <b/>
      <sz val="9.5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8.5"/>
      <name val="Times New Roman"/>
      <family val="1"/>
    </font>
    <font>
      <b/>
      <sz val="8.5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BFBFBF"/>
      </patternFill>
    </fill>
    <fill>
      <patternFill patternType="solid">
        <fgColor rgb="FF252525"/>
      </patternFill>
    </fill>
    <fill>
      <patternFill patternType="solid">
        <fgColor rgb="FF7F7F7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24" fillId="0" borderId="0" applyFont="0" applyFill="0" applyBorder="0" applyAlignment="0" applyProtection="0"/>
    <xf numFmtId="0" fontId="27" fillId="0" borderId="0"/>
  </cellStyleXfs>
  <cellXfs count="250">
    <xf numFmtId="0" fontId="0" fillId="0" borderId="0" xfId="0" applyAlignment="1">
      <alignment horizontal="left" vertical="top"/>
    </xf>
    <xf numFmtId="0" fontId="10" fillId="0" borderId="0" xfId="0" applyFont="1" applyAlignment="1">
      <alignment horizontal="left" vertical="top"/>
    </xf>
    <xf numFmtId="4" fontId="10" fillId="0" borderId="0" xfId="0" applyNumberFormat="1" applyFont="1" applyAlignment="1">
      <alignment horizontal="left" vertical="top"/>
    </xf>
    <xf numFmtId="0" fontId="10" fillId="0" borderId="5" xfId="0" applyFont="1" applyBorder="1" applyAlignment="1">
      <alignment horizontal="left" vertical="top" wrapText="1" indent="1"/>
    </xf>
    <xf numFmtId="0" fontId="10" fillId="0" borderId="5" xfId="0" applyFont="1" applyBorder="1" applyAlignment="1">
      <alignment horizontal="left" vertical="center" wrapText="1" indent="6"/>
    </xf>
    <xf numFmtId="0" fontId="10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  <xf numFmtId="0" fontId="11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1" fontId="13" fillId="0" borderId="5" xfId="0" applyNumberFormat="1" applyFont="1" applyBorder="1" applyAlignment="1">
      <alignment horizontal="center" vertical="top" shrinkToFit="1"/>
    </xf>
    <xf numFmtId="2" fontId="13" fillId="0" borderId="5" xfId="0" applyNumberFormat="1" applyFont="1" applyBorder="1" applyAlignment="1">
      <alignment horizontal="right" vertical="top" shrinkToFit="1"/>
    </xf>
    <xf numFmtId="2" fontId="13" fillId="3" borderId="5" xfId="0" applyNumberFormat="1" applyFont="1" applyFill="1" applyBorder="1" applyAlignment="1">
      <alignment horizontal="right" vertical="top" shrinkToFit="1"/>
    </xf>
    <xf numFmtId="4" fontId="11" fillId="0" borderId="5" xfId="0" applyNumberFormat="1" applyFont="1" applyBorder="1" applyAlignment="1">
      <alignment horizontal="right" vertical="top" shrinkToFit="1"/>
    </xf>
    <xf numFmtId="2" fontId="11" fillId="0" borderId="5" xfId="0" applyNumberFormat="1" applyFont="1" applyBorder="1" applyAlignment="1">
      <alignment horizontal="right" vertical="top" shrinkToFit="1"/>
    </xf>
    <xf numFmtId="0" fontId="16" fillId="0" borderId="5" xfId="0" applyFont="1" applyBorder="1" applyAlignment="1">
      <alignment horizontal="left" vertical="top" wrapText="1"/>
    </xf>
    <xf numFmtId="4" fontId="13" fillId="0" borderId="5" xfId="0" applyNumberFormat="1" applyFont="1" applyBorder="1" applyAlignment="1">
      <alignment horizontal="right" vertical="top" shrinkToFit="1"/>
    </xf>
    <xf numFmtId="4" fontId="13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right" vertical="center"/>
    </xf>
    <xf numFmtId="4" fontId="13" fillId="3" borderId="5" xfId="0" applyNumberFormat="1" applyFont="1" applyFill="1" applyBorder="1" applyAlignment="1">
      <alignment horizontal="right" vertical="top" shrinkToFit="1"/>
    </xf>
    <xf numFmtId="49" fontId="18" fillId="0" borderId="5" xfId="0" applyNumberFormat="1" applyFont="1" applyBorder="1" applyAlignment="1">
      <alignment vertical="center" wrapText="1"/>
    </xf>
    <xf numFmtId="0" fontId="0" fillId="0" borderId="0" xfId="0"/>
    <xf numFmtId="4" fontId="23" fillId="3" borderId="5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164" fontId="11" fillId="0" borderId="5" xfId="1" applyFont="1" applyBorder="1" applyAlignment="1">
      <alignment horizontal="right" vertical="top" shrinkToFit="1"/>
    </xf>
    <xf numFmtId="4" fontId="11" fillId="6" borderId="5" xfId="0" applyNumberFormat="1" applyFont="1" applyFill="1" applyBorder="1" applyAlignment="1">
      <alignment horizontal="right" vertical="top" shrinkToFit="1"/>
    </xf>
    <xf numFmtId="0" fontId="1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4" fontId="13" fillId="6" borderId="5" xfId="0" applyNumberFormat="1" applyFont="1" applyFill="1" applyBorder="1" applyAlignment="1">
      <alignment horizontal="right" vertical="top" shrinkToFit="1"/>
    </xf>
    <xf numFmtId="0" fontId="9" fillId="0" borderId="0" xfId="0" applyFont="1"/>
    <xf numFmtId="43" fontId="0" fillId="0" borderId="0" xfId="0" applyNumberFormat="1" applyAlignment="1">
      <alignment horizontal="left" vertical="top"/>
    </xf>
    <xf numFmtId="14" fontId="9" fillId="0" borderId="5" xfId="0" applyNumberFormat="1" applyFont="1" applyBorder="1" applyAlignment="1">
      <alignment horizontal="left" vertical="top" wrapText="1"/>
    </xf>
    <xf numFmtId="0" fontId="28" fillId="0" borderId="5" xfId="0" applyFont="1" applyBorder="1" applyAlignment="1">
      <alignment horizontal="left" vertical="top" wrapText="1"/>
    </xf>
    <xf numFmtId="4" fontId="4" fillId="0" borderId="5" xfId="0" applyNumberFormat="1" applyFont="1" applyBorder="1" applyAlignment="1">
      <alignment horizontal="right" vertical="top" shrinkToFit="1"/>
    </xf>
    <xf numFmtId="164" fontId="4" fillId="0" borderId="5" xfId="1" applyFont="1" applyBorder="1" applyAlignment="1">
      <alignment horizontal="right" vertical="top" shrinkToFit="1"/>
    </xf>
    <xf numFmtId="0" fontId="0" fillId="2" borderId="5" xfId="0" applyFill="1" applyBorder="1" applyAlignment="1">
      <alignment horizontal="left" vertical="center" wrapText="1" indent="2"/>
    </xf>
    <xf numFmtId="0" fontId="0" fillId="2" borderId="5" xfId="0" applyFill="1" applyBorder="1" applyAlignment="1">
      <alignment horizontal="center" vertical="top" wrapText="1"/>
    </xf>
    <xf numFmtId="1" fontId="1" fillId="2" borderId="5" xfId="0" applyNumberFormat="1" applyFont="1" applyFill="1" applyBorder="1" applyAlignment="1">
      <alignment horizontal="center" vertical="top" shrinkToFit="1"/>
    </xf>
    <xf numFmtId="0" fontId="5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9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right" vertical="top" shrinkToFit="1"/>
    </xf>
    <xf numFmtId="0" fontId="31" fillId="0" borderId="5" xfId="0" applyFont="1" applyBorder="1" applyAlignment="1">
      <alignment horizontal="left" vertical="top" wrapText="1"/>
    </xf>
    <xf numFmtId="4" fontId="29" fillId="6" borderId="5" xfId="0" applyNumberFormat="1" applyFont="1" applyFill="1" applyBorder="1" applyAlignment="1">
      <alignment horizontal="right" vertical="top" shrinkToFit="1"/>
    </xf>
    <xf numFmtId="4" fontId="29" fillId="0" borderId="5" xfId="0" applyNumberFormat="1" applyFont="1" applyBorder="1" applyAlignment="1">
      <alignment horizontal="right" vertical="top" shrinkToFit="1"/>
    </xf>
    <xf numFmtId="4" fontId="6" fillId="6" borderId="5" xfId="0" applyNumberFormat="1" applyFont="1" applyFill="1" applyBorder="1" applyAlignment="1">
      <alignment horizontal="right" vertical="top" shrinkToFit="1"/>
    </xf>
    <xf numFmtId="165" fontId="0" fillId="0" borderId="0" xfId="0" applyNumberFormat="1" applyAlignment="1">
      <alignment horizontal="left" vertical="top"/>
    </xf>
    <xf numFmtId="164" fontId="4" fillId="0" borderId="5" xfId="1" applyFont="1" applyBorder="1" applyAlignment="1">
      <alignment vertical="top" shrinkToFit="1"/>
    </xf>
    <xf numFmtId="164" fontId="4" fillId="0" borderId="5" xfId="0" applyNumberFormat="1" applyFont="1" applyBorder="1" applyAlignment="1">
      <alignment vertical="top" shrinkToFit="1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8" borderId="0" xfId="0" applyFill="1" applyAlignment="1">
      <alignment horizontal="left" vertical="top"/>
    </xf>
    <xf numFmtId="0" fontId="0" fillId="8" borderId="5" xfId="0" applyFill="1" applyBorder="1" applyAlignment="1">
      <alignment horizontal="left" vertical="top" wrapText="1" indent="1"/>
    </xf>
    <xf numFmtId="0" fontId="0" fillId="8" borderId="5" xfId="0" applyFill="1" applyBorder="1" applyAlignment="1">
      <alignment horizontal="left" vertical="center" wrapText="1" indent="2"/>
    </xf>
    <xf numFmtId="0" fontId="0" fillId="8" borderId="5" xfId="0" applyFill="1" applyBorder="1" applyAlignment="1">
      <alignment horizontal="center" vertical="top" wrapText="1"/>
    </xf>
    <xf numFmtId="1" fontId="1" fillId="8" borderId="5" xfId="0" applyNumberFormat="1" applyFont="1" applyFill="1" applyBorder="1" applyAlignment="1">
      <alignment horizontal="center" vertical="top" shrinkToFit="1"/>
    </xf>
    <xf numFmtId="0" fontId="5" fillId="8" borderId="5" xfId="0" applyFont="1" applyFill="1" applyBorder="1" applyAlignment="1">
      <alignment horizontal="center" vertical="top" wrapText="1"/>
    </xf>
    <xf numFmtId="0" fontId="28" fillId="8" borderId="5" xfId="0" applyFont="1" applyFill="1" applyBorder="1" applyAlignment="1">
      <alignment horizontal="left" vertical="top" wrapText="1"/>
    </xf>
    <xf numFmtId="165" fontId="4" fillId="8" borderId="5" xfId="1" applyNumberFormat="1" applyFont="1" applyFill="1" applyBorder="1" applyAlignment="1">
      <alignment horizontal="right" vertical="top" shrinkToFit="1"/>
    </xf>
    <xf numFmtId="166" fontId="4" fillId="8" borderId="5" xfId="0" applyNumberFormat="1" applyFont="1" applyFill="1" applyBorder="1" applyAlignment="1">
      <alignment horizontal="right" vertical="top" shrinkToFit="1"/>
    </xf>
    <xf numFmtId="43" fontId="0" fillId="8" borderId="0" xfId="0" applyNumberFormat="1" applyFill="1" applyAlignment="1">
      <alignment horizontal="left" vertical="top"/>
    </xf>
    <xf numFmtId="166" fontId="4" fillId="8" borderId="5" xfId="1" applyNumberFormat="1" applyFont="1" applyFill="1" applyBorder="1" applyAlignment="1">
      <alignment horizontal="right" vertical="top" shrinkToFit="1"/>
    </xf>
    <xf numFmtId="165" fontId="30" fillId="8" borderId="5" xfId="1" applyNumberFormat="1" applyFont="1" applyFill="1" applyBorder="1" applyAlignment="1">
      <alignment horizontal="left" vertical="top"/>
    </xf>
    <xf numFmtId="166" fontId="30" fillId="8" borderId="5" xfId="1" applyNumberFormat="1" applyFont="1" applyFill="1" applyBorder="1" applyAlignment="1">
      <alignment horizontal="left" vertical="top"/>
    </xf>
    <xf numFmtId="0" fontId="2" fillId="8" borderId="5" xfId="0" applyFont="1" applyFill="1" applyBorder="1" applyAlignment="1">
      <alignment horizontal="center" vertical="top" wrapText="1"/>
    </xf>
    <xf numFmtId="0" fontId="9" fillId="8" borderId="5" xfId="0" applyFont="1" applyFill="1" applyBorder="1" applyAlignment="1">
      <alignment horizontal="left" vertical="top"/>
    </xf>
    <xf numFmtId="165" fontId="17" fillId="8" borderId="5" xfId="1" applyNumberFormat="1" applyFont="1" applyFill="1" applyBorder="1" applyAlignment="1">
      <alignment horizontal="left" vertical="top"/>
    </xf>
    <xf numFmtId="166" fontId="3" fillId="8" borderId="5" xfId="0" applyNumberFormat="1" applyFont="1" applyFill="1" applyBorder="1" applyAlignment="1">
      <alignment horizontal="right" vertical="top" shrinkToFit="1"/>
    </xf>
    <xf numFmtId="166" fontId="3" fillId="8" borderId="5" xfId="1" applyNumberFormat="1" applyFont="1" applyFill="1" applyBorder="1" applyAlignment="1">
      <alignment horizontal="right" vertical="top" shrinkToFit="1"/>
    </xf>
    <xf numFmtId="0" fontId="9" fillId="8" borderId="5" xfId="0" applyFont="1" applyFill="1" applyBorder="1" applyAlignment="1">
      <alignment horizontal="left" vertical="top" wrapText="1"/>
    </xf>
    <xf numFmtId="165" fontId="3" fillId="8" borderId="5" xfId="1" applyNumberFormat="1" applyFont="1" applyFill="1" applyBorder="1" applyAlignment="1">
      <alignment horizontal="right" vertical="top"/>
    </xf>
    <xf numFmtId="165" fontId="30" fillId="8" borderId="5" xfId="1" applyNumberFormat="1" applyFont="1" applyFill="1" applyBorder="1" applyAlignment="1">
      <alignment horizontal="right" vertical="center"/>
    </xf>
    <xf numFmtId="166" fontId="30" fillId="8" borderId="5" xfId="1" applyNumberFormat="1" applyFont="1" applyFill="1" applyBorder="1" applyAlignment="1">
      <alignment horizontal="right" vertical="center"/>
    </xf>
    <xf numFmtId="165" fontId="3" fillId="8" borderId="5" xfId="1" applyNumberFormat="1" applyFont="1" applyFill="1" applyBorder="1" applyAlignment="1">
      <alignment horizontal="right" vertical="top" shrinkToFit="1"/>
    </xf>
    <xf numFmtId="14" fontId="9" fillId="8" borderId="5" xfId="0" applyNumberFormat="1" applyFont="1" applyFill="1" applyBorder="1" applyAlignment="1">
      <alignment horizontal="left" vertical="top" wrapText="1"/>
    </xf>
    <xf numFmtId="0" fontId="29" fillId="8" borderId="5" xfId="0" applyFont="1" applyFill="1" applyBorder="1" applyAlignment="1">
      <alignment horizontal="left" vertical="top" wrapText="1"/>
    </xf>
    <xf numFmtId="0" fontId="5" fillId="8" borderId="5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165" fontId="4" fillId="8" borderId="5" xfId="0" applyNumberFormat="1" applyFont="1" applyFill="1" applyBorder="1" applyAlignment="1">
      <alignment horizontal="right" vertical="top" shrinkToFit="1"/>
    </xf>
    <xf numFmtId="164" fontId="4" fillId="9" borderId="5" xfId="1" applyFont="1" applyFill="1" applyBorder="1" applyAlignment="1">
      <alignment horizontal="right" vertical="top" shrinkToFit="1"/>
    </xf>
    <xf numFmtId="4" fontId="4" fillId="9" borderId="5" xfId="0" applyNumberFormat="1" applyFont="1" applyFill="1" applyBorder="1" applyAlignment="1">
      <alignment horizontal="right" vertical="top" shrinkToFit="1"/>
    </xf>
    <xf numFmtId="164" fontId="4" fillId="7" borderId="5" xfId="1" applyFont="1" applyFill="1" applyBorder="1" applyAlignment="1">
      <alignment horizontal="right" vertical="top" shrinkToFit="1"/>
    </xf>
    <xf numFmtId="4" fontId="4" fillId="7" borderId="5" xfId="0" applyNumberFormat="1" applyFont="1" applyFill="1" applyBorder="1" applyAlignment="1">
      <alignment horizontal="right" vertical="top" shrinkToFit="1"/>
    </xf>
    <xf numFmtId="0" fontId="32" fillId="8" borderId="5" xfId="0" applyFont="1" applyFill="1" applyBorder="1" applyAlignment="1">
      <alignment horizontal="left" vertical="top" wrapText="1" indent="1"/>
    </xf>
    <xf numFmtId="0" fontId="32" fillId="8" borderId="5" xfId="0" applyFont="1" applyFill="1" applyBorder="1" applyAlignment="1">
      <alignment horizontal="left" vertical="center" wrapText="1" indent="2"/>
    </xf>
    <xf numFmtId="0" fontId="32" fillId="8" borderId="5" xfId="0" applyFont="1" applyFill="1" applyBorder="1" applyAlignment="1">
      <alignment horizontal="center" vertical="top" wrapText="1"/>
    </xf>
    <xf numFmtId="1" fontId="7" fillId="8" borderId="5" xfId="0" applyNumberFormat="1" applyFont="1" applyFill="1" applyBorder="1" applyAlignment="1">
      <alignment horizontal="center" vertical="top" shrinkToFit="1"/>
    </xf>
    <xf numFmtId="0" fontId="31" fillId="8" borderId="5" xfId="0" applyFont="1" applyFill="1" applyBorder="1" applyAlignment="1">
      <alignment horizontal="left" vertical="top" wrapText="1"/>
    </xf>
    <xf numFmtId="165" fontId="5" fillId="8" borderId="5" xfId="1" applyNumberFormat="1" applyFont="1" applyFill="1" applyBorder="1" applyAlignment="1">
      <alignment vertical="top" shrinkToFit="1"/>
    </xf>
    <xf numFmtId="166" fontId="5" fillId="8" borderId="5" xfId="0" applyNumberFormat="1" applyFont="1" applyFill="1" applyBorder="1" applyAlignment="1">
      <alignment vertical="top" shrinkToFit="1"/>
    </xf>
    <xf numFmtId="166" fontId="5" fillId="8" borderId="5" xfId="1" applyNumberFormat="1" applyFont="1" applyFill="1" applyBorder="1" applyAlignment="1">
      <alignment vertical="top" shrinkToFit="1"/>
    </xf>
    <xf numFmtId="165" fontId="33" fillId="8" borderId="5" xfId="1" applyNumberFormat="1" applyFont="1" applyFill="1" applyBorder="1" applyAlignment="1">
      <alignment vertical="top"/>
    </xf>
    <xf numFmtId="166" fontId="31" fillId="8" borderId="5" xfId="1" applyNumberFormat="1" applyFont="1" applyFill="1" applyBorder="1" applyAlignment="1">
      <alignment vertical="top"/>
    </xf>
    <xf numFmtId="0" fontId="32" fillId="8" borderId="5" xfId="0" applyFont="1" applyFill="1" applyBorder="1" applyAlignment="1">
      <alignment horizontal="left" vertical="top"/>
    </xf>
    <xf numFmtId="165" fontId="34" fillId="8" borderId="5" xfId="1" applyNumberFormat="1" applyFont="1" applyFill="1" applyBorder="1" applyAlignment="1">
      <alignment vertical="top"/>
    </xf>
    <xf numFmtId="166" fontId="2" fillId="8" borderId="5" xfId="0" applyNumberFormat="1" applyFont="1" applyFill="1" applyBorder="1" applyAlignment="1">
      <alignment vertical="top" shrinkToFit="1"/>
    </xf>
    <xf numFmtId="0" fontId="32" fillId="8" borderId="5" xfId="0" applyFont="1" applyFill="1" applyBorder="1" applyAlignment="1">
      <alignment horizontal="left" vertical="top" wrapText="1"/>
    </xf>
    <xf numFmtId="165" fontId="5" fillId="8" borderId="5" xfId="0" applyNumberFormat="1" applyFont="1" applyFill="1" applyBorder="1" applyAlignment="1">
      <alignment vertical="top" shrinkToFit="1"/>
    </xf>
    <xf numFmtId="14" fontId="32" fillId="8" borderId="5" xfId="0" applyNumberFormat="1" applyFont="1" applyFill="1" applyBorder="1" applyAlignment="1">
      <alignment horizontal="left" vertical="top" wrapText="1"/>
    </xf>
    <xf numFmtId="165" fontId="2" fillId="8" borderId="5" xfId="0" applyNumberFormat="1" applyFont="1" applyFill="1" applyBorder="1" applyAlignment="1">
      <alignment vertical="top" shrinkToFit="1"/>
    </xf>
    <xf numFmtId="0" fontId="10" fillId="0" borderId="0" xfId="0" applyFont="1" applyAlignment="1">
      <alignment horizontal="left" vertical="top" wrapText="1" indent="1"/>
    </xf>
    <xf numFmtId="0" fontId="10" fillId="0" borderId="0" xfId="0" applyFont="1" applyAlignment="1">
      <alignment horizontal="left" vertical="center" wrapText="1" indent="6"/>
    </xf>
    <xf numFmtId="0" fontId="10" fillId="0" borderId="0" xfId="0" applyFont="1" applyAlignment="1">
      <alignment horizontal="center" vertical="top" wrapText="1"/>
    </xf>
    <xf numFmtId="1" fontId="13" fillId="0" borderId="0" xfId="0" applyNumberFormat="1" applyFont="1" applyAlignment="1">
      <alignment horizontal="center" vertical="top" shrinkToFit="1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2" fontId="11" fillId="0" borderId="0" xfId="0" applyNumberFormat="1" applyFont="1" applyAlignment="1">
      <alignment horizontal="right" vertical="top" shrinkToFit="1"/>
    </xf>
    <xf numFmtId="2" fontId="13" fillId="0" borderId="0" xfId="0" applyNumberFormat="1" applyFont="1" applyAlignment="1">
      <alignment horizontal="right" vertical="top" shrinkToFi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4" fontId="13" fillId="0" borderId="0" xfId="0" applyNumberFormat="1" applyFont="1" applyAlignment="1">
      <alignment horizontal="right" vertical="top" shrinkToFit="1"/>
    </xf>
    <xf numFmtId="4" fontId="11" fillId="0" borderId="0" xfId="0" applyNumberFormat="1" applyFont="1" applyAlignment="1">
      <alignment horizontal="right" vertical="top" shrinkToFit="1"/>
    </xf>
    <xf numFmtId="0" fontId="10" fillId="0" borderId="0" xfId="0" applyFont="1" applyAlignment="1">
      <alignment horizontal="left" wrapText="1"/>
    </xf>
    <xf numFmtId="0" fontId="16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4" fontId="6" fillId="0" borderId="0" xfId="0" applyNumberFormat="1" applyFont="1" applyAlignment="1">
      <alignment horizontal="right" vertical="top" shrinkToFit="1"/>
    </xf>
    <xf numFmtId="2" fontId="6" fillId="0" borderId="0" xfId="0" applyNumberFormat="1" applyFont="1" applyAlignment="1">
      <alignment horizontal="right" vertical="top" shrinkToFit="1"/>
    </xf>
    <xf numFmtId="0" fontId="31" fillId="0" borderId="0" xfId="0" applyFont="1" applyAlignment="1">
      <alignment horizontal="left" vertical="top" wrapText="1"/>
    </xf>
    <xf numFmtId="4" fontId="29" fillId="0" borderId="0" xfId="0" applyNumberFormat="1" applyFont="1" applyAlignment="1">
      <alignment horizontal="right" vertical="top" shrinkToFit="1"/>
    </xf>
    <xf numFmtId="2" fontId="29" fillId="0" borderId="0" xfId="0" applyNumberFormat="1" applyFont="1" applyAlignment="1">
      <alignment horizontal="right" vertical="top" shrinkToFit="1"/>
    </xf>
    <xf numFmtId="0" fontId="29" fillId="0" borderId="0" xfId="0" applyFont="1" applyAlignment="1">
      <alignment horizontal="left" vertical="top" wrapText="1"/>
    </xf>
    <xf numFmtId="49" fontId="18" fillId="0" borderId="0" xfId="0" applyNumberFormat="1" applyFont="1" applyAlignment="1">
      <alignment vertical="center" wrapText="1"/>
    </xf>
    <xf numFmtId="4" fontId="23" fillId="0" borderId="0" xfId="0" applyNumberFormat="1" applyFont="1" applyAlignment="1">
      <alignment horizontal="right" vertical="top" wrapText="1"/>
    </xf>
    <xf numFmtId="164" fontId="17" fillId="0" borderId="0" xfId="1" applyFont="1" applyFill="1" applyBorder="1" applyAlignment="1">
      <alignment horizontal="right" vertical="top" shrinkToFit="1"/>
    </xf>
    <xf numFmtId="164" fontId="11" fillId="0" borderId="0" xfId="1" applyFont="1" applyFill="1" applyBorder="1" applyAlignment="1">
      <alignment horizontal="right" vertical="top" shrinkToFit="1"/>
    </xf>
    <xf numFmtId="2" fontId="11" fillId="0" borderId="0" xfId="1" applyNumberFormat="1" applyFont="1" applyFill="1" applyBorder="1" applyAlignment="1">
      <alignment horizontal="right" vertical="top" shrinkToFit="1"/>
    </xf>
    <xf numFmtId="0" fontId="12" fillId="0" borderId="0" xfId="0" applyFont="1" applyAlignment="1">
      <alignment horizontal="left" vertical="top" wrapText="1"/>
    </xf>
    <xf numFmtId="0" fontId="18" fillId="0" borderId="0" xfId="0" applyFont="1" applyAlignment="1">
      <alignment vertical="center" wrapText="1"/>
    </xf>
    <xf numFmtId="4" fontId="18" fillId="0" borderId="0" xfId="0" applyNumberFormat="1" applyFont="1" applyAlignment="1">
      <alignment vertical="center" wrapText="1"/>
    </xf>
    <xf numFmtId="4" fontId="22" fillId="0" borderId="0" xfId="0" applyNumberFormat="1" applyFont="1" applyAlignment="1">
      <alignment vertical="center" wrapText="1"/>
    </xf>
    <xf numFmtId="4" fontId="20" fillId="0" borderId="0" xfId="0" applyNumberFormat="1" applyFont="1" applyAlignment="1">
      <alignment horizontal="right" vertical="top" wrapText="1"/>
    </xf>
    <xf numFmtId="4" fontId="17" fillId="0" borderId="17" xfId="1" applyNumberFormat="1" applyFont="1" applyBorder="1" applyAlignment="1">
      <alignment horizontal="right" vertical="top" shrinkToFit="1"/>
    </xf>
    <xf numFmtId="4" fontId="17" fillId="0" borderId="5" xfId="1" applyNumberFormat="1" applyFont="1" applyBorder="1" applyAlignment="1">
      <alignment horizontal="right" vertical="top" shrinkToFit="1"/>
    </xf>
    <xf numFmtId="4" fontId="11" fillId="0" borderId="5" xfId="1" applyNumberFormat="1" applyFont="1" applyBorder="1" applyAlignment="1">
      <alignment horizontal="right" vertical="top" shrinkToFit="1"/>
    </xf>
    <xf numFmtId="164" fontId="11" fillId="0" borderId="5" xfId="1" applyFont="1" applyBorder="1" applyAlignment="1">
      <alignment horizontal="center" vertical="top" wrapText="1"/>
    </xf>
    <xf numFmtId="164" fontId="13" fillId="0" borderId="5" xfId="1" applyFont="1" applyBorder="1" applyAlignment="1">
      <alignment horizontal="left" vertical="top" wrapText="1"/>
    </xf>
    <xf numFmtId="164" fontId="13" fillId="0" borderId="5" xfId="1" applyFont="1" applyBorder="1" applyAlignment="1">
      <alignment horizontal="right" vertical="top" shrinkToFit="1"/>
    </xf>
    <xf numFmtId="164" fontId="12" fillId="0" borderId="5" xfId="1" applyFont="1" applyBorder="1" applyAlignment="1">
      <alignment horizontal="left" vertical="top" wrapText="1"/>
    </xf>
    <xf numFmtId="164" fontId="13" fillId="3" borderId="5" xfId="1" applyFont="1" applyFill="1" applyBorder="1" applyAlignment="1">
      <alignment horizontal="right" vertical="top" shrinkToFit="1"/>
    </xf>
    <xf numFmtId="164" fontId="10" fillId="0" borderId="5" xfId="1" applyFont="1" applyBorder="1" applyAlignment="1">
      <alignment horizontal="left" vertical="top" wrapText="1"/>
    </xf>
    <xf numFmtId="164" fontId="18" fillId="0" borderId="19" xfId="1" applyFont="1" applyBorder="1" applyAlignment="1">
      <alignment vertical="center" wrapText="1"/>
    </xf>
    <xf numFmtId="164" fontId="18" fillId="0" borderId="5" xfId="1" applyFont="1" applyBorder="1" applyAlignment="1">
      <alignment vertical="center" wrapText="1"/>
    </xf>
    <xf numFmtId="164" fontId="18" fillId="6" borderId="5" xfId="1" applyFont="1" applyFill="1" applyBorder="1" applyAlignment="1">
      <alignment vertical="center" wrapText="1"/>
    </xf>
    <xf numFmtId="164" fontId="18" fillId="0" borderId="20" xfId="1" applyFont="1" applyBorder="1" applyAlignment="1">
      <alignment vertical="center" wrapText="1"/>
    </xf>
    <xf numFmtId="164" fontId="22" fillId="7" borderId="22" xfId="1" applyFont="1" applyFill="1" applyBorder="1" applyAlignment="1">
      <alignment vertical="center" wrapText="1"/>
    </xf>
    <xf numFmtId="164" fontId="22" fillId="7" borderId="23" xfId="1" applyFont="1" applyFill="1" applyBorder="1" applyAlignment="1">
      <alignment vertical="center" wrapText="1"/>
    </xf>
    <xf numFmtId="164" fontId="20" fillId="4" borderId="5" xfId="1" applyFont="1" applyFill="1" applyBorder="1" applyAlignment="1">
      <alignment horizontal="right" vertical="top" wrapText="1"/>
    </xf>
    <xf numFmtId="164" fontId="13" fillId="5" borderId="4" xfId="1" applyFont="1" applyFill="1" applyBorder="1" applyAlignment="1">
      <alignment horizontal="right" vertical="top" shrinkToFit="1"/>
    </xf>
    <xf numFmtId="0" fontId="2" fillId="0" borderId="5" xfId="0" applyFont="1" applyBorder="1" applyAlignment="1">
      <alignment horizontal="center" vertical="top" wrapText="1"/>
    </xf>
    <xf numFmtId="0" fontId="0" fillId="2" borderId="5" xfId="0" applyFill="1" applyBorder="1" applyAlignment="1">
      <alignment horizontal="left" vertical="top" wrapText="1" indent="1"/>
    </xf>
    <xf numFmtId="0" fontId="5" fillId="0" borderId="5" xfId="0" applyFont="1" applyBorder="1" applyAlignment="1">
      <alignment horizontal="center" vertical="top" wrapText="1"/>
    </xf>
    <xf numFmtId="164" fontId="4" fillId="10" borderId="5" xfId="1" applyFont="1" applyFill="1" applyBorder="1" applyAlignment="1">
      <alignment vertical="top" shrinkToFit="1"/>
    </xf>
    <xf numFmtId="164" fontId="4" fillId="10" borderId="5" xfId="0" applyNumberFormat="1" applyFont="1" applyFill="1" applyBorder="1" applyAlignment="1">
      <alignment vertical="top" shrinkToFit="1"/>
    </xf>
    <xf numFmtId="164" fontId="4" fillId="11" borderId="5" xfId="1" applyFont="1" applyFill="1" applyBorder="1" applyAlignment="1">
      <alignment vertical="top" shrinkToFit="1"/>
    </xf>
    <xf numFmtId="164" fontId="4" fillId="11" borderId="5" xfId="0" applyNumberFormat="1" applyFont="1" applyFill="1" applyBorder="1" applyAlignment="1">
      <alignment vertical="top" shrinkToFit="1"/>
    </xf>
    <xf numFmtId="164" fontId="3" fillId="0" borderId="5" xfId="1" applyFont="1" applyBorder="1" applyAlignment="1">
      <alignment horizontal="right" vertical="top" shrinkToFit="1"/>
    </xf>
    <xf numFmtId="4" fontId="3" fillId="0" borderId="5" xfId="0" applyNumberFormat="1" applyFont="1" applyBorder="1" applyAlignment="1">
      <alignment horizontal="right" vertical="top" shrinkToFit="1"/>
    </xf>
    <xf numFmtId="164" fontId="3" fillId="0" borderId="5" xfId="1" applyFont="1" applyBorder="1" applyAlignment="1">
      <alignment vertical="top" shrinkToFit="1"/>
    </xf>
    <xf numFmtId="164" fontId="3" fillId="0" borderId="5" xfId="0" applyNumberFormat="1" applyFont="1" applyBorder="1" applyAlignment="1">
      <alignment vertical="top" shrinkToFi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43" fontId="0" fillId="0" borderId="25" xfId="0" applyNumberFormat="1" applyBorder="1" applyAlignment="1">
      <alignment horizontal="left" vertical="top"/>
    </xf>
    <xf numFmtId="0" fontId="0" fillId="8" borderId="5" xfId="0" applyFill="1" applyBorder="1" applyAlignment="1">
      <alignment horizontal="left" vertical="top" wrapText="1"/>
    </xf>
    <xf numFmtId="0" fontId="9" fillId="8" borderId="6" xfId="0" applyFont="1" applyFill="1" applyBorder="1" applyAlignment="1">
      <alignment horizontal="center" vertical="top" wrapText="1"/>
    </xf>
    <xf numFmtId="0" fontId="0" fillId="8" borderId="7" xfId="0" applyFill="1" applyBorder="1" applyAlignment="1">
      <alignment horizontal="center" vertical="top" wrapText="1"/>
    </xf>
    <xf numFmtId="0" fontId="0" fillId="8" borderId="8" xfId="0" applyFill="1" applyBorder="1" applyAlignment="1">
      <alignment horizontal="center" vertical="top" wrapText="1"/>
    </xf>
    <xf numFmtId="0" fontId="0" fillId="8" borderId="9" xfId="0" applyFill="1" applyBorder="1" applyAlignment="1">
      <alignment horizontal="center" vertical="top" wrapText="1"/>
    </xf>
    <xf numFmtId="0" fontId="0" fillId="8" borderId="10" xfId="0" applyFill="1" applyBorder="1" applyAlignment="1">
      <alignment horizontal="center" vertical="top" wrapText="1"/>
    </xf>
    <xf numFmtId="0" fontId="0" fillId="8" borderId="11" xfId="0" applyFill="1" applyBorder="1" applyAlignment="1">
      <alignment horizontal="center" vertical="top" wrapText="1"/>
    </xf>
    <xf numFmtId="0" fontId="0" fillId="8" borderId="5" xfId="0" applyFill="1" applyBorder="1" applyAlignment="1">
      <alignment horizontal="center" vertical="top" wrapText="1"/>
    </xf>
    <xf numFmtId="0" fontId="26" fillId="8" borderId="1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top" wrapText="1"/>
    </xf>
    <xf numFmtId="0" fontId="0" fillId="8" borderId="0" xfId="0" applyFill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6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10" borderId="5" xfId="0" applyFill="1" applyBorder="1" applyAlignment="1">
      <alignment horizontal="left" vertical="top" wrapText="1"/>
    </xf>
    <xf numFmtId="0" fontId="0" fillId="11" borderId="5" xfId="0" applyFill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2" fillId="8" borderId="5" xfId="0" applyFont="1" applyFill="1" applyBorder="1" applyAlignment="1">
      <alignment horizontal="left" vertical="top" wrapText="1"/>
    </xf>
    <xf numFmtId="0" fontId="32" fillId="8" borderId="0" xfId="0" applyFont="1" applyFill="1" applyAlignment="1">
      <alignment horizontal="center" vertical="top" wrapText="1"/>
    </xf>
    <xf numFmtId="0" fontId="14" fillId="8" borderId="0" xfId="0" applyFont="1" applyFill="1" applyAlignment="1">
      <alignment horizontal="left" vertical="top" wrapText="1"/>
    </xf>
    <xf numFmtId="0" fontId="32" fillId="8" borderId="0" xfId="0" applyFont="1" applyFill="1" applyAlignment="1">
      <alignment horizontal="left" vertical="top" wrapText="1"/>
    </xf>
    <xf numFmtId="0" fontId="32" fillId="8" borderId="6" xfId="0" applyFont="1" applyFill="1" applyBorder="1" applyAlignment="1">
      <alignment horizontal="center" vertical="top" wrapText="1"/>
    </xf>
    <xf numFmtId="0" fontId="32" fillId="8" borderId="7" xfId="0" applyFont="1" applyFill="1" applyBorder="1" applyAlignment="1">
      <alignment horizontal="center" vertical="top" wrapText="1"/>
    </xf>
    <xf numFmtId="0" fontId="32" fillId="8" borderId="8" xfId="0" applyFont="1" applyFill="1" applyBorder="1" applyAlignment="1">
      <alignment horizontal="center" vertical="top" wrapText="1"/>
    </xf>
    <xf numFmtId="0" fontId="32" fillId="8" borderId="9" xfId="0" applyFont="1" applyFill="1" applyBorder="1" applyAlignment="1">
      <alignment horizontal="center" vertical="top" wrapText="1"/>
    </xf>
    <xf numFmtId="0" fontId="32" fillId="8" borderId="10" xfId="0" applyFont="1" applyFill="1" applyBorder="1" applyAlignment="1">
      <alignment horizontal="center" vertical="top" wrapText="1"/>
    </xf>
    <xf numFmtId="0" fontId="32" fillId="8" borderId="11" xfId="0" applyFont="1" applyFill="1" applyBorder="1" applyAlignment="1">
      <alignment horizontal="center" vertical="top" wrapText="1"/>
    </xf>
    <xf numFmtId="0" fontId="32" fillId="8" borderId="5" xfId="0" applyFont="1" applyFill="1" applyBorder="1" applyAlignment="1">
      <alignment horizontal="center" vertical="top" wrapText="1"/>
    </xf>
    <xf numFmtId="0" fontId="32" fillId="8" borderId="2" xfId="0" applyFont="1" applyFill="1" applyBorder="1" applyAlignment="1">
      <alignment horizontal="center" vertical="center" wrapText="1"/>
    </xf>
    <xf numFmtId="0" fontId="32" fillId="8" borderId="3" xfId="0" applyFont="1" applyFill="1" applyBorder="1" applyAlignment="1">
      <alignment horizontal="center" vertical="center" wrapText="1"/>
    </xf>
    <xf numFmtId="0" fontId="0" fillId="9" borderId="5" xfId="0" applyFill="1" applyBorder="1" applyAlignment="1">
      <alignment horizontal="left" vertical="top" wrapText="1"/>
    </xf>
    <xf numFmtId="0" fontId="0" fillId="7" borderId="5" xfId="0" applyFill="1" applyBorder="1" applyAlignment="1">
      <alignment horizontal="left" vertical="top" wrapText="1"/>
    </xf>
    <xf numFmtId="164" fontId="22" fillId="7" borderId="21" xfId="1" applyFont="1" applyFill="1" applyBorder="1" applyAlignment="1">
      <alignment horizontal="left" vertical="center" wrapText="1"/>
    </xf>
    <xf numFmtId="164" fontId="22" fillId="7" borderId="22" xfId="1" applyFont="1" applyFill="1" applyBorder="1" applyAlignment="1">
      <alignment horizontal="left" vertical="center" wrapText="1"/>
    </xf>
    <xf numFmtId="164" fontId="10" fillId="5" borderId="12" xfId="1" applyFont="1" applyFill="1" applyBorder="1" applyAlignment="1">
      <alignment horizontal="left" vertical="top" wrapText="1"/>
    </xf>
    <xf numFmtId="164" fontId="10" fillId="5" borderId="13" xfId="1" applyFont="1" applyFill="1" applyBorder="1" applyAlignment="1">
      <alignment horizontal="left" vertical="top" wrapText="1"/>
    </xf>
    <xf numFmtId="164" fontId="19" fillId="4" borderId="14" xfId="1" applyFont="1" applyFill="1" applyBorder="1" applyAlignment="1">
      <alignment horizontal="left" vertical="top" wrapText="1"/>
    </xf>
    <xf numFmtId="164" fontId="19" fillId="4" borderId="15" xfId="1" applyFont="1" applyFill="1" applyBorder="1" applyAlignment="1">
      <alignment horizontal="left" vertical="top" wrapText="1"/>
    </xf>
    <xf numFmtId="164" fontId="10" fillId="3" borderId="14" xfId="1" applyFont="1" applyFill="1" applyBorder="1" applyAlignment="1">
      <alignment horizontal="left" vertical="top" wrapText="1"/>
    </xf>
    <xf numFmtId="164" fontId="10" fillId="3" borderId="15" xfId="1" applyFont="1" applyFill="1" applyBorder="1" applyAlignment="1">
      <alignment horizontal="left" vertical="top" wrapText="1"/>
    </xf>
    <xf numFmtId="164" fontId="10" fillId="2" borderId="14" xfId="1" applyFont="1" applyFill="1" applyBorder="1" applyAlignment="1">
      <alignment horizontal="left" vertical="top" wrapText="1"/>
    </xf>
    <xf numFmtId="164" fontId="10" fillId="2" borderId="16" xfId="1" applyFont="1" applyFill="1" applyBorder="1" applyAlignment="1">
      <alignment horizontal="left" vertical="top" wrapText="1"/>
    </xf>
    <xf numFmtId="164" fontId="10" fillId="2" borderId="15" xfId="1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0" fontId="10" fillId="2" borderId="14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10" fillId="3" borderId="14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25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top" wrapText="1"/>
    </xf>
  </cellXfs>
  <cellStyles count="3">
    <cellStyle name="Comma" xfId="1" builtinId="3"/>
    <cellStyle name="Normal" xfId="0" builtinId="0"/>
    <cellStyle name="Normal 6 2 5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showWhiteSpace="0" topLeftCell="A71" zoomScale="85" zoomScaleNormal="85" zoomScaleSheetLayoutView="85" zoomScalePageLayoutView="55" workbookViewId="0">
      <selection activeCell="K97" sqref="K97"/>
    </sheetView>
  </sheetViews>
  <sheetFormatPr defaultRowHeight="13.2" x14ac:dyDescent="0.25"/>
  <cols>
    <col min="1" max="1" width="7.109375" customWidth="1"/>
    <col min="2" max="2" width="38.77734375" customWidth="1"/>
    <col min="3" max="3" width="16.6640625" customWidth="1"/>
    <col min="4" max="4" width="14.44140625" customWidth="1"/>
    <col min="5" max="5" width="17.6640625" customWidth="1"/>
    <col min="6" max="6" width="15.77734375" customWidth="1"/>
    <col min="7" max="7" width="14.77734375" customWidth="1"/>
  </cols>
  <sheetData>
    <row r="1" spans="1:7" x14ac:dyDescent="0.25">
      <c r="A1" s="173" t="s">
        <v>151</v>
      </c>
      <c r="B1" s="174"/>
      <c r="C1" s="174"/>
      <c r="D1" s="174"/>
      <c r="E1" s="175"/>
      <c r="F1" s="57"/>
    </row>
    <row r="2" spans="1:7" x14ac:dyDescent="0.25">
      <c r="A2" s="176"/>
      <c r="B2" s="177"/>
      <c r="C2" s="177"/>
      <c r="D2" s="177"/>
      <c r="E2" s="178"/>
      <c r="F2" s="57"/>
    </row>
    <row r="3" spans="1:7" ht="12" customHeight="1" x14ac:dyDescent="0.25">
      <c r="A3" s="179" t="s">
        <v>0</v>
      </c>
      <c r="B3" s="179"/>
      <c r="C3" s="179"/>
      <c r="D3" s="179"/>
      <c r="E3" s="179"/>
      <c r="F3" s="57"/>
    </row>
    <row r="4" spans="1:7" ht="44.4" customHeight="1" x14ac:dyDescent="0.25">
      <c r="A4" s="180" t="s">
        <v>160</v>
      </c>
      <c r="B4" s="181"/>
      <c r="C4" s="181"/>
      <c r="D4" s="181"/>
      <c r="E4" s="182"/>
      <c r="F4" s="57"/>
    </row>
    <row r="5" spans="1:7" ht="12" customHeight="1" x14ac:dyDescent="0.25">
      <c r="A5" s="183" t="s">
        <v>152</v>
      </c>
      <c r="B5" s="184"/>
      <c r="C5" s="184"/>
      <c r="D5" s="184"/>
      <c r="E5" s="184"/>
      <c r="F5" s="57"/>
      <c r="G5" s="35"/>
    </row>
    <row r="6" spans="1:7" ht="21.6" customHeight="1" x14ac:dyDescent="0.25">
      <c r="A6" s="58" t="s">
        <v>1</v>
      </c>
      <c r="B6" s="59" t="s">
        <v>2</v>
      </c>
      <c r="C6" s="60" t="s">
        <v>3</v>
      </c>
      <c r="D6" s="60" t="s">
        <v>4</v>
      </c>
      <c r="E6" s="60" t="s">
        <v>5</v>
      </c>
      <c r="F6" s="57"/>
      <c r="G6" s="35"/>
    </row>
    <row r="7" spans="1:7" ht="13.2" customHeight="1" x14ac:dyDescent="0.25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57"/>
      <c r="G7" s="35"/>
    </row>
    <row r="8" spans="1:7" x14ac:dyDescent="0.25">
      <c r="A8" s="172" t="s">
        <v>6</v>
      </c>
      <c r="B8" s="172"/>
      <c r="C8" s="172"/>
      <c r="D8" s="172"/>
      <c r="E8" s="172"/>
      <c r="F8" s="57"/>
      <c r="G8" s="35"/>
    </row>
    <row r="9" spans="1:7" x14ac:dyDescent="0.25">
      <c r="A9" s="62" t="s">
        <v>29</v>
      </c>
      <c r="B9" s="63" t="s">
        <v>141</v>
      </c>
      <c r="C9" s="64">
        <f>SUM(C10+C11+C18+C20+C22+C25)</f>
        <v>3326577.0700000003</v>
      </c>
      <c r="D9" s="65">
        <f>C9*0.19</f>
        <v>632049.64330000011</v>
      </c>
      <c r="E9" s="65">
        <f>SUM(D9+C9)</f>
        <v>3958626.7133000004</v>
      </c>
      <c r="F9" s="66"/>
      <c r="G9" s="35"/>
    </row>
    <row r="10" spans="1:7" x14ac:dyDescent="0.25">
      <c r="A10" s="62" t="s">
        <v>112</v>
      </c>
      <c r="B10" s="63" t="s">
        <v>111</v>
      </c>
      <c r="C10" s="64">
        <v>0</v>
      </c>
      <c r="D10" s="67">
        <v>0</v>
      </c>
      <c r="E10" s="67">
        <v>0</v>
      </c>
      <c r="F10" s="66"/>
      <c r="G10" s="35"/>
    </row>
    <row r="11" spans="1:7" x14ac:dyDescent="0.25">
      <c r="A11" s="62" t="s">
        <v>110</v>
      </c>
      <c r="B11" s="63" t="s">
        <v>148</v>
      </c>
      <c r="C11" s="68">
        <f>SUM(C12:C17)</f>
        <v>2383259.5</v>
      </c>
      <c r="D11" s="69">
        <f>SUM(D12:D17)</f>
        <v>452819.30500000005</v>
      </c>
      <c r="E11" s="69">
        <f>SUM(E12:E17)</f>
        <v>2836078.8049999997</v>
      </c>
      <c r="F11" s="66"/>
      <c r="G11" s="35"/>
    </row>
    <row r="12" spans="1:7" x14ac:dyDescent="0.25">
      <c r="A12" s="70"/>
      <c r="B12" s="71" t="s">
        <v>113</v>
      </c>
      <c r="C12" s="72">
        <v>567608.71</v>
      </c>
      <c r="D12" s="73">
        <f t="shared" ref="D12:D17" si="0">C12*0.19</f>
        <v>107845.65489999999</v>
      </c>
      <c r="E12" s="73">
        <f t="shared" ref="E12:E17" si="1">C12+D12</f>
        <v>675454.36489999993</v>
      </c>
      <c r="F12" s="66"/>
      <c r="G12" s="35"/>
    </row>
    <row r="13" spans="1:7" x14ac:dyDescent="0.25">
      <c r="A13" s="70"/>
      <c r="B13" s="71" t="s">
        <v>114</v>
      </c>
      <c r="C13" s="72">
        <v>738346.39</v>
      </c>
      <c r="D13" s="73">
        <f t="shared" si="0"/>
        <v>140285.81410000002</v>
      </c>
      <c r="E13" s="73">
        <f t="shared" si="1"/>
        <v>878632.20409999997</v>
      </c>
      <c r="F13" s="66"/>
      <c r="G13" s="35"/>
    </row>
    <row r="14" spans="1:7" x14ac:dyDescent="0.25">
      <c r="A14" s="70"/>
      <c r="B14" s="71" t="s">
        <v>115</v>
      </c>
      <c r="C14" s="72">
        <v>179596.79999999999</v>
      </c>
      <c r="D14" s="73">
        <f t="shared" si="0"/>
        <v>34123.392</v>
      </c>
      <c r="E14" s="73">
        <f t="shared" si="1"/>
        <v>213720.19199999998</v>
      </c>
      <c r="F14" s="66"/>
      <c r="G14" s="35"/>
    </row>
    <row r="15" spans="1:7" x14ac:dyDescent="0.25">
      <c r="A15" s="70"/>
      <c r="B15" s="71" t="s">
        <v>116</v>
      </c>
      <c r="C15" s="72">
        <v>259088.82</v>
      </c>
      <c r="D15" s="73">
        <f t="shared" si="0"/>
        <v>49226.875800000002</v>
      </c>
      <c r="E15" s="73">
        <f t="shared" si="1"/>
        <v>308315.69579999999</v>
      </c>
      <c r="F15" s="66"/>
      <c r="G15" s="35"/>
    </row>
    <row r="16" spans="1:7" x14ac:dyDescent="0.25">
      <c r="A16" s="70"/>
      <c r="B16" s="71" t="s">
        <v>117</v>
      </c>
      <c r="C16" s="72">
        <v>455727.28</v>
      </c>
      <c r="D16" s="73">
        <f t="shared" si="0"/>
        <v>86588.183199999999</v>
      </c>
      <c r="E16" s="73">
        <f t="shared" si="1"/>
        <v>542315.4632</v>
      </c>
      <c r="F16" s="66"/>
      <c r="G16" s="35"/>
    </row>
    <row r="17" spans="1:7" x14ac:dyDescent="0.25">
      <c r="A17" s="70"/>
      <c r="B17" s="71" t="s">
        <v>118</v>
      </c>
      <c r="C17" s="72">
        <v>182891.5</v>
      </c>
      <c r="D17" s="73">
        <f t="shared" si="0"/>
        <v>34749.385000000002</v>
      </c>
      <c r="E17" s="73">
        <f t="shared" si="1"/>
        <v>217640.88500000001</v>
      </c>
      <c r="F17" s="66"/>
      <c r="G17" s="35"/>
    </row>
    <row r="18" spans="1:7" x14ac:dyDescent="0.25">
      <c r="A18" s="62" t="s">
        <v>119</v>
      </c>
      <c r="B18" s="63" t="s">
        <v>120</v>
      </c>
      <c r="C18" s="68">
        <f>SUM(C19:C19)</f>
        <v>435593.24</v>
      </c>
      <c r="D18" s="69">
        <f>SUM(D19:D19)</f>
        <v>82762.715599999996</v>
      </c>
      <c r="E18" s="69">
        <f>SUM(E19:E19)</f>
        <v>518355.95559999999</v>
      </c>
      <c r="F18" s="66"/>
      <c r="G18" s="35"/>
    </row>
    <row r="19" spans="1:7" x14ac:dyDescent="0.25">
      <c r="A19" s="70"/>
      <c r="B19" s="71" t="s">
        <v>122</v>
      </c>
      <c r="C19" s="72">
        <v>435593.24</v>
      </c>
      <c r="D19" s="74">
        <f>C19*0.19</f>
        <v>82762.715599999996</v>
      </c>
      <c r="E19" s="74">
        <f>D19+C19</f>
        <v>518355.95559999999</v>
      </c>
      <c r="F19" s="66"/>
      <c r="G19" s="35"/>
    </row>
    <row r="20" spans="1:7" x14ac:dyDescent="0.25">
      <c r="A20" s="62" t="s">
        <v>124</v>
      </c>
      <c r="B20" s="63" t="s">
        <v>123</v>
      </c>
      <c r="C20" s="68">
        <f>SUM(C21:C21)</f>
        <v>346433.33</v>
      </c>
      <c r="D20" s="69">
        <f>SUM(D21:D21)</f>
        <v>65822.332699999999</v>
      </c>
      <c r="E20" s="69">
        <f>SUM(E21:E21)</f>
        <v>412255.66269999999</v>
      </c>
      <c r="F20" s="66"/>
      <c r="G20" s="35"/>
    </row>
    <row r="21" spans="1:7" x14ac:dyDescent="0.25">
      <c r="A21" s="70"/>
      <c r="B21" s="71" t="s">
        <v>128</v>
      </c>
      <c r="C21" s="72">
        <v>346433.33</v>
      </c>
      <c r="D21" s="74">
        <f>C21*0.19</f>
        <v>65822.332699999999</v>
      </c>
      <c r="E21" s="74">
        <f>SUM(C21:D21)</f>
        <v>412255.66269999999</v>
      </c>
      <c r="F21" s="66"/>
      <c r="G21" s="35"/>
    </row>
    <row r="22" spans="1:7" x14ac:dyDescent="0.25">
      <c r="A22" s="62" t="s">
        <v>126</v>
      </c>
      <c r="B22" s="63" t="s">
        <v>125</v>
      </c>
      <c r="C22" s="68">
        <f>SUM(C23:C24)</f>
        <v>161291</v>
      </c>
      <c r="D22" s="69">
        <f>SUM(D23:D24)</f>
        <v>30645.29</v>
      </c>
      <c r="E22" s="69">
        <f>SUM(E23:E24)</f>
        <v>191936.29</v>
      </c>
      <c r="F22" s="66"/>
      <c r="G22" s="35"/>
    </row>
    <row r="23" spans="1:7" x14ac:dyDescent="0.25">
      <c r="A23" s="70"/>
      <c r="B23" s="75" t="s">
        <v>129</v>
      </c>
      <c r="C23" s="76">
        <v>50776</v>
      </c>
      <c r="D23" s="74">
        <f>C23*0.19</f>
        <v>9647.44</v>
      </c>
      <c r="E23" s="74">
        <f>D23+C23</f>
        <v>60423.44</v>
      </c>
      <c r="F23" s="66"/>
      <c r="G23" s="35"/>
    </row>
    <row r="24" spans="1:7" x14ac:dyDescent="0.25">
      <c r="A24" s="70"/>
      <c r="B24" s="71" t="s">
        <v>130</v>
      </c>
      <c r="C24" s="72">
        <v>110515</v>
      </c>
      <c r="D24" s="74">
        <f>C24*0.19</f>
        <v>20997.85</v>
      </c>
      <c r="E24" s="74">
        <f>D24+C24</f>
        <v>131512.85</v>
      </c>
      <c r="F24" s="66"/>
      <c r="G24" s="35"/>
    </row>
    <row r="25" spans="1:7" x14ac:dyDescent="0.25">
      <c r="A25" s="62" t="s">
        <v>132</v>
      </c>
      <c r="B25" s="63" t="s">
        <v>131</v>
      </c>
      <c r="C25" s="77">
        <f>SUM(C26)</f>
        <v>0</v>
      </c>
      <c r="D25" s="78">
        <f>SUM(D26)</f>
        <v>0</v>
      </c>
      <c r="E25" s="78">
        <f>SUM(E26)</f>
        <v>0</v>
      </c>
      <c r="F25" s="66"/>
      <c r="G25" s="35"/>
    </row>
    <row r="26" spans="1:7" x14ac:dyDescent="0.25">
      <c r="A26" s="70"/>
      <c r="B26" s="75" t="s">
        <v>133</v>
      </c>
      <c r="C26" s="79">
        <v>0</v>
      </c>
      <c r="D26" s="74">
        <f>C26*0.19</f>
        <v>0</v>
      </c>
      <c r="E26" s="74">
        <f>D26+C26</f>
        <v>0</v>
      </c>
      <c r="F26" s="66"/>
      <c r="G26" s="35"/>
    </row>
    <row r="27" spans="1:7" x14ac:dyDescent="0.25">
      <c r="A27" s="172" t="s">
        <v>7</v>
      </c>
      <c r="B27" s="172"/>
      <c r="C27" s="64">
        <f>SUM(C9)</f>
        <v>3326577.0700000003</v>
      </c>
      <c r="D27" s="67">
        <f>SUM(D9)</f>
        <v>632049.64330000011</v>
      </c>
      <c r="E27" s="67">
        <f>SUM(E9)</f>
        <v>3958626.7133000004</v>
      </c>
      <c r="F27" s="66"/>
      <c r="G27" s="35"/>
    </row>
    <row r="28" spans="1:7" ht="21.6" x14ac:dyDescent="0.25">
      <c r="A28" s="62" t="s">
        <v>30</v>
      </c>
      <c r="B28" s="63" t="s">
        <v>142</v>
      </c>
      <c r="C28" s="64">
        <f>SUM(C29:C31)</f>
        <v>78578.320000000007</v>
      </c>
      <c r="D28" s="67">
        <f>C28*0.19</f>
        <v>14929.880800000001</v>
      </c>
      <c r="E28" s="67">
        <f t="shared" ref="E28:E36" si="2">SUM(D28+C28)</f>
        <v>93508.200800000006</v>
      </c>
      <c r="F28" s="66"/>
      <c r="G28" s="35"/>
    </row>
    <row r="29" spans="1:7" x14ac:dyDescent="0.25">
      <c r="A29" s="70"/>
      <c r="B29" s="80" t="s">
        <v>134</v>
      </c>
      <c r="C29" s="79">
        <v>0</v>
      </c>
      <c r="D29" s="74">
        <f>C29*0.19</f>
        <v>0</v>
      </c>
      <c r="E29" s="74">
        <f t="shared" si="2"/>
        <v>0</v>
      </c>
      <c r="F29" s="66"/>
      <c r="G29" s="35"/>
    </row>
    <row r="30" spans="1:7" x14ac:dyDescent="0.25">
      <c r="A30" s="70"/>
      <c r="B30" s="80" t="s">
        <v>135</v>
      </c>
      <c r="C30" s="79">
        <v>0</v>
      </c>
      <c r="D30" s="74">
        <f>C30*0.19</f>
        <v>0</v>
      </c>
      <c r="E30" s="74">
        <f t="shared" si="2"/>
        <v>0</v>
      </c>
      <c r="F30" s="66"/>
      <c r="G30" s="35"/>
    </row>
    <row r="31" spans="1:7" x14ac:dyDescent="0.25">
      <c r="A31" s="70"/>
      <c r="B31" s="80" t="s">
        <v>136</v>
      </c>
      <c r="C31" s="79">
        <v>78578.320000000007</v>
      </c>
      <c r="D31" s="74">
        <f>C31*0.19</f>
        <v>14929.880800000001</v>
      </c>
      <c r="E31" s="74">
        <f t="shared" si="2"/>
        <v>93508.200800000006</v>
      </c>
      <c r="F31" s="66"/>
      <c r="G31" s="35"/>
    </row>
    <row r="32" spans="1:7" x14ac:dyDescent="0.25">
      <c r="A32" s="172" t="s">
        <v>8</v>
      </c>
      <c r="B32" s="172"/>
      <c r="C32" s="64">
        <f>SUM(C28)</f>
        <v>78578.320000000007</v>
      </c>
      <c r="D32" s="67">
        <f>SUM(D28)</f>
        <v>14929.880800000001</v>
      </c>
      <c r="E32" s="67">
        <f>SUM(E28)</f>
        <v>93508.200800000006</v>
      </c>
      <c r="F32" s="66"/>
      <c r="G32" s="35"/>
    </row>
    <row r="33" spans="1:7" ht="22.95" customHeight="1" x14ac:dyDescent="0.25">
      <c r="A33" s="62" t="s">
        <v>31</v>
      </c>
      <c r="B33" s="81" t="s">
        <v>143</v>
      </c>
      <c r="C33" s="64">
        <f>SUM(C34:C36)</f>
        <v>523855.44</v>
      </c>
      <c r="D33" s="67">
        <f>C33*0.19</f>
        <v>99532.533599999995</v>
      </c>
      <c r="E33" s="67">
        <f t="shared" si="2"/>
        <v>623387.97360000003</v>
      </c>
      <c r="F33" s="66"/>
      <c r="G33" s="35"/>
    </row>
    <row r="34" spans="1:7" x14ac:dyDescent="0.25">
      <c r="A34" s="70"/>
      <c r="B34" s="75" t="s">
        <v>137</v>
      </c>
      <c r="C34" s="79">
        <v>0</v>
      </c>
      <c r="D34" s="74">
        <f>C34*0.19</f>
        <v>0</v>
      </c>
      <c r="E34" s="74">
        <f t="shared" si="2"/>
        <v>0</v>
      </c>
      <c r="F34" s="66"/>
      <c r="G34" s="35"/>
    </row>
    <row r="35" spans="1:7" x14ac:dyDescent="0.25">
      <c r="A35" s="70"/>
      <c r="B35" s="75" t="s">
        <v>138</v>
      </c>
      <c r="C35" s="79">
        <v>0</v>
      </c>
      <c r="D35" s="74">
        <f>C35*0.19</f>
        <v>0</v>
      </c>
      <c r="E35" s="74">
        <f t="shared" si="2"/>
        <v>0</v>
      </c>
      <c r="F35" s="66"/>
      <c r="G35" s="35"/>
    </row>
    <row r="36" spans="1:7" x14ac:dyDescent="0.25">
      <c r="A36" s="70"/>
      <c r="B36" s="75" t="s">
        <v>139</v>
      </c>
      <c r="C36" s="79">
        <v>523855.44</v>
      </c>
      <c r="D36" s="74">
        <f>C36*0.19</f>
        <v>99532.533599999995</v>
      </c>
      <c r="E36" s="74">
        <f t="shared" si="2"/>
        <v>623387.97360000003</v>
      </c>
      <c r="F36" s="66"/>
      <c r="G36" s="35"/>
    </row>
    <row r="37" spans="1:7" ht="21.6" customHeight="1" x14ac:dyDescent="0.25">
      <c r="A37" s="62" t="s">
        <v>32</v>
      </c>
      <c r="B37" s="63" t="s">
        <v>144</v>
      </c>
      <c r="C37" s="64">
        <v>0</v>
      </c>
      <c r="D37" s="67">
        <v>0</v>
      </c>
      <c r="E37" s="67">
        <v>0</v>
      </c>
      <c r="F37" s="66"/>
      <c r="G37" s="35"/>
    </row>
    <row r="38" spans="1:7" x14ac:dyDescent="0.25">
      <c r="A38" s="62" t="s">
        <v>33</v>
      </c>
      <c r="B38" s="82" t="s">
        <v>145</v>
      </c>
      <c r="C38" s="64">
        <f>SUM(C39:C43)</f>
        <v>4739778.17</v>
      </c>
      <c r="D38" s="67">
        <f>C38*0.19</f>
        <v>900557.85230000003</v>
      </c>
      <c r="E38" s="67">
        <f>SUM(D38+C38)</f>
        <v>5640336.0223000003</v>
      </c>
      <c r="F38" s="66"/>
      <c r="G38" s="35"/>
    </row>
    <row r="39" spans="1:7" x14ac:dyDescent="0.25">
      <c r="A39" s="62"/>
      <c r="B39" s="83" t="s">
        <v>156</v>
      </c>
      <c r="C39" s="64">
        <v>100062</v>
      </c>
      <c r="D39" s="67">
        <f t="shared" ref="D39:D43" si="3">C39*0.19</f>
        <v>19011.78</v>
      </c>
      <c r="E39" s="67">
        <f t="shared" ref="E39:E43" si="4">SUM(D39+C39)</f>
        <v>119073.78</v>
      </c>
      <c r="F39" s="66"/>
      <c r="G39" s="35"/>
    </row>
    <row r="40" spans="1:7" x14ac:dyDescent="0.25">
      <c r="A40" s="62"/>
      <c r="B40" s="83" t="s">
        <v>164</v>
      </c>
      <c r="C40" s="64">
        <v>638859.65</v>
      </c>
      <c r="D40" s="67">
        <f t="shared" si="3"/>
        <v>121383.33350000001</v>
      </c>
      <c r="E40" s="67">
        <f t="shared" si="4"/>
        <v>760242.98350000009</v>
      </c>
      <c r="F40" s="66"/>
      <c r="G40" s="35"/>
    </row>
    <row r="41" spans="1:7" x14ac:dyDescent="0.25">
      <c r="A41" s="62"/>
      <c r="B41" s="83" t="s">
        <v>165</v>
      </c>
      <c r="C41" s="64">
        <f>5287594.52-'4.2.1 LUCRARI CONTAINER'!C35</f>
        <v>3311994.5199999996</v>
      </c>
      <c r="D41" s="67">
        <f t="shared" si="3"/>
        <v>629278.95879999991</v>
      </c>
      <c r="E41" s="67">
        <f t="shared" si="4"/>
        <v>3941273.4787999997</v>
      </c>
      <c r="F41" s="66"/>
      <c r="G41" s="35"/>
    </row>
    <row r="42" spans="1:7" x14ac:dyDescent="0.25">
      <c r="A42" s="62"/>
      <c r="B42" s="83" t="s">
        <v>166</v>
      </c>
      <c r="C42" s="64">
        <v>429135</v>
      </c>
      <c r="D42" s="67">
        <f t="shared" si="3"/>
        <v>81535.649999999994</v>
      </c>
      <c r="E42" s="67">
        <f t="shared" si="4"/>
        <v>510670.65</v>
      </c>
      <c r="F42" s="66"/>
      <c r="G42" s="35"/>
    </row>
    <row r="43" spans="1:7" x14ac:dyDescent="0.25">
      <c r="A43" s="62"/>
      <c r="B43" s="83" t="s">
        <v>167</v>
      </c>
      <c r="C43" s="64">
        <v>259727</v>
      </c>
      <c r="D43" s="67">
        <f t="shared" si="3"/>
        <v>49348.13</v>
      </c>
      <c r="E43" s="67">
        <f t="shared" si="4"/>
        <v>309075.13</v>
      </c>
      <c r="F43" s="66"/>
      <c r="G43" s="35"/>
    </row>
    <row r="44" spans="1:7" x14ac:dyDescent="0.25">
      <c r="A44" s="62" t="s">
        <v>34</v>
      </c>
      <c r="B44" s="63" t="s">
        <v>146</v>
      </c>
      <c r="C44" s="64">
        <f>C45</f>
        <v>538706.68000000005</v>
      </c>
      <c r="D44" s="67">
        <f t="shared" ref="D44:E44" si="5">D45</f>
        <v>102354.26920000001</v>
      </c>
      <c r="E44" s="67">
        <f t="shared" si="5"/>
        <v>641060.94920000003</v>
      </c>
      <c r="F44" s="66"/>
      <c r="G44" s="35"/>
    </row>
    <row r="45" spans="1:7" x14ac:dyDescent="0.25">
      <c r="A45" s="62"/>
      <c r="B45" s="83" t="s">
        <v>168</v>
      </c>
      <c r="C45" s="64">
        <v>538706.68000000005</v>
      </c>
      <c r="D45" s="67">
        <f t="shared" ref="D45" si="6">C45*0.19</f>
        <v>102354.26920000001</v>
      </c>
      <c r="E45" s="67">
        <f t="shared" ref="E45" si="7">SUM(D45+C45)</f>
        <v>641060.94920000003</v>
      </c>
      <c r="F45" s="66"/>
      <c r="G45" s="35"/>
    </row>
    <row r="46" spans="1:7" x14ac:dyDescent="0.25">
      <c r="A46" s="172" t="s">
        <v>9</v>
      </c>
      <c r="B46" s="172"/>
      <c r="C46" s="84">
        <f>SUM(C33+C37+C38+C44)</f>
        <v>5802340.29</v>
      </c>
      <c r="D46" s="65">
        <f>SUM(D33+D37+D38+D44)</f>
        <v>1102444.6551000001</v>
      </c>
      <c r="E46" s="65">
        <f>SUM(E33+E37+E38+E44)</f>
        <v>6904784.9451000001</v>
      </c>
      <c r="F46" s="66"/>
      <c r="G46" s="35"/>
    </row>
    <row r="47" spans="1:7" x14ac:dyDescent="0.25">
      <c r="A47" s="172" t="s">
        <v>10</v>
      </c>
      <c r="B47" s="172"/>
      <c r="C47" s="84">
        <f>SUM(C32+C27+C46)</f>
        <v>9207495.6799999997</v>
      </c>
      <c r="D47" s="65">
        <f>SUM(D32+D27+D46)</f>
        <v>1749424.1792000001</v>
      </c>
      <c r="E47" s="65">
        <f>SUM(E32+E27+E46)</f>
        <v>10956919.859200001</v>
      </c>
      <c r="F47" s="66"/>
      <c r="G47" s="35"/>
    </row>
    <row r="48" spans="1:7" ht="25.2" customHeight="1" x14ac:dyDescent="0.25">
      <c r="A48" s="185"/>
      <c r="B48" s="184"/>
      <c r="C48" s="184"/>
      <c r="D48" s="184"/>
      <c r="E48" s="184"/>
      <c r="F48" s="57"/>
    </row>
    <row r="49" spans="1:6" ht="45" hidden="1" customHeight="1" x14ac:dyDescent="0.25">
      <c r="A49" s="186"/>
      <c r="B49" s="187"/>
      <c r="C49" s="187"/>
      <c r="D49" s="187"/>
      <c r="E49" s="187"/>
    </row>
    <row r="53" spans="1:6" ht="0.75" customHeight="1" thickBot="1" x14ac:dyDescent="0.3"/>
    <row r="54" spans="1:6" x14ac:dyDescent="0.25">
      <c r="A54" s="188" t="s">
        <v>151</v>
      </c>
      <c r="B54" s="189"/>
      <c r="C54" s="189"/>
      <c r="D54" s="189"/>
      <c r="E54" s="189"/>
      <c r="F54" s="55"/>
    </row>
    <row r="55" spans="1:6" x14ac:dyDescent="0.25">
      <c r="A55" s="189"/>
      <c r="B55" s="189"/>
      <c r="C55" s="189"/>
      <c r="D55" s="189"/>
      <c r="E55" s="189"/>
      <c r="F55" s="56"/>
    </row>
    <row r="56" spans="1:6" x14ac:dyDescent="0.25">
      <c r="A56" s="189" t="s">
        <v>0</v>
      </c>
      <c r="B56" s="189"/>
      <c r="C56" s="189"/>
      <c r="D56" s="189"/>
      <c r="E56" s="189"/>
      <c r="F56" s="56"/>
    </row>
    <row r="57" spans="1:6" x14ac:dyDescent="0.25">
      <c r="A57" s="190" t="s">
        <v>160</v>
      </c>
      <c r="B57" s="191"/>
      <c r="C57" s="191"/>
      <c r="D57" s="191"/>
      <c r="E57" s="191"/>
      <c r="F57" s="56"/>
    </row>
    <row r="58" spans="1:6" x14ac:dyDescent="0.25">
      <c r="A58" s="192" t="s">
        <v>152</v>
      </c>
      <c r="B58" s="189"/>
      <c r="C58" s="189"/>
      <c r="D58" s="189"/>
      <c r="E58" s="189"/>
      <c r="F58" s="56"/>
    </row>
    <row r="59" spans="1:6" ht="20.399999999999999" x14ac:dyDescent="0.25">
      <c r="A59" s="159" t="s">
        <v>1</v>
      </c>
      <c r="B59" s="40" t="s">
        <v>2</v>
      </c>
      <c r="C59" s="41" t="s">
        <v>3</v>
      </c>
      <c r="D59" s="41" t="s">
        <v>4</v>
      </c>
      <c r="E59" s="41" t="s">
        <v>5</v>
      </c>
      <c r="F59" s="56"/>
    </row>
    <row r="60" spans="1:6" x14ac:dyDescent="0.25">
      <c r="A60" s="42">
        <v>1</v>
      </c>
      <c r="B60" s="42">
        <v>2</v>
      </c>
      <c r="C60" s="42">
        <v>3</v>
      </c>
      <c r="D60" s="42">
        <v>4</v>
      </c>
      <c r="E60" s="42">
        <v>5</v>
      </c>
      <c r="F60" s="56"/>
    </row>
    <row r="61" spans="1:6" x14ac:dyDescent="0.25">
      <c r="A61" s="193" t="s">
        <v>6</v>
      </c>
      <c r="B61" s="193"/>
      <c r="C61" s="193"/>
      <c r="D61" s="193"/>
      <c r="E61" s="193"/>
      <c r="F61" s="56"/>
    </row>
    <row r="62" spans="1:6" x14ac:dyDescent="0.25">
      <c r="A62" s="160" t="s">
        <v>29</v>
      </c>
      <c r="B62" s="37" t="s">
        <v>141</v>
      </c>
      <c r="C62" s="53">
        <f>ROUND(C9,2)</f>
        <v>3326577.07</v>
      </c>
      <c r="D62" s="54">
        <f>ROUND(D9,2)</f>
        <v>632049.64</v>
      </c>
      <c r="E62" s="54">
        <f>ROUND(E9,2)</f>
        <v>3958626.71</v>
      </c>
      <c r="F62" s="56"/>
    </row>
    <row r="63" spans="1:6" x14ac:dyDescent="0.25">
      <c r="A63" s="160" t="s">
        <v>112</v>
      </c>
      <c r="B63" s="37" t="s">
        <v>111</v>
      </c>
      <c r="C63" s="53">
        <f t="shared" ref="C63:E100" si="8">ROUND(C10,2)</f>
        <v>0</v>
      </c>
      <c r="D63" s="54">
        <f t="shared" si="8"/>
        <v>0</v>
      </c>
      <c r="E63" s="54">
        <f t="shared" si="8"/>
        <v>0</v>
      </c>
      <c r="F63" s="56"/>
    </row>
    <row r="64" spans="1:6" x14ac:dyDescent="0.25">
      <c r="A64" s="160" t="s">
        <v>110</v>
      </c>
      <c r="B64" s="37" t="s">
        <v>148</v>
      </c>
      <c r="C64" s="53">
        <f t="shared" si="8"/>
        <v>2383259.5</v>
      </c>
      <c r="D64" s="54">
        <f t="shared" si="8"/>
        <v>452819.31</v>
      </c>
      <c r="E64" s="54">
        <f t="shared" si="8"/>
        <v>2836078.81</v>
      </c>
      <c r="F64" s="56"/>
    </row>
    <row r="65" spans="1:7" x14ac:dyDescent="0.25">
      <c r="A65" s="158"/>
      <c r="B65" s="26" t="s">
        <v>113</v>
      </c>
      <c r="C65" s="167">
        <f t="shared" si="8"/>
        <v>567608.71</v>
      </c>
      <c r="D65" s="168">
        <f t="shared" si="8"/>
        <v>107845.65</v>
      </c>
      <c r="E65" s="168">
        <f t="shared" si="8"/>
        <v>675454.36</v>
      </c>
      <c r="F65" s="56"/>
      <c r="G65" s="52"/>
    </row>
    <row r="66" spans="1:7" x14ac:dyDescent="0.25">
      <c r="A66" s="158"/>
      <c r="B66" s="26" t="s">
        <v>114</v>
      </c>
      <c r="C66" s="167">
        <f t="shared" si="8"/>
        <v>738346.39</v>
      </c>
      <c r="D66" s="168">
        <f t="shared" si="8"/>
        <v>140285.81</v>
      </c>
      <c r="E66" s="168">
        <f t="shared" si="8"/>
        <v>878632.2</v>
      </c>
      <c r="F66" s="56"/>
    </row>
    <row r="67" spans="1:7" x14ac:dyDescent="0.25">
      <c r="A67" s="158"/>
      <c r="B67" s="26" t="s">
        <v>115</v>
      </c>
      <c r="C67" s="167">
        <f t="shared" si="8"/>
        <v>179596.79999999999</v>
      </c>
      <c r="D67" s="168">
        <f t="shared" si="8"/>
        <v>34123.39</v>
      </c>
      <c r="E67" s="168">
        <f t="shared" si="8"/>
        <v>213720.19</v>
      </c>
      <c r="F67" s="56"/>
    </row>
    <row r="68" spans="1:7" x14ac:dyDescent="0.25">
      <c r="A68" s="158"/>
      <c r="B68" s="26" t="s">
        <v>116</v>
      </c>
      <c r="C68" s="167">
        <f t="shared" si="8"/>
        <v>259088.82</v>
      </c>
      <c r="D68" s="168">
        <f t="shared" si="8"/>
        <v>49226.879999999997</v>
      </c>
      <c r="E68" s="168">
        <f t="shared" si="8"/>
        <v>308315.7</v>
      </c>
      <c r="F68" s="56"/>
    </row>
    <row r="69" spans="1:7" x14ac:dyDescent="0.25">
      <c r="A69" s="158"/>
      <c r="B69" s="26" t="s">
        <v>117</v>
      </c>
      <c r="C69" s="167">
        <f t="shared" si="8"/>
        <v>455727.28</v>
      </c>
      <c r="D69" s="168">
        <f t="shared" si="8"/>
        <v>86588.18</v>
      </c>
      <c r="E69" s="168">
        <f t="shared" si="8"/>
        <v>542315.46</v>
      </c>
      <c r="F69" s="56"/>
    </row>
    <row r="70" spans="1:7" x14ac:dyDescent="0.25">
      <c r="A70" s="158"/>
      <c r="B70" s="26" t="s">
        <v>118</v>
      </c>
      <c r="C70" s="167">
        <f t="shared" si="8"/>
        <v>182891.5</v>
      </c>
      <c r="D70" s="168">
        <f t="shared" si="8"/>
        <v>34749.39</v>
      </c>
      <c r="E70" s="168">
        <f t="shared" si="8"/>
        <v>217640.89</v>
      </c>
      <c r="F70" s="56"/>
    </row>
    <row r="71" spans="1:7" x14ac:dyDescent="0.25">
      <c r="A71" s="160" t="s">
        <v>119</v>
      </c>
      <c r="B71" s="37" t="s">
        <v>120</v>
      </c>
      <c r="C71" s="53">
        <f t="shared" si="8"/>
        <v>435593.24</v>
      </c>
      <c r="D71" s="54">
        <f t="shared" si="8"/>
        <v>82762.720000000001</v>
      </c>
      <c r="E71" s="54">
        <f t="shared" si="8"/>
        <v>518355.96</v>
      </c>
      <c r="F71" s="56"/>
    </row>
    <row r="72" spans="1:7" x14ac:dyDescent="0.25">
      <c r="A72" s="158"/>
      <c r="B72" s="26" t="s">
        <v>122</v>
      </c>
      <c r="C72" s="167">
        <f t="shared" si="8"/>
        <v>435593.24</v>
      </c>
      <c r="D72" s="168">
        <f t="shared" si="8"/>
        <v>82762.720000000001</v>
      </c>
      <c r="E72" s="168">
        <f t="shared" si="8"/>
        <v>518355.96</v>
      </c>
      <c r="F72" s="56"/>
    </row>
    <row r="73" spans="1:7" x14ac:dyDescent="0.25">
      <c r="A73" s="160" t="s">
        <v>124</v>
      </c>
      <c r="B73" s="37" t="s">
        <v>123</v>
      </c>
      <c r="C73" s="53">
        <f t="shared" si="8"/>
        <v>346433.33</v>
      </c>
      <c r="D73" s="54">
        <f t="shared" si="8"/>
        <v>65822.33</v>
      </c>
      <c r="E73" s="54">
        <f t="shared" si="8"/>
        <v>412255.66</v>
      </c>
      <c r="F73" s="56"/>
    </row>
    <row r="74" spans="1:7" x14ac:dyDescent="0.25">
      <c r="A74" s="158"/>
      <c r="B74" s="26" t="s">
        <v>128</v>
      </c>
      <c r="C74" s="167">
        <f t="shared" si="8"/>
        <v>346433.33</v>
      </c>
      <c r="D74" s="168">
        <f t="shared" si="8"/>
        <v>65822.33</v>
      </c>
      <c r="E74" s="168">
        <f t="shared" si="8"/>
        <v>412255.66</v>
      </c>
      <c r="F74" s="56"/>
    </row>
    <row r="75" spans="1:7" x14ac:dyDescent="0.25">
      <c r="A75" s="160" t="s">
        <v>126</v>
      </c>
      <c r="B75" s="37" t="s">
        <v>125</v>
      </c>
      <c r="C75" s="53">
        <f t="shared" si="8"/>
        <v>161291</v>
      </c>
      <c r="D75" s="54">
        <f t="shared" si="8"/>
        <v>30645.29</v>
      </c>
      <c r="E75" s="54">
        <f t="shared" si="8"/>
        <v>191936.29</v>
      </c>
      <c r="F75" s="56"/>
    </row>
    <row r="76" spans="1:7" x14ac:dyDescent="0.25">
      <c r="A76" s="158"/>
      <c r="B76" s="27" t="s">
        <v>129</v>
      </c>
      <c r="C76" s="167">
        <f t="shared" si="8"/>
        <v>50776</v>
      </c>
      <c r="D76" s="168">
        <f t="shared" si="8"/>
        <v>9647.44</v>
      </c>
      <c r="E76" s="168">
        <f t="shared" si="8"/>
        <v>60423.44</v>
      </c>
      <c r="F76" s="56"/>
    </row>
    <row r="77" spans="1:7" x14ac:dyDescent="0.25">
      <c r="A77" s="158"/>
      <c r="B77" s="26" t="s">
        <v>130</v>
      </c>
      <c r="C77" s="167">
        <f t="shared" si="8"/>
        <v>110515</v>
      </c>
      <c r="D77" s="168">
        <f t="shared" si="8"/>
        <v>20997.85</v>
      </c>
      <c r="E77" s="168">
        <f t="shared" si="8"/>
        <v>131512.85</v>
      </c>
      <c r="F77" s="56"/>
    </row>
    <row r="78" spans="1:7" x14ac:dyDescent="0.25">
      <c r="A78" s="160" t="s">
        <v>132</v>
      </c>
      <c r="B78" s="37" t="s">
        <v>131</v>
      </c>
      <c r="C78" s="53">
        <f t="shared" si="8"/>
        <v>0</v>
      </c>
      <c r="D78" s="54">
        <f t="shared" si="8"/>
        <v>0</v>
      </c>
      <c r="E78" s="54">
        <f t="shared" si="8"/>
        <v>0</v>
      </c>
      <c r="F78" s="56"/>
    </row>
    <row r="79" spans="1:7" x14ac:dyDescent="0.25">
      <c r="A79" s="158"/>
      <c r="B79" s="27" t="s">
        <v>133</v>
      </c>
      <c r="C79" s="53">
        <f t="shared" si="8"/>
        <v>0</v>
      </c>
      <c r="D79" s="54">
        <f t="shared" si="8"/>
        <v>0</v>
      </c>
      <c r="E79" s="54">
        <f t="shared" si="8"/>
        <v>0</v>
      </c>
      <c r="F79" s="56"/>
    </row>
    <row r="80" spans="1:7" x14ac:dyDescent="0.25">
      <c r="A80" s="194" t="s">
        <v>7</v>
      </c>
      <c r="B80" s="194"/>
      <c r="C80" s="161">
        <f t="shared" si="8"/>
        <v>3326577.07</v>
      </c>
      <c r="D80" s="162">
        <f t="shared" si="8"/>
        <v>632049.64</v>
      </c>
      <c r="E80" s="162">
        <f t="shared" si="8"/>
        <v>3958626.71</v>
      </c>
      <c r="F80" s="56"/>
    </row>
    <row r="81" spans="1:7" ht="21.6" x14ac:dyDescent="0.25">
      <c r="A81" s="160" t="s">
        <v>30</v>
      </c>
      <c r="B81" s="37" t="s">
        <v>142</v>
      </c>
      <c r="C81" s="53">
        <f t="shared" si="8"/>
        <v>78578.320000000007</v>
      </c>
      <c r="D81" s="54">
        <f t="shared" si="8"/>
        <v>14929.88</v>
      </c>
      <c r="E81" s="54">
        <f t="shared" si="8"/>
        <v>93508.2</v>
      </c>
      <c r="F81" s="56"/>
    </row>
    <row r="82" spans="1:7" x14ac:dyDescent="0.25">
      <c r="A82" s="158"/>
      <c r="B82" s="36" t="s">
        <v>134</v>
      </c>
      <c r="C82" s="167">
        <f t="shared" si="8"/>
        <v>0</v>
      </c>
      <c r="D82" s="168">
        <f t="shared" si="8"/>
        <v>0</v>
      </c>
      <c r="E82" s="168">
        <f t="shared" si="8"/>
        <v>0</v>
      </c>
      <c r="F82" s="56"/>
    </row>
    <row r="83" spans="1:7" x14ac:dyDescent="0.25">
      <c r="A83" s="158"/>
      <c r="B83" s="36" t="s">
        <v>135</v>
      </c>
      <c r="C83" s="167">
        <f t="shared" si="8"/>
        <v>0</v>
      </c>
      <c r="D83" s="168">
        <f t="shared" si="8"/>
        <v>0</v>
      </c>
      <c r="E83" s="168">
        <f t="shared" si="8"/>
        <v>0</v>
      </c>
      <c r="F83" s="56"/>
    </row>
    <row r="84" spans="1:7" x14ac:dyDescent="0.25">
      <c r="A84" s="158"/>
      <c r="B84" s="36" t="s">
        <v>136</v>
      </c>
      <c r="C84" s="167">
        <f t="shared" si="8"/>
        <v>78578.320000000007</v>
      </c>
      <c r="D84" s="168">
        <f t="shared" si="8"/>
        <v>14929.88</v>
      </c>
      <c r="E84" s="168">
        <f t="shared" si="8"/>
        <v>93508.2</v>
      </c>
      <c r="F84" s="56"/>
    </row>
    <row r="85" spans="1:7" x14ac:dyDescent="0.25">
      <c r="A85" s="194" t="s">
        <v>8</v>
      </c>
      <c r="B85" s="194"/>
      <c r="C85" s="161">
        <f t="shared" si="8"/>
        <v>78578.320000000007</v>
      </c>
      <c r="D85" s="162">
        <f t="shared" si="8"/>
        <v>14929.88</v>
      </c>
      <c r="E85" s="162">
        <f t="shared" si="8"/>
        <v>93508.2</v>
      </c>
      <c r="F85" s="56"/>
    </row>
    <row r="86" spans="1:7" ht="32.4" x14ac:dyDescent="0.25">
      <c r="A86" s="160" t="s">
        <v>31</v>
      </c>
      <c r="B86" s="45" t="s">
        <v>143</v>
      </c>
      <c r="C86" s="53">
        <f t="shared" si="8"/>
        <v>523855.44</v>
      </c>
      <c r="D86" s="54">
        <f t="shared" si="8"/>
        <v>99532.53</v>
      </c>
      <c r="E86" s="54">
        <f t="shared" si="8"/>
        <v>623387.97</v>
      </c>
      <c r="F86" s="56"/>
    </row>
    <row r="87" spans="1:7" x14ac:dyDescent="0.25">
      <c r="A87" s="158"/>
      <c r="B87" s="27" t="s">
        <v>137</v>
      </c>
      <c r="C87" s="167">
        <f t="shared" si="8"/>
        <v>0</v>
      </c>
      <c r="D87" s="168">
        <f t="shared" si="8"/>
        <v>0</v>
      </c>
      <c r="E87" s="168">
        <f t="shared" si="8"/>
        <v>0</v>
      </c>
      <c r="F87" s="56"/>
    </row>
    <row r="88" spans="1:7" x14ac:dyDescent="0.25">
      <c r="A88" s="158"/>
      <c r="B88" s="27" t="s">
        <v>138</v>
      </c>
      <c r="C88" s="167">
        <f t="shared" si="8"/>
        <v>0</v>
      </c>
      <c r="D88" s="168">
        <f t="shared" si="8"/>
        <v>0</v>
      </c>
      <c r="E88" s="168">
        <f t="shared" si="8"/>
        <v>0</v>
      </c>
      <c r="F88" s="56"/>
    </row>
    <row r="89" spans="1:7" x14ac:dyDescent="0.25">
      <c r="A89" s="158"/>
      <c r="B89" s="27" t="s">
        <v>139</v>
      </c>
      <c r="C89" s="167">
        <f t="shared" si="8"/>
        <v>523855.44</v>
      </c>
      <c r="D89" s="168">
        <f t="shared" si="8"/>
        <v>99532.53</v>
      </c>
      <c r="E89" s="168">
        <f t="shared" si="8"/>
        <v>623387.97</v>
      </c>
      <c r="F89" s="56"/>
    </row>
    <row r="90" spans="1:7" ht="32.4" x14ac:dyDescent="0.25">
      <c r="A90" s="160" t="s">
        <v>32</v>
      </c>
      <c r="B90" s="37" t="s">
        <v>144</v>
      </c>
      <c r="C90" s="53">
        <f t="shared" si="8"/>
        <v>0</v>
      </c>
      <c r="D90" s="54">
        <f t="shared" si="8"/>
        <v>0</v>
      </c>
      <c r="E90" s="54">
        <f t="shared" si="8"/>
        <v>0</v>
      </c>
      <c r="F90" s="56"/>
    </row>
    <row r="91" spans="1:7" x14ac:dyDescent="0.25">
      <c r="A91" s="160" t="s">
        <v>33</v>
      </c>
      <c r="B91" s="43" t="s">
        <v>145</v>
      </c>
      <c r="C91" s="53">
        <f t="shared" si="8"/>
        <v>4739778.17</v>
      </c>
      <c r="D91" s="54">
        <f t="shared" si="8"/>
        <v>900557.85</v>
      </c>
      <c r="E91" s="54">
        <f t="shared" si="8"/>
        <v>5640336.0199999996</v>
      </c>
      <c r="F91" s="56"/>
      <c r="G91" s="35"/>
    </row>
    <row r="92" spans="1:7" x14ac:dyDescent="0.25">
      <c r="A92" s="160"/>
      <c r="B92" s="44" t="s">
        <v>156</v>
      </c>
      <c r="C92" s="167">
        <f t="shared" si="8"/>
        <v>100062</v>
      </c>
      <c r="D92" s="168">
        <f t="shared" si="8"/>
        <v>19011.78</v>
      </c>
      <c r="E92" s="168">
        <f t="shared" si="8"/>
        <v>119073.78</v>
      </c>
      <c r="F92" s="56"/>
      <c r="G92" s="171"/>
    </row>
    <row r="93" spans="1:7" x14ac:dyDescent="0.25">
      <c r="A93" s="160"/>
      <c r="B93" s="44" t="s">
        <v>164</v>
      </c>
      <c r="C93" s="167">
        <f t="shared" si="8"/>
        <v>638859.65</v>
      </c>
      <c r="D93" s="168">
        <f t="shared" si="8"/>
        <v>121383.33</v>
      </c>
      <c r="E93" s="168">
        <f t="shared" si="8"/>
        <v>760242.98</v>
      </c>
      <c r="F93" s="56"/>
      <c r="G93" s="171"/>
    </row>
    <row r="94" spans="1:7" x14ac:dyDescent="0.25">
      <c r="A94" s="160"/>
      <c r="B94" s="44" t="s">
        <v>165</v>
      </c>
      <c r="C94" s="167">
        <f>ROUND(C41,2)</f>
        <v>3311994.52</v>
      </c>
      <c r="D94" s="168">
        <f>ROUND(D41,2)</f>
        <v>629278.96</v>
      </c>
      <c r="E94" s="168">
        <f>ROUND(E41,2)</f>
        <v>3941273.48</v>
      </c>
      <c r="G94" s="171"/>
    </row>
    <row r="95" spans="1:7" x14ac:dyDescent="0.25">
      <c r="A95" s="160"/>
      <c r="B95" s="44" t="s">
        <v>166</v>
      </c>
      <c r="C95" s="167">
        <f t="shared" si="8"/>
        <v>429135</v>
      </c>
      <c r="D95" s="168">
        <f t="shared" si="8"/>
        <v>81535.649999999994</v>
      </c>
      <c r="E95" s="168">
        <f t="shared" si="8"/>
        <v>510670.65</v>
      </c>
      <c r="F95" s="56"/>
      <c r="G95" s="171"/>
    </row>
    <row r="96" spans="1:7" x14ac:dyDescent="0.25">
      <c r="A96" s="160"/>
      <c r="B96" s="44" t="s">
        <v>167</v>
      </c>
      <c r="C96" s="167">
        <f t="shared" si="8"/>
        <v>259727</v>
      </c>
      <c r="D96" s="168">
        <f t="shared" si="8"/>
        <v>49348.13</v>
      </c>
      <c r="E96" s="168">
        <f t="shared" si="8"/>
        <v>309075.13</v>
      </c>
      <c r="F96" s="56"/>
      <c r="G96" s="171"/>
    </row>
    <row r="97" spans="1:7" x14ac:dyDescent="0.25">
      <c r="A97" s="160" t="s">
        <v>34</v>
      </c>
      <c r="B97" s="37" t="s">
        <v>146</v>
      </c>
      <c r="C97" s="53">
        <f t="shared" si="8"/>
        <v>538706.68000000005</v>
      </c>
      <c r="D97" s="54">
        <f t="shared" si="8"/>
        <v>102354.27</v>
      </c>
      <c r="E97" s="54">
        <f t="shared" si="8"/>
        <v>641060.94999999995</v>
      </c>
      <c r="F97" s="56"/>
      <c r="G97" s="171"/>
    </row>
    <row r="98" spans="1:7" x14ac:dyDescent="0.25">
      <c r="A98" s="160"/>
      <c r="B98" s="44" t="s">
        <v>173</v>
      </c>
      <c r="C98" s="167">
        <f t="shared" si="8"/>
        <v>538706.68000000005</v>
      </c>
      <c r="D98" s="168">
        <f t="shared" si="8"/>
        <v>102354.27</v>
      </c>
      <c r="E98" s="168">
        <f t="shared" si="8"/>
        <v>641060.94999999995</v>
      </c>
      <c r="F98" s="56"/>
      <c r="G98" s="171"/>
    </row>
    <row r="99" spans="1:7" x14ac:dyDescent="0.25">
      <c r="A99" s="194" t="s">
        <v>9</v>
      </c>
      <c r="B99" s="194"/>
      <c r="C99" s="161">
        <f t="shared" si="8"/>
        <v>5802340.29</v>
      </c>
      <c r="D99" s="162">
        <f t="shared" si="8"/>
        <v>1102444.6599999999</v>
      </c>
      <c r="E99" s="162">
        <f t="shared" si="8"/>
        <v>6904784.9500000002</v>
      </c>
      <c r="F99" s="56"/>
      <c r="G99" s="171"/>
    </row>
    <row r="100" spans="1:7" x14ac:dyDescent="0.25">
      <c r="A100" s="195" t="s">
        <v>10</v>
      </c>
      <c r="B100" s="195"/>
      <c r="C100" s="163">
        <f t="shared" si="8"/>
        <v>9207495.6799999997</v>
      </c>
      <c r="D100" s="164">
        <f t="shared" si="8"/>
        <v>1749424.18</v>
      </c>
      <c r="E100" s="164">
        <f t="shared" si="8"/>
        <v>10956919.859999999</v>
      </c>
      <c r="F100" s="56"/>
      <c r="G100" s="171"/>
    </row>
    <row r="101" spans="1:7" ht="24" customHeight="1" x14ac:dyDescent="0.25">
      <c r="A101" s="196" t="s">
        <v>154</v>
      </c>
      <c r="B101" s="197"/>
      <c r="C101" s="197"/>
      <c r="D101" s="197"/>
      <c r="E101" s="197"/>
    </row>
    <row r="102" spans="1:7" ht="45.75" customHeight="1" x14ac:dyDescent="0.25">
      <c r="A102" s="186" t="s">
        <v>174</v>
      </c>
      <c r="B102" s="187"/>
      <c r="C102" s="187"/>
      <c r="D102" s="187"/>
      <c r="E102" s="187"/>
    </row>
  </sheetData>
  <mergeCells count="22">
    <mergeCell ref="A102:E102"/>
    <mergeCell ref="A80:B80"/>
    <mergeCell ref="A85:B85"/>
    <mergeCell ref="A99:B99"/>
    <mergeCell ref="A100:B100"/>
    <mergeCell ref="A101:E101"/>
    <mergeCell ref="A54:E55"/>
    <mergeCell ref="A56:E56"/>
    <mergeCell ref="A57:E57"/>
    <mergeCell ref="A58:E58"/>
    <mergeCell ref="A61:E61"/>
    <mergeCell ref="A32:B32"/>
    <mergeCell ref="A46:B46"/>
    <mergeCell ref="A47:B47"/>
    <mergeCell ref="A48:E48"/>
    <mergeCell ref="A49:E49"/>
    <mergeCell ref="A27:B27"/>
    <mergeCell ref="A1:E2"/>
    <mergeCell ref="A3:E3"/>
    <mergeCell ref="A4:E4"/>
    <mergeCell ref="A5:E5"/>
    <mergeCell ref="A8:E8"/>
  </mergeCells>
  <pageMargins left="0.7" right="0.7" top="0.75" bottom="0.75" header="0.3" footer="0.3"/>
  <pageSetup paperSize="9" scale="98" orientation="portrait" copies="3" r:id="rId1"/>
  <headerFooter>
    <oddHeader>&amp;LProiectant : SC 9H BIROU ARHITECTURA S.R.L.
Beneficiar: SPITALUL DE RECUPEREARE BRADET</oddHeader>
  </headerFooter>
  <rowBreaks count="1" manualBreakCount="1">
    <brk id="5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opLeftCell="A62" zoomScaleNormal="100" zoomScalePageLayoutView="85" workbookViewId="0">
      <selection activeCell="E81" sqref="E81"/>
    </sheetView>
  </sheetViews>
  <sheetFormatPr defaultRowHeight="13.2" x14ac:dyDescent="0.25"/>
  <cols>
    <col min="1" max="1" width="9.44140625" customWidth="1"/>
    <col min="2" max="2" width="38" customWidth="1"/>
    <col min="3" max="4" width="17.77734375" customWidth="1"/>
    <col min="5" max="5" width="17.6640625" customWidth="1"/>
    <col min="6" max="6" width="15.77734375" customWidth="1"/>
    <col min="7" max="7" width="14.77734375" customWidth="1"/>
  </cols>
  <sheetData>
    <row r="1" spans="1:7" x14ac:dyDescent="0.25">
      <c r="A1" s="202" t="s">
        <v>155</v>
      </c>
      <c r="B1" s="203"/>
      <c r="C1" s="203"/>
      <c r="D1" s="203"/>
      <c r="E1" s="204"/>
    </row>
    <row r="2" spans="1:7" x14ac:dyDescent="0.25">
      <c r="A2" s="205"/>
      <c r="B2" s="206"/>
      <c r="C2" s="206"/>
      <c r="D2" s="206"/>
      <c r="E2" s="207"/>
    </row>
    <row r="3" spans="1:7" ht="12" customHeight="1" x14ac:dyDescent="0.25">
      <c r="A3" s="208" t="s">
        <v>0</v>
      </c>
      <c r="B3" s="208"/>
      <c r="C3" s="208"/>
      <c r="D3" s="208"/>
      <c r="E3" s="208"/>
    </row>
    <row r="4" spans="1:7" ht="64.2" customHeight="1" x14ac:dyDescent="0.25">
      <c r="A4" s="180" t="s">
        <v>150</v>
      </c>
      <c r="B4" s="209"/>
      <c r="C4" s="209"/>
      <c r="D4" s="209"/>
      <c r="E4" s="210"/>
    </row>
    <row r="5" spans="1:7" ht="12" customHeight="1" x14ac:dyDescent="0.25">
      <c r="A5" s="183" t="s">
        <v>152</v>
      </c>
      <c r="B5" s="199"/>
      <c r="C5" s="199"/>
      <c r="D5" s="199"/>
      <c r="E5" s="199"/>
      <c r="G5" s="35"/>
    </row>
    <row r="6" spans="1:7" ht="37.200000000000003" customHeight="1" x14ac:dyDescent="0.25">
      <c r="A6" s="89" t="s">
        <v>1</v>
      </c>
      <c r="B6" s="90" t="s">
        <v>2</v>
      </c>
      <c r="C6" s="91" t="s">
        <v>169</v>
      </c>
      <c r="D6" s="91" t="s">
        <v>170</v>
      </c>
      <c r="E6" s="91" t="s">
        <v>171</v>
      </c>
      <c r="G6" s="35"/>
    </row>
    <row r="7" spans="1:7" ht="13.2" customHeight="1" x14ac:dyDescent="0.25">
      <c r="A7" s="92">
        <v>1</v>
      </c>
      <c r="B7" s="92">
        <v>2</v>
      </c>
      <c r="C7" s="92">
        <v>3</v>
      </c>
      <c r="D7" s="92">
        <v>4</v>
      </c>
      <c r="E7" s="92">
        <v>5</v>
      </c>
      <c r="G7" s="35"/>
    </row>
    <row r="8" spans="1:7" x14ac:dyDescent="0.25">
      <c r="A8" s="198" t="s">
        <v>6</v>
      </c>
      <c r="B8" s="198"/>
      <c r="C8" s="198"/>
      <c r="D8" s="198"/>
      <c r="E8" s="198"/>
      <c r="G8" s="35"/>
    </row>
    <row r="9" spans="1:7" x14ac:dyDescent="0.25">
      <c r="A9" s="62" t="s">
        <v>29</v>
      </c>
      <c r="B9" s="93" t="s">
        <v>141</v>
      </c>
      <c r="C9" s="94">
        <f>SUM(C10+C11+C14+C16+C18+C21)</f>
        <v>1487417.5</v>
      </c>
      <c r="D9" s="95">
        <f>C9*0.19</f>
        <v>282609.32500000001</v>
      </c>
      <c r="E9" s="95">
        <f>SUM(D9+C9)</f>
        <v>1770026.825</v>
      </c>
      <c r="F9" s="35"/>
      <c r="G9" s="35"/>
    </row>
    <row r="10" spans="1:7" x14ac:dyDescent="0.25">
      <c r="A10" s="62" t="s">
        <v>112</v>
      </c>
      <c r="B10" s="93" t="s">
        <v>111</v>
      </c>
      <c r="C10" s="94">
        <v>0</v>
      </c>
      <c r="D10" s="96" t="e">
        <f>SUM(#REF!)</f>
        <v>#REF!</v>
      </c>
      <c r="E10" s="96" t="e">
        <f>SUM(#REF!)</f>
        <v>#REF!</v>
      </c>
      <c r="F10" s="35"/>
      <c r="G10" s="35"/>
    </row>
    <row r="11" spans="1:7" x14ac:dyDescent="0.25">
      <c r="A11" s="62" t="s">
        <v>110</v>
      </c>
      <c r="B11" s="93" t="s">
        <v>148</v>
      </c>
      <c r="C11" s="97">
        <f>SUM(C12:C13)</f>
        <v>1319402.5</v>
      </c>
      <c r="D11" s="98">
        <f>SUM(D12:D13)</f>
        <v>250686.47500000001</v>
      </c>
      <c r="E11" s="98">
        <f>SUM(E12:E13)</f>
        <v>1570088.9750000001</v>
      </c>
      <c r="F11" s="35"/>
      <c r="G11" s="35"/>
    </row>
    <row r="12" spans="1:7" x14ac:dyDescent="0.25">
      <c r="A12" s="70"/>
      <c r="B12" s="99" t="s">
        <v>157</v>
      </c>
      <c r="C12" s="100">
        <v>51102.5</v>
      </c>
      <c r="D12" s="101">
        <f t="shared" ref="D12:D13" si="0">C12*0.19</f>
        <v>9709.4750000000004</v>
      </c>
      <c r="E12" s="101">
        <f t="shared" ref="E12:E13" si="1">C12+D12</f>
        <v>60811.974999999999</v>
      </c>
      <c r="F12" s="35"/>
      <c r="G12" s="35"/>
    </row>
    <row r="13" spans="1:7" x14ac:dyDescent="0.25">
      <c r="A13" s="70"/>
      <c r="B13" s="99" t="s">
        <v>158</v>
      </c>
      <c r="C13" s="100">
        <v>1268300</v>
      </c>
      <c r="D13" s="101">
        <f t="shared" si="0"/>
        <v>240977</v>
      </c>
      <c r="E13" s="101">
        <f t="shared" si="1"/>
        <v>1509277</v>
      </c>
      <c r="F13" s="35"/>
      <c r="G13" s="35"/>
    </row>
    <row r="14" spans="1:7" x14ac:dyDescent="0.25">
      <c r="A14" s="62" t="s">
        <v>119</v>
      </c>
      <c r="B14" s="93" t="s">
        <v>120</v>
      </c>
      <c r="C14" s="97">
        <f>SUM(C15:C15)</f>
        <v>58521</v>
      </c>
      <c r="D14" s="98">
        <f>SUM(D15:D15)</f>
        <v>11118.99</v>
      </c>
      <c r="E14" s="98">
        <f>SUM(E15:E15)</f>
        <v>69639.990000000005</v>
      </c>
      <c r="F14" s="35"/>
      <c r="G14" s="35"/>
    </row>
    <row r="15" spans="1:7" x14ac:dyDescent="0.25">
      <c r="A15" s="70"/>
      <c r="B15" s="99" t="s">
        <v>121</v>
      </c>
      <c r="C15" s="100">
        <v>58521</v>
      </c>
      <c r="D15" s="101">
        <f>C15*0.19</f>
        <v>11118.99</v>
      </c>
      <c r="E15" s="101">
        <f>D15+C15</f>
        <v>69639.990000000005</v>
      </c>
      <c r="F15" s="35"/>
      <c r="G15" s="35"/>
    </row>
    <row r="16" spans="1:7" x14ac:dyDescent="0.25">
      <c r="A16" s="62" t="s">
        <v>124</v>
      </c>
      <c r="B16" s="93" t="s">
        <v>123</v>
      </c>
      <c r="C16" s="97">
        <f>SUM(C17:C17)</f>
        <v>109494</v>
      </c>
      <c r="D16" s="98">
        <f>SUM(D17:D17)</f>
        <v>20803.86</v>
      </c>
      <c r="E16" s="98">
        <f>SUM(E17:E17)</f>
        <v>130297.86</v>
      </c>
      <c r="F16" s="35"/>
      <c r="G16" s="35"/>
    </row>
    <row r="17" spans="1:7" x14ac:dyDescent="0.25">
      <c r="A17" s="70"/>
      <c r="B17" s="99" t="s">
        <v>127</v>
      </c>
      <c r="C17" s="100">
        <v>109494</v>
      </c>
      <c r="D17" s="101">
        <f>C17*0.19</f>
        <v>20803.86</v>
      </c>
      <c r="E17" s="101">
        <f>SUM(C17:D17)</f>
        <v>130297.86</v>
      </c>
      <c r="F17" s="35"/>
      <c r="G17" s="35"/>
    </row>
    <row r="18" spans="1:7" x14ac:dyDescent="0.25">
      <c r="A18" s="62" t="s">
        <v>126</v>
      </c>
      <c r="B18" s="93" t="s">
        <v>125</v>
      </c>
      <c r="C18" s="97">
        <f>SUM(C19:C20)</f>
        <v>0</v>
      </c>
      <c r="D18" s="98">
        <f t="shared" ref="D18:E18" si="2">SUM(D19:D20)</f>
        <v>0</v>
      </c>
      <c r="E18" s="98">
        <f t="shared" si="2"/>
        <v>0</v>
      </c>
      <c r="F18" s="35"/>
      <c r="G18" s="35"/>
    </row>
    <row r="19" spans="1:7" x14ac:dyDescent="0.25">
      <c r="A19" s="70"/>
      <c r="B19" s="102" t="s">
        <v>129</v>
      </c>
      <c r="C19" s="100">
        <v>0</v>
      </c>
      <c r="D19" s="101">
        <f>C19*0.19</f>
        <v>0</v>
      </c>
      <c r="E19" s="101">
        <f>D19+C19</f>
        <v>0</v>
      </c>
      <c r="F19" s="35"/>
      <c r="G19" s="35"/>
    </row>
    <row r="20" spans="1:7" x14ac:dyDescent="0.25">
      <c r="A20" s="70"/>
      <c r="B20" s="99" t="s">
        <v>130</v>
      </c>
      <c r="C20" s="100">
        <f>0</f>
        <v>0</v>
      </c>
      <c r="D20" s="101">
        <f>C20*0.19</f>
        <v>0</v>
      </c>
      <c r="E20" s="101">
        <f>D20+C20</f>
        <v>0</v>
      </c>
      <c r="F20" s="35"/>
      <c r="G20" s="35"/>
    </row>
    <row r="21" spans="1:7" x14ac:dyDescent="0.25">
      <c r="A21" s="62" t="s">
        <v>132</v>
      </c>
      <c r="B21" s="93" t="s">
        <v>131</v>
      </c>
      <c r="C21" s="97">
        <f>SUM(C22)</f>
        <v>0</v>
      </c>
      <c r="D21" s="98">
        <f t="shared" ref="D21:E21" si="3">SUM(D22)</f>
        <v>0</v>
      </c>
      <c r="E21" s="98">
        <f t="shared" si="3"/>
        <v>0</v>
      </c>
      <c r="F21" s="35"/>
      <c r="G21" s="35"/>
    </row>
    <row r="22" spans="1:7" x14ac:dyDescent="0.25">
      <c r="A22" s="70"/>
      <c r="B22" s="102" t="s">
        <v>133</v>
      </c>
      <c r="C22" s="100">
        <v>0</v>
      </c>
      <c r="D22" s="101">
        <f>C22*0.19</f>
        <v>0</v>
      </c>
      <c r="E22" s="101">
        <f>D22+C22</f>
        <v>0</v>
      </c>
      <c r="F22" s="35"/>
      <c r="G22" s="35"/>
    </row>
    <row r="23" spans="1:7" x14ac:dyDescent="0.25">
      <c r="A23" s="198" t="s">
        <v>7</v>
      </c>
      <c r="B23" s="198"/>
      <c r="C23" s="103">
        <f>SUM(C9)</f>
        <v>1487417.5</v>
      </c>
      <c r="D23" s="95">
        <f>SUM(D9)</f>
        <v>282609.32500000001</v>
      </c>
      <c r="E23" s="95">
        <f>SUM(E9)</f>
        <v>1770026.825</v>
      </c>
      <c r="F23" s="35"/>
      <c r="G23" s="35"/>
    </row>
    <row r="24" spans="1:7" ht="21.6" x14ac:dyDescent="0.25">
      <c r="A24" s="62" t="s">
        <v>30</v>
      </c>
      <c r="B24" s="93" t="s">
        <v>142</v>
      </c>
      <c r="C24" s="103">
        <f>SUM(C25:C27)</f>
        <v>0</v>
      </c>
      <c r="D24" s="95">
        <f>C24*0.19</f>
        <v>0</v>
      </c>
      <c r="E24" s="95">
        <f t="shared" ref="E24:E32" si="4">SUM(D24+C24)</f>
        <v>0</v>
      </c>
      <c r="F24" s="35"/>
      <c r="G24" s="35"/>
    </row>
    <row r="25" spans="1:7" x14ac:dyDescent="0.25">
      <c r="A25" s="70"/>
      <c r="B25" s="104" t="s">
        <v>134</v>
      </c>
      <c r="C25" s="105">
        <v>0</v>
      </c>
      <c r="D25" s="101">
        <f>C25*0.19</f>
        <v>0</v>
      </c>
      <c r="E25" s="101">
        <f t="shared" si="4"/>
        <v>0</v>
      </c>
      <c r="F25" s="35"/>
      <c r="G25" s="35"/>
    </row>
    <row r="26" spans="1:7" x14ac:dyDescent="0.25">
      <c r="A26" s="70"/>
      <c r="B26" s="104" t="s">
        <v>135</v>
      </c>
      <c r="C26" s="105">
        <v>0</v>
      </c>
      <c r="D26" s="101">
        <f>C26*0.19</f>
        <v>0</v>
      </c>
      <c r="E26" s="101">
        <f t="shared" si="4"/>
        <v>0</v>
      </c>
      <c r="F26" s="35"/>
      <c r="G26" s="35"/>
    </row>
    <row r="27" spans="1:7" x14ac:dyDescent="0.25">
      <c r="A27" s="70"/>
      <c r="B27" s="104" t="s">
        <v>136</v>
      </c>
      <c r="C27" s="105">
        <v>0</v>
      </c>
      <c r="D27" s="101">
        <f>C27*0.19</f>
        <v>0</v>
      </c>
      <c r="E27" s="101">
        <f t="shared" si="4"/>
        <v>0</v>
      </c>
      <c r="F27" s="35"/>
      <c r="G27" s="35"/>
    </row>
    <row r="28" spans="1:7" x14ac:dyDescent="0.25">
      <c r="A28" s="198" t="s">
        <v>8</v>
      </c>
      <c r="B28" s="198"/>
      <c r="C28" s="103">
        <f>SUM(C24)</f>
        <v>0</v>
      </c>
      <c r="D28" s="95">
        <f>SUM(D24)</f>
        <v>0</v>
      </c>
      <c r="E28" s="95">
        <f>SUM(E24)</f>
        <v>0</v>
      </c>
      <c r="F28" s="35"/>
      <c r="G28" s="35"/>
    </row>
    <row r="29" spans="1:7" ht="32.4" x14ac:dyDescent="0.25">
      <c r="A29" s="62" t="s">
        <v>31</v>
      </c>
      <c r="B29" s="93" t="s">
        <v>143</v>
      </c>
      <c r="C29" s="103">
        <f>SUM(C30:C32)</f>
        <v>0</v>
      </c>
      <c r="D29" s="95">
        <f>C29*0.19</f>
        <v>0</v>
      </c>
      <c r="E29" s="95">
        <f t="shared" si="4"/>
        <v>0</v>
      </c>
      <c r="F29" s="35"/>
      <c r="G29" s="35"/>
    </row>
    <row r="30" spans="1:7" x14ac:dyDescent="0.25">
      <c r="A30" s="70"/>
      <c r="B30" s="102" t="s">
        <v>137</v>
      </c>
      <c r="C30" s="105">
        <v>0</v>
      </c>
      <c r="D30" s="101">
        <f>C30*0.19</f>
        <v>0</v>
      </c>
      <c r="E30" s="101">
        <f t="shared" si="4"/>
        <v>0</v>
      </c>
      <c r="F30" s="35"/>
      <c r="G30" s="35"/>
    </row>
    <row r="31" spans="1:7" x14ac:dyDescent="0.25">
      <c r="A31" s="70"/>
      <c r="B31" s="102" t="s">
        <v>138</v>
      </c>
      <c r="C31" s="105">
        <v>0</v>
      </c>
      <c r="D31" s="101">
        <f>C31*0.19</f>
        <v>0</v>
      </c>
      <c r="E31" s="101">
        <f t="shared" si="4"/>
        <v>0</v>
      </c>
      <c r="F31" s="35"/>
      <c r="G31" s="35"/>
    </row>
    <row r="32" spans="1:7" x14ac:dyDescent="0.25">
      <c r="A32" s="70"/>
      <c r="B32" s="102" t="s">
        <v>139</v>
      </c>
      <c r="C32" s="105">
        <v>0</v>
      </c>
      <c r="D32" s="101">
        <f>C32*0.19</f>
        <v>0</v>
      </c>
      <c r="E32" s="101">
        <f t="shared" si="4"/>
        <v>0</v>
      </c>
      <c r="F32" s="35"/>
      <c r="G32" s="35"/>
    </row>
    <row r="33" spans="1:7" ht="32.4" x14ac:dyDescent="0.25">
      <c r="A33" s="62" t="s">
        <v>32</v>
      </c>
      <c r="B33" s="93" t="s">
        <v>144</v>
      </c>
      <c r="C33" s="103">
        <v>0</v>
      </c>
      <c r="D33" s="95">
        <v>0</v>
      </c>
      <c r="E33" s="95">
        <v>0</v>
      </c>
      <c r="F33" s="35"/>
      <c r="G33" s="35"/>
    </row>
    <row r="34" spans="1:7" x14ac:dyDescent="0.25">
      <c r="A34" s="62" t="s">
        <v>33</v>
      </c>
      <c r="B34" s="82" t="s">
        <v>145</v>
      </c>
      <c r="C34" s="94">
        <f>C35</f>
        <v>1975600</v>
      </c>
      <c r="D34" s="95">
        <f>C34*0.19</f>
        <v>375364</v>
      </c>
      <c r="E34" s="95">
        <f>SUM(D34+C34)</f>
        <v>2350964</v>
      </c>
      <c r="F34" s="35"/>
      <c r="G34" s="35"/>
    </row>
    <row r="35" spans="1:7" x14ac:dyDescent="0.25">
      <c r="A35" s="62"/>
      <c r="B35" s="83" t="s">
        <v>159</v>
      </c>
      <c r="C35" s="94">
        <v>1975600</v>
      </c>
      <c r="D35" s="95">
        <f>C35*0.19</f>
        <v>375364</v>
      </c>
      <c r="E35" s="95">
        <f>SUM(D35+C35)</f>
        <v>2350964</v>
      </c>
      <c r="F35" s="35"/>
      <c r="G35" s="35"/>
    </row>
    <row r="36" spans="1:7" x14ac:dyDescent="0.25">
      <c r="A36" s="62" t="s">
        <v>34</v>
      </c>
      <c r="B36" s="93" t="s">
        <v>146</v>
      </c>
      <c r="C36" s="94">
        <v>0</v>
      </c>
      <c r="D36" s="95">
        <v>0</v>
      </c>
      <c r="E36" s="95">
        <v>0</v>
      </c>
      <c r="F36" s="35"/>
      <c r="G36" s="35"/>
    </row>
    <row r="37" spans="1:7" x14ac:dyDescent="0.25">
      <c r="A37" s="198" t="s">
        <v>9</v>
      </c>
      <c r="B37" s="198"/>
      <c r="C37" s="103">
        <f>SUM(C29+C33+C34+C36)</f>
        <v>1975600</v>
      </c>
      <c r="D37" s="95">
        <f>SUM(D29+D33+D34+D36)</f>
        <v>375364</v>
      </c>
      <c r="E37" s="95">
        <f>SUM(E29+E33+E34+E36)</f>
        <v>2350964</v>
      </c>
      <c r="F37" s="35"/>
      <c r="G37" s="35"/>
    </row>
    <row r="38" spans="1:7" x14ac:dyDescent="0.25">
      <c r="A38" s="198" t="s">
        <v>172</v>
      </c>
      <c r="B38" s="198"/>
      <c r="C38" s="103">
        <f>SUM(C28+C23+C37)</f>
        <v>3463017.5</v>
      </c>
      <c r="D38" s="95">
        <f>SUM(D28+D23+D37)</f>
        <v>657973.32499999995</v>
      </c>
      <c r="E38" s="95">
        <f>SUM(E28+E23+E37)</f>
        <v>4120990.8250000002</v>
      </c>
      <c r="F38" s="35"/>
      <c r="G38" s="35"/>
    </row>
    <row r="39" spans="1:7" ht="25.2" customHeight="1" x14ac:dyDescent="0.25">
      <c r="A39" s="185" t="s">
        <v>154</v>
      </c>
      <c r="B39" s="199"/>
      <c r="C39" s="199"/>
      <c r="D39" s="199"/>
      <c r="E39" s="199"/>
    </row>
    <row r="40" spans="1:7" ht="45" customHeight="1" x14ac:dyDescent="0.25">
      <c r="A40" s="200" t="s">
        <v>153</v>
      </c>
      <c r="B40" s="201"/>
      <c r="C40" s="201"/>
      <c r="D40" s="201"/>
      <c r="E40" s="201"/>
    </row>
    <row r="44" spans="1:7" x14ac:dyDescent="0.25">
      <c r="A44" s="188" t="s">
        <v>155</v>
      </c>
      <c r="B44" s="189"/>
      <c r="C44" s="189"/>
      <c r="D44" s="189"/>
      <c r="E44" s="189"/>
    </row>
    <row r="45" spans="1:7" x14ac:dyDescent="0.25">
      <c r="A45" s="189"/>
      <c r="B45" s="189"/>
      <c r="C45" s="189"/>
      <c r="D45" s="189"/>
      <c r="E45" s="189"/>
    </row>
    <row r="46" spans="1:7" x14ac:dyDescent="0.25">
      <c r="A46" s="189" t="s">
        <v>0</v>
      </c>
      <c r="B46" s="189"/>
      <c r="C46" s="189"/>
      <c r="D46" s="189"/>
      <c r="E46" s="189"/>
    </row>
    <row r="47" spans="1:7" x14ac:dyDescent="0.25">
      <c r="A47" s="190" t="s">
        <v>150</v>
      </c>
      <c r="B47" s="191"/>
      <c r="C47" s="191"/>
      <c r="D47" s="191"/>
      <c r="E47" s="191"/>
    </row>
    <row r="48" spans="1:7" x14ac:dyDescent="0.25">
      <c r="A48" s="192" t="s">
        <v>152</v>
      </c>
      <c r="B48" s="189"/>
      <c r="C48" s="189"/>
      <c r="D48" s="189"/>
      <c r="E48" s="189"/>
    </row>
    <row r="49" spans="1:5" ht="20.399999999999999" x14ac:dyDescent="0.25">
      <c r="A49" s="159" t="s">
        <v>1</v>
      </c>
      <c r="B49" s="40" t="s">
        <v>2</v>
      </c>
      <c r="C49" s="41" t="s">
        <v>3</v>
      </c>
      <c r="D49" s="41" t="s">
        <v>4</v>
      </c>
      <c r="E49" s="41" t="s">
        <v>5</v>
      </c>
    </row>
    <row r="50" spans="1:5" x14ac:dyDescent="0.25">
      <c r="A50" s="42">
        <v>1</v>
      </c>
      <c r="B50" s="42">
        <v>2</v>
      </c>
      <c r="C50" s="42">
        <v>3</v>
      </c>
      <c r="D50" s="42">
        <v>4</v>
      </c>
      <c r="E50" s="42">
        <v>5</v>
      </c>
    </row>
    <row r="51" spans="1:5" x14ac:dyDescent="0.25">
      <c r="A51" s="193" t="s">
        <v>6</v>
      </c>
      <c r="B51" s="193"/>
      <c r="C51" s="193"/>
      <c r="D51" s="193"/>
      <c r="E51" s="193"/>
    </row>
    <row r="52" spans="1:5" x14ac:dyDescent="0.25">
      <c r="A52" s="160" t="s">
        <v>29</v>
      </c>
      <c r="B52" s="37" t="s">
        <v>141</v>
      </c>
      <c r="C52" s="39">
        <f>ROUND(C9,2)</f>
        <v>1487417.5</v>
      </c>
      <c r="D52" s="38">
        <f>ROUND(D9,2)</f>
        <v>282609.33</v>
      </c>
      <c r="E52" s="38">
        <f>ROUND(E9,2)</f>
        <v>1770026.83</v>
      </c>
    </row>
    <row r="53" spans="1:5" x14ac:dyDescent="0.25">
      <c r="A53" s="160" t="s">
        <v>112</v>
      </c>
      <c r="B53" s="37" t="s">
        <v>111</v>
      </c>
      <c r="C53" s="39">
        <f t="shared" ref="C53:E81" si="5">ROUND(C10,2)</f>
        <v>0</v>
      </c>
      <c r="D53" s="38" t="e">
        <f t="shared" si="5"/>
        <v>#REF!</v>
      </c>
      <c r="E53" s="38" t="e">
        <f t="shared" si="5"/>
        <v>#REF!</v>
      </c>
    </row>
    <row r="54" spans="1:5" x14ac:dyDescent="0.25">
      <c r="A54" s="160" t="s">
        <v>110</v>
      </c>
      <c r="B54" s="37" t="s">
        <v>148</v>
      </c>
      <c r="C54" s="39">
        <f t="shared" si="5"/>
        <v>1319402.5</v>
      </c>
      <c r="D54" s="38">
        <f t="shared" si="5"/>
        <v>250686.48</v>
      </c>
      <c r="E54" s="38">
        <f t="shared" si="5"/>
        <v>1570088.98</v>
      </c>
    </row>
    <row r="55" spans="1:5" x14ac:dyDescent="0.25">
      <c r="A55" s="158"/>
      <c r="B55" s="26" t="s">
        <v>157</v>
      </c>
      <c r="C55" s="165">
        <f t="shared" si="5"/>
        <v>51102.5</v>
      </c>
      <c r="D55" s="166">
        <f t="shared" si="5"/>
        <v>9709.48</v>
      </c>
      <c r="E55" s="166">
        <f t="shared" si="5"/>
        <v>60811.98</v>
      </c>
    </row>
    <row r="56" spans="1:5" x14ac:dyDescent="0.25">
      <c r="A56" s="158"/>
      <c r="B56" s="26" t="s">
        <v>158</v>
      </c>
      <c r="C56" s="165">
        <f t="shared" si="5"/>
        <v>1268300</v>
      </c>
      <c r="D56" s="166">
        <f t="shared" si="5"/>
        <v>240977</v>
      </c>
      <c r="E56" s="166">
        <f t="shared" si="5"/>
        <v>1509277</v>
      </c>
    </row>
    <row r="57" spans="1:5" x14ac:dyDescent="0.25">
      <c r="A57" s="160" t="s">
        <v>119</v>
      </c>
      <c r="B57" s="37" t="s">
        <v>120</v>
      </c>
      <c r="C57" s="39">
        <f t="shared" si="5"/>
        <v>58521</v>
      </c>
      <c r="D57" s="38">
        <f t="shared" si="5"/>
        <v>11118.99</v>
      </c>
      <c r="E57" s="38">
        <f t="shared" si="5"/>
        <v>69639.990000000005</v>
      </c>
    </row>
    <row r="58" spans="1:5" x14ac:dyDescent="0.25">
      <c r="A58" s="158"/>
      <c r="B58" s="26" t="s">
        <v>121</v>
      </c>
      <c r="C58" s="165">
        <f t="shared" si="5"/>
        <v>58521</v>
      </c>
      <c r="D58" s="166">
        <f t="shared" si="5"/>
        <v>11118.99</v>
      </c>
      <c r="E58" s="166">
        <f t="shared" si="5"/>
        <v>69639.990000000005</v>
      </c>
    </row>
    <row r="59" spans="1:5" x14ac:dyDescent="0.25">
      <c r="A59" s="160" t="s">
        <v>124</v>
      </c>
      <c r="B59" s="37" t="s">
        <v>123</v>
      </c>
      <c r="C59" s="39">
        <f t="shared" si="5"/>
        <v>109494</v>
      </c>
      <c r="D59" s="38">
        <f t="shared" si="5"/>
        <v>20803.86</v>
      </c>
      <c r="E59" s="38">
        <f t="shared" si="5"/>
        <v>130297.86</v>
      </c>
    </row>
    <row r="60" spans="1:5" x14ac:dyDescent="0.25">
      <c r="A60" s="158"/>
      <c r="B60" s="26" t="s">
        <v>127</v>
      </c>
      <c r="C60" s="165">
        <f t="shared" si="5"/>
        <v>109494</v>
      </c>
      <c r="D60" s="166">
        <f t="shared" si="5"/>
        <v>20803.86</v>
      </c>
      <c r="E60" s="166">
        <f t="shared" si="5"/>
        <v>130297.86</v>
      </c>
    </row>
    <row r="61" spans="1:5" x14ac:dyDescent="0.25">
      <c r="A61" s="160" t="s">
        <v>126</v>
      </c>
      <c r="B61" s="37" t="s">
        <v>125</v>
      </c>
      <c r="C61" s="39">
        <f t="shared" si="5"/>
        <v>0</v>
      </c>
      <c r="D61" s="38">
        <f t="shared" si="5"/>
        <v>0</v>
      </c>
      <c r="E61" s="38">
        <f t="shared" si="5"/>
        <v>0</v>
      </c>
    </row>
    <row r="62" spans="1:5" x14ac:dyDescent="0.25">
      <c r="A62" s="158"/>
      <c r="B62" s="27" t="s">
        <v>129</v>
      </c>
      <c r="C62" s="165">
        <f t="shared" si="5"/>
        <v>0</v>
      </c>
      <c r="D62" s="166">
        <f t="shared" si="5"/>
        <v>0</v>
      </c>
      <c r="E62" s="166">
        <f t="shared" si="5"/>
        <v>0</v>
      </c>
    </row>
    <row r="63" spans="1:5" x14ac:dyDescent="0.25">
      <c r="A63" s="158"/>
      <c r="B63" s="26" t="s">
        <v>130</v>
      </c>
      <c r="C63" s="165">
        <f t="shared" si="5"/>
        <v>0</v>
      </c>
      <c r="D63" s="166">
        <f t="shared" si="5"/>
        <v>0</v>
      </c>
      <c r="E63" s="166">
        <f t="shared" si="5"/>
        <v>0</v>
      </c>
    </row>
    <row r="64" spans="1:5" x14ac:dyDescent="0.25">
      <c r="A64" s="160" t="s">
        <v>132</v>
      </c>
      <c r="B64" s="37" t="s">
        <v>131</v>
      </c>
      <c r="C64" s="39">
        <f t="shared" si="5"/>
        <v>0</v>
      </c>
      <c r="D64" s="38">
        <f t="shared" si="5"/>
        <v>0</v>
      </c>
      <c r="E64" s="38">
        <f t="shared" si="5"/>
        <v>0</v>
      </c>
    </row>
    <row r="65" spans="1:5" x14ac:dyDescent="0.25">
      <c r="A65" s="158"/>
      <c r="B65" s="27" t="s">
        <v>133</v>
      </c>
      <c r="C65" s="165">
        <f t="shared" si="5"/>
        <v>0</v>
      </c>
      <c r="D65" s="166">
        <f t="shared" si="5"/>
        <v>0</v>
      </c>
      <c r="E65" s="166">
        <f t="shared" si="5"/>
        <v>0</v>
      </c>
    </row>
    <row r="66" spans="1:5" x14ac:dyDescent="0.25">
      <c r="A66" s="211" t="s">
        <v>7</v>
      </c>
      <c r="B66" s="211"/>
      <c r="C66" s="85">
        <f t="shared" si="5"/>
        <v>1487417.5</v>
      </c>
      <c r="D66" s="86">
        <f t="shared" si="5"/>
        <v>282609.33</v>
      </c>
      <c r="E66" s="86">
        <f t="shared" si="5"/>
        <v>1770026.83</v>
      </c>
    </row>
    <row r="67" spans="1:5" ht="21.6" x14ac:dyDescent="0.25">
      <c r="A67" s="160" t="s">
        <v>30</v>
      </c>
      <c r="B67" s="37" t="s">
        <v>142</v>
      </c>
      <c r="C67" s="39">
        <f t="shared" si="5"/>
        <v>0</v>
      </c>
      <c r="D67" s="38">
        <f t="shared" si="5"/>
        <v>0</v>
      </c>
      <c r="E67" s="38">
        <f t="shared" si="5"/>
        <v>0</v>
      </c>
    </row>
    <row r="68" spans="1:5" x14ac:dyDescent="0.25">
      <c r="A68" s="158"/>
      <c r="B68" s="36" t="s">
        <v>134</v>
      </c>
      <c r="C68" s="165">
        <f t="shared" si="5"/>
        <v>0</v>
      </c>
      <c r="D68" s="166">
        <f t="shared" si="5"/>
        <v>0</v>
      </c>
      <c r="E68" s="166">
        <f t="shared" si="5"/>
        <v>0</v>
      </c>
    </row>
    <row r="69" spans="1:5" x14ac:dyDescent="0.25">
      <c r="A69" s="158"/>
      <c r="B69" s="36" t="s">
        <v>135</v>
      </c>
      <c r="C69" s="165">
        <f t="shared" si="5"/>
        <v>0</v>
      </c>
      <c r="D69" s="166">
        <f t="shared" si="5"/>
        <v>0</v>
      </c>
      <c r="E69" s="166">
        <f t="shared" si="5"/>
        <v>0</v>
      </c>
    </row>
    <row r="70" spans="1:5" x14ac:dyDescent="0.25">
      <c r="A70" s="158"/>
      <c r="B70" s="36" t="s">
        <v>136</v>
      </c>
      <c r="C70" s="165">
        <f t="shared" si="5"/>
        <v>0</v>
      </c>
      <c r="D70" s="166">
        <f t="shared" si="5"/>
        <v>0</v>
      </c>
      <c r="E70" s="166">
        <f t="shared" si="5"/>
        <v>0</v>
      </c>
    </row>
    <row r="71" spans="1:5" x14ac:dyDescent="0.25">
      <c r="A71" s="211" t="s">
        <v>8</v>
      </c>
      <c r="B71" s="211"/>
      <c r="C71" s="85">
        <f t="shared" si="5"/>
        <v>0</v>
      </c>
      <c r="D71" s="86">
        <f t="shared" si="5"/>
        <v>0</v>
      </c>
      <c r="E71" s="86">
        <f t="shared" si="5"/>
        <v>0</v>
      </c>
    </row>
    <row r="72" spans="1:5" ht="32.4" x14ac:dyDescent="0.25">
      <c r="A72" s="160" t="s">
        <v>31</v>
      </c>
      <c r="B72" s="37" t="s">
        <v>143</v>
      </c>
      <c r="C72" s="39">
        <f t="shared" si="5"/>
        <v>0</v>
      </c>
      <c r="D72" s="38">
        <f t="shared" si="5"/>
        <v>0</v>
      </c>
      <c r="E72" s="38">
        <f t="shared" si="5"/>
        <v>0</v>
      </c>
    </row>
    <row r="73" spans="1:5" x14ac:dyDescent="0.25">
      <c r="A73" s="158"/>
      <c r="B73" s="27" t="s">
        <v>137</v>
      </c>
      <c r="C73" s="165">
        <f t="shared" si="5"/>
        <v>0</v>
      </c>
      <c r="D73" s="166">
        <f t="shared" si="5"/>
        <v>0</v>
      </c>
      <c r="E73" s="166">
        <f t="shared" si="5"/>
        <v>0</v>
      </c>
    </row>
    <row r="74" spans="1:5" x14ac:dyDescent="0.25">
      <c r="A74" s="158"/>
      <c r="B74" s="27" t="s">
        <v>138</v>
      </c>
      <c r="C74" s="165">
        <f t="shared" si="5"/>
        <v>0</v>
      </c>
      <c r="D74" s="166">
        <f t="shared" si="5"/>
        <v>0</v>
      </c>
      <c r="E74" s="166">
        <f t="shared" si="5"/>
        <v>0</v>
      </c>
    </row>
    <row r="75" spans="1:5" x14ac:dyDescent="0.25">
      <c r="A75" s="158"/>
      <c r="B75" s="27" t="s">
        <v>139</v>
      </c>
      <c r="C75" s="165">
        <f t="shared" si="5"/>
        <v>0</v>
      </c>
      <c r="D75" s="166">
        <f t="shared" si="5"/>
        <v>0</v>
      </c>
      <c r="E75" s="166">
        <f t="shared" si="5"/>
        <v>0</v>
      </c>
    </row>
    <row r="76" spans="1:5" ht="32.4" x14ac:dyDescent="0.25">
      <c r="A76" s="160" t="s">
        <v>32</v>
      </c>
      <c r="B76" s="37" t="s">
        <v>144</v>
      </c>
      <c r="C76" s="39">
        <f t="shared" si="5"/>
        <v>0</v>
      </c>
      <c r="D76" s="38">
        <f t="shared" si="5"/>
        <v>0</v>
      </c>
      <c r="E76" s="38">
        <f t="shared" si="5"/>
        <v>0</v>
      </c>
    </row>
    <row r="77" spans="1:5" x14ac:dyDescent="0.25">
      <c r="A77" s="160" t="s">
        <v>33</v>
      </c>
      <c r="B77" s="43" t="s">
        <v>145</v>
      </c>
      <c r="C77" s="39">
        <f t="shared" si="5"/>
        <v>1975600</v>
      </c>
      <c r="D77" s="38">
        <f t="shared" si="5"/>
        <v>375364</v>
      </c>
      <c r="E77" s="38">
        <f t="shared" si="5"/>
        <v>2350964</v>
      </c>
    </row>
    <row r="78" spans="1:5" x14ac:dyDescent="0.25">
      <c r="A78" s="160"/>
      <c r="B78" s="44" t="s">
        <v>159</v>
      </c>
      <c r="C78" s="165">
        <f t="shared" si="5"/>
        <v>1975600</v>
      </c>
      <c r="D78" s="166">
        <f t="shared" si="5"/>
        <v>375364</v>
      </c>
      <c r="E78" s="166">
        <f t="shared" si="5"/>
        <v>2350964</v>
      </c>
    </row>
    <row r="79" spans="1:5" x14ac:dyDescent="0.25">
      <c r="A79" s="160" t="s">
        <v>34</v>
      </c>
      <c r="B79" s="37" t="s">
        <v>146</v>
      </c>
      <c r="C79" s="39">
        <f t="shared" si="5"/>
        <v>0</v>
      </c>
      <c r="D79" s="38">
        <f t="shared" si="5"/>
        <v>0</v>
      </c>
      <c r="E79" s="38">
        <f t="shared" si="5"/>
        <v>0</v>
      </c>
    </row>
    <row r="80" spans="1:5" x14ac:dyDescent="0.25">
      <c r="A80" s="211" t="s">
        <v>9</v>
      </c>
      <c r="B80" s="211"/>
      <c r="C80" s="85">
        <f t="shared" si="5"/>
        <v>1975600</v>
      </c>
      <c r="D80" s="86">
        <f t="shared" si="5"/>
        <v>375364</v>
      </c>
      <c r="E80" s="86">
        <f t="shared" si="5"/>
        <v>2350964</v>
      </c>
    </row>
    <row r="81" spans="1:5" x14ac:dyDescent="0.25">
      <c r="A81" s="212" t="s">
        <v>10</v>
      </c>
      <c r="B81" s="212"/>
      <c r="C81" s="87">
        <f t="shared" si="5"/>
        <v>3463017.5</v>
      </c>
      <c r="D81" s="88">
        <f t="shared" si="5"/>
        <v>657973.32999999996</v>
      </c>
      <c r="E81" s="88">
        <f t="shared" si="5"/>
        <v>4120990.83</v>
      </c>
    </row>
    <row r="82" spans="1:5" ht="36" customHeight="1" x14ac:dyDescent="0.25">
      <c r="A82" s="196" t="s">
        <v>154</v>
      </c>
      <c r="B82" s="197"/>
      <c r="C82" s="197"/>
      <c r="D82" s="197"/>
      <c r="E82" s="197"/>
    </row>
    <row r="83" spans="1:5" ht="54" customHeight="1" x14ac:dyDescent="0.25">
      <c r="A83" s="186" t="s">
        <v>153</v>
      </c>
      <c r="B83" s="187"/>
      <c r="C83" s="187"/>
      <c r="D83" s="187"/>
      <c r="E83" s="187"/>
    </row>
  </sheetData>
  <mergeCells count="22">
    <mergeCell ref="A83:E83"/>
    <mergeCell ref="A66:B66"/>
    <mergeCell ref="A71:B71"/>
    <mergeCell ref="A80:B80"/>
    <mergeCell ref="A81:B81"/>
    <mergeCell ref="A82:E82"/>
    <mergeCell ref="A44:E45"/>
    <mergeCell ref="A46:E46"/>
    <mergeCell ref="A47:E47"/>
    <mergeCell ref="A48:E48"/>
    <mergeCell ref="A51:E51"/>
    <mergeCell ref="A23:B23"/>
    <mergeCell ref="A1:E2"/>
    <mergeCell ref="A3:E3"/>
    <mergeCell ref="A4:E4"/>
    <mergeCell ref="A5:E5"/>
    <mergeCell ref="A8:E8"/>
    <mergeCell ref="A28:B28"/>
    <mergeCell ref="A37:B37"/>
    <mergeCell ref="A38:B38"/>
    <mergeCell ref="A39:E39"/>
    <mergeCell ref="A40:E40"/>
  </mergeCells>
  <pageMargins left="0.7" right="0.7" top="0.75" bottom="0.75" header="0.3" footer="0.3"/>
  <pageSetup paperSize="9" scale="97" orientation="portrait" copies="3" r:id="rId1"/>
  <headerFooter>
    <oddHeader>&amp;LProiectant : SC 9H BIROU ARHITECTURA S.R.L.
Beneficiar: SPITALUL DE RECUPEREARE BRADET</oddHead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3"/>
  <sheetViews>
    <sheetView tabSelected="1" topLeftCell="A37" zoomScaleNormal="100" zoomScaleSheetLayoutView="100" zoomScalePageLayoutView="55" workbookViewId="0">
      <selection activeCell="H48" sqref="H48"/>
    </sheetView>
  </sheetViews>
  <sheetFormatPr defaultColWidth="8.77734375" defaultRowHeight="13.2" x14ac:dyDescent="0.25"/>
  <cols>
    <col min="1" max="1" width="6.109375" style="1" customWidth="1"/>
    <col min="2" max="2" width="45.44140625" style="1" customWidth="1"/>
    <col min="3" max="3" width="13.77734375" style="1" customWidth="1"/>
    <col min="4" max="4" width="14.6640625" style="1" customWidth="1"/>
    <col min="5" max="5" width="14.33203125" style="1" customWidth="1"/>
    <col min="6" max="6" width="13.33203125" style="1" customWidth="1"/>
    <col min="7" max="7" width="13.44140625" style="1" customWidth="1"/>
    <col min="8" max="8" width="16" style="1" customWidth="1"/>
    <col min="9" max="9" width="13.6640625" style="1" customWidth="1"/>
    <col min="10" max="10" width="12.33203125" style="1" bestFit="1" customWidth="1"/>
    <col min="11" max="11" width="20.6640625" style="1" customWidth="1"/>
    <col min="12" max="12" width="23.6640625" style="1" customWidth="1"/>
    <col min="13" max="13" width="8.77734375" style="1" bestFit="1" customWidth="1"/>
    <col min="14" max="15" width="9.77734375" style="1" bestFit="1" customWidth="1"/>
    <col min="16" max="16384" width="8.77734375" style="1"/>
  </cols>
  <sheetData>
    <row r="1" spans="1:6" ht="24" customHeight="1" x14ac:dyDescent="0.25">
      <c r="A1" s="239" t="s">
        <v>97</v>
      </c>
      <c r="B1" s="240"/>
      <c r="C1" s="240"/>
      <c r="D1" s="240"/>
      <c r="E1" s="241"/>
    </row>
    <row r="2" spans="1:6" ht="12" customHeight="1" x14ac:dyDescent="0.25">
      <c r="A2" s="238" t="s">
        <v>54</v>
      </c>
      <c r="B2" s="238"/>
      <c r="C2" s="238"/>
      <c r="D2" s="238"/>
      <c r="E2" s="238"/>
      <c r="F2" s="238"/>
    </row>
    <row r="3" spans="1:6" ht="64.95" customHeight="1" x14ac:dyDescent="0.25">
      <c r="A3" s="235" t="s">
        <v>150</v>
      </c>
      <c r="B3" s="236"/>
      <c r="C3" s="236"/>
      <c r="D3" s="236"/>
      <c r="E3" s="237"/>
    </row>
    <row r="4" spans="1:6" ht="12" customHeight="1" x14ac:dyDescent="0.25">
      <c r="A4" s="234" t="s">
        <v>152</v>
      </c>
      <c r="B4" s="234"/>
      <c r="C4" s="234"/>
      <c r="D4" s="234"/>
      <c r="E4" s="234"/>
      <c r="F4" s="234"/>
    </row>
    <row r="5" spans="1:6" ht="31.8" x14ac:dyDescent="0.25">
      <c r="A5" s="3" t="s">
        <v>55</v>
      </c>
      <c r="B5" s="4" t="s">
        <v>56</v>
      </c>
      <c r="C5" s="5" t="s">
        <v>57</v>
      </c>
      <c r="D5" s="5" t="s">
        <v>58</v>
      </c>
      <c r="E5" s="5" t="s">
        <v>59</v>
      </c>
    </row>
    <row r="6" spans="1:6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</row>
    <row r="7" spans="1:6" ht="13.2" customHeight="1" x14ac:dyDescent="0.25">
      <c r="A7" s="242" t="s">
        <v>60</v>
      </c>
      <c r="B7" s="225"/>
      <c r="C7" s="225"/>
      <c r="D7" s="225"/>
      <c r="E7" s="225"/>
    </row>
    <row r="8" spans="1:6" x14ac:dyDescent="0.25">
      <c r="A8" s="30" t="s">
        <v>20</v>
      </c>
      <c r="B8" s="12" t="s">
        <v>98</v>
      </c>
      <c r="C8" s="17">
        <v>0</v>
      </c>
      <c r="D8" s="17">
        <f>0.19*C8</f>
        <v>0</v>
      </c>
      <c r="E8" s="17">
        <v>0</v>
      </c>
    </row>
    <row r="9" spans="1:6" x14ac:dyDescent="0.25">
      <c r="A9" s="30" t="s">
        <v>21</v>
      </c>
      <c r="B9" s="12" t="s">
        <v>99</v>
      </c>
      <c r="C9" s="17">
        <v>0</v>
      </c>
      <c r="D9" s="17">
        <f>0.19*C9</f>
        <v>0</v>
      </c>
      <c r="E9" s="17">
        <f>C9+D9</f>
        <v>0</v>
      </c>
    </row>
    <row r="10" spans="1:6" x14ac:dyDescent="0.25">
      <c r="A10" s="30" t="s">
        <v>22</v>
      </c>
      <c r="B10" s="12" t="s">
        <v>100</v>
      </c>
      <c r="C10" s="17">
        <v>0</v>
      </c>
      <c r="D10" s="17">
        <f>0.19*C10</f>
        <v>0</v>
      </c>
      <c r="E10" s="17">
        <v>0</v>
      </c>
    </row>
    <row r="11" spans="1:6" x14ac:dyDescent="0.25">
      <c r="A11" s="30" t="s">
        <v>23</v>
      </c>
      <c r="B11" s="12" t="s">
        <v>101</v>
      </c>
      <c r="C11" s="17">
        <v>10000</v>
      </c>
      <c r="D11" s="17">
        <f>0.19*C11</f>
        <v>1900</v>
      </c>
      <c r="E11" s="14">
        <f>SUM(C11+D11)</f>
        <v>11900</v>
      </c>
    </row>
    <row r="12" spans="1:6" ht="13.2" customHeight="1" x14ac:dyDescent="0.25">
      <c r="A12" s="224" t="s">
        <v>61</v>
      </c>
      <c r="B12" s="224"/>
      <c r="C12" s="15">
        <f>SUM(C8:C11)</f>
        <v>10000</v>
      </c>
      <c r="D12" s="15">
        <f>SUM(D8:D11)</f>
        <v>1900</v>
      </c>
      <c r="E12" s="15">
        <f>SUM(C12+D12)</f>
        <v>11900</v>
      </c>
    </row>
    <row r="13" spans="1:6" ht="13.2" customHeight="1" x14ac:dyDescent="0.25">
      <c r="A13" s="225" t="s">
        <v>62</v>
      </c>
      <c r="B13" s="225"/>
      <c r="C13" s="225"/>
      <c r="D13" s="225"/>
      <c r="E13" s="225"/>
    </row>
    <row r="14" spans="1:6" ht="26.4" x14ac:dyDescent="0.25">
      <c r="A14" s="6" t="s">
        <v>18</v>
      </c>
      <c r="B14" s="7" t="s">
        <v>17</v>
      </c>
      <c r="C14" s="14">
        <v>0</v>
      </c>
      <c r="D14" s="17">
        <f>0.19*C14</f>
        <v>0</v>
      </c>
      <c r="E14" s="14">
        <f>SUM(C14+D14)</f>
        <v>0</v>
      </c>
    </row>
    <row r="15" spans="1:6" ht="13.2" customHeight="1" x14ac:dyDescent="0.25">
      <c r="A15" s="224" t="s">
        <v>63</v>
      </c>
      <c r="B15" s="224"/>
      <c r="C15" s="15">
        <f>C14</f>
        <v>0</v>
      </c>
      <c r="D15" s="15">
        <f>D14</f>
        <v>0</v>
      </c>
      <c r="E15" s="15">
        <f>E14</f>
        <v>0</v>
      </c>
    </row>
    <row r="16" spans="1:6" ht="13.2" customHeight="1" x14ac:dyDescent="0.25">
      <c r="A16" s="225" t="s">
        <v>64</v>
      </c>
      <c r="B16" s="225"/>
      <c r="C16" s="225"/>
      <c r="D16" s="225"/>
      <c r="E16" s="225"/>
    </row>
    <row r="17" spans="1:6" x14ac:dyDescent="0.25">
      <c r="A17" s="31" t="s">
        <v>24</v>
      </c>
      <c r="B17" s="32" t="s">
        <v>25</v>
      </c>
      <c r="C17" s="19">
        <f>SUM(C18:C20)</f>
        <v>0</v>
      </c>
      <c r="D17" s="19">
        <f>C17*0.19</f>
        <v>0</v>
      </c>
      <c r="E17" s="19">
        <f>D17+C17</f>
        <v>0</v>
      </c>
    </row>
    <row r="18" spans="1:6" x14ac:dyDescent="0.25">
      <c r="A18" s="31"/>
      <c r="B18" s="12" t="s">
        <v>65</v>
      </c>
      <c r="C18" s="16">
        <v>0</v>
      </c>
      <c r="D18" s="16">
        <f>C18*0.19</f>
        <v>0</v>
      </c>
      <c r="E18" s="16">
        <f>D18+C18</f>
        <v>0</v>
      </c>
    </row>
    <row r="19" spans="1:6" x14ac:dyDescent="0.25">
      <c r="A19" s="8"/>
      <c r="B19" s="12" t="s">
        <v>66</v>
      </c>
      <c r="C19" s="16">
        <v>0</v>
      </c>
      <c r="D19" s="16">
        <f t="shared" ref="D19:D25" si="0">C19*0.19</f>
        <v>0</v>
      </c>
      <c r="E19" s="16">
        <f t="shared" ref="E19:E25" si="1">D19+C19</f>
        <v>0</v>
      </c>
    </row>
    <row r="20" spans="1:6" x14ac:dyDescent="0.25">
      <c r="A20" s="8"/>
      <c r="B20" s="12" t="s">
        <v>67</v>
      </c>
      <c r="C20" s="16">
        <v>0</v>
      </c>
      <c r="D20" s="16">
        <f t="shared" si="0"/>
        <v>0</v>
      </c>
      <c r="E20" s="16">
        <f t="shared" si="1"/>
        <v>0</v>
      </c>
    </row>
    <row r="21" spans="1:6" ht="22.5" customHeight="1" x14ac:dyDescent="0.25">
      <c r="A21" s="31" t="s">
        <v>15</v>
      </c>
      <c r="B21" s="12" t="s">
        <v>68</v>
      </c>
      <c r="C21" s="19">
        <v>5000</v>
      </c>
      <c r="D21" s="19">
        <f t="shared" si="0"/>
        <v>950</v>
      </c>
      <c r="E21" s="19">
        <f t="shared" si="1"/>
        <v>5950</v>
      </c>
    </row>
    <row r="22" spans="1:6" ht="22.5" customHeight="1" x14ac:dyDescent="0.25">
      <c r="A22" s="31" t="s">
        <v>11</v>
      </c>
      <c r="B22" s="18" t="s">
        <v>14</v>
      </c>
      <c r="C22" s="19">
        <v>0</v>
      </c>
      <c r="D22" s="19">
        <f t="shared" si="0"/>
        <v>0</v>
      </c>
      <c r="E22" s="19">
        <f t="shared" si="1"/>
        <v>0</v>
      </c>
    </row>
    <row r="23" spans="1:6" x14ac:dyDescent="0.25">
      <c r="A23" s="31" t="s">
        <v>12</v>
      </c>
      <c r="B23" s="18" t="s">
        <v>43</v>
      </c>
      <c r="C23" s="19">
        <v>0</v>
      </c>
      <c r="D23" s="16">
        <f t="shared" si="0"/>
        <v>0</v>
      </c>
      <c r="E23" s="19">
        <f t="shared" si="1"/>
        <v>0</v>
      </c>
    </row>
    <row r="24" spans="1:6" x14ac:dyDescent="0.25">
      <c r="A24" s="31"/>
      <c r="B24" s="18" t="s">
        <v>42</v>
      </c>
      <c r="C24" s="16">
        <v>0</v>
      </c>
      <c r="D24" s="16">
        <f t="shared" si="0"/>
        <v>0</v>
      </c>
      <c r="E24" s="16">
        <f t="shared" si="1"/>
        <v>0</v>
      </c>
    </row>
    <row r="25" spans="1:6" x14ac:dyDescent="0.25">
      <c r="A25" s="31"/>
      <c r="B25" s="9" t="s">
        <v>84</v>
      </c>
      <c r="C25" s="16">
        <v>0</v>
      </c>
      <c r="D25" s="16">
        <f t="shared" si="0"/>
        <v>0</v>
      </c>
      <c r="E25" s="16">
        <f t="shared" si="1"/>
        <v>0</v>
      </c>
    </row>
    <row r="26" spans="1:6" x14ac:dyDescent="0.25">
      <c r="A26" s="31" t="s">
        <v>13</v>
      </c>
      <c r="B26" s="32" t="s">
        <v>19</v>
      </c>
      <c r="C26" s="19">
        <f>SUM(C27:C32)</f>
        <v>183034.62</v>
      </c>
      <c r="D26" s="19">
        <f>SUM(D27:D32)</f>
        <v>34776.58</v>
      </c>
      <c r="E26" s="19">
        <f>SUM(E27:E32)</f>
        <v>217811.20000000001</v>
      </c>
    </row>
    <row r="27" spans="1:6" x14ac:dyDescent="0.25">
      <c r="A27" s="8"/>
      <c r="B27" s="9" t="s">
        <v>44</v>
      </c>
      <c r="C27" s="16">
        <v>0</v>
      </c>
      <c r="D27" s="16">
        <f>C27*0.19</f>
        <v>0</v>
      </c>
      <c r="E27" s="16">
        <f>D27+C27</f>
        <v>0</v>
      </c>
    </row>
    <row r="28" spans="1:6" x14ac:dyDescent="0.25">
      <c r="A28" s="8"/>
      <c r="B28" s="9" t="s">
        <v>45</v>
      </c>
      <c r="C28" s="16">
        <v>0</v>
      </c>
      <c r="D28" s="16">
        <f>C28*0.19</f>
        <v>0</v>
      </c>
      <c r="E28" s="16">
        <f t="shared" ref="E28:E43" si="2">D28+C28</f>
        <v>0</v>
      </c>
    </row>
    <row r="29" spans="1:6" x14ac:dyDescent="0.25">
      <c r="A29" s="8"/>
      <c r="B29" s="9" t="s">
        <v>109</v>
      </c>
      <c r="C29" s="16">
        <v>60000</v>
      </c>
      <c r="D29" s="16">
        <f>C29*19%</f>
        <v>11400</v>
      </c>
      <c r="E29" s="16">
        <f t="shared" si="2"/>
        <v>71400</v>
      </c>
    </row>
    <row r="30" spans="1:6" x14ac:dyDescent="0.25">
      <c r="A30" s="10"/>
      <c r="B30" s="9" t="s">
        <v>46</v>
      </c>
      <c r="C30" s="29">
        <v>5000</v>
      </c>
      <c r="D30" s="29">
        <f>C30*0.19</f>
        <v>950</v>
      </c>
      <c r="E30" s="16">
        <f t="shared" si="2"/>
        <v>5950</v>
      </c>
    </row>
    <row r="31" spans="1:6" x14ac:dyDescent="0.25">
      <c r="A31" s="8"/>
      <c r="B31" s="9" t="s">
        <v>47</v>
      </c>
      <c r="C31" s="29">
        <v>4000</v>
      </c>
      <c r="D31" s="29">
        <f>C31*0.19</f>
        <v>760</v>
      </c>
      <c r="E31" s="16">
        <f t="shared" si="2"/>
        <v>4760</v>
      </c>
      <c r="F31" s="2"/>
    </row>
    <row r="32" spans="1:6" x14ac:dyDescent="0.25">
      <c r="A32" s="8"/>
      <c r="B32" s="46" t="s">
        <v>48</v>
      </c>
      <c r="C32" s="47">
        <f>ROUND(0.9%*C55,2)</f>
        <v>114034.62</v>
      </c>
      <c r="D32" s="51">
        <f>ROUND(C32*0.19,2)</f>
        <v>21666.58</v>
      </c>
      <c r="E32" s="47">
        <f t="shared" si="2"/>
        <v>135701.20000000001</v>
      </c>
    </row>
    <row r="33" spans="1:5" x14ac:dyDescent="0.25">
      <c r="A33" s="31" t="s">
        <v>16</v>
      </c>
      <c r="B33" s="48" t="s">
        <v>162</v>
      </c>
      <c r="C33" s="49">
        <v>100000</v>
      </c>
      <c r="D33" s="49">
        <f t="shared" ref="D33:D38" si="3">C33*0.19</f>
        <v>19000</v>
      </c>
      <c r="E33" s="50">
        <f t="shared" si="2"/>
        <v>119000</v>
      </c>
    </row>
    <row r="34" spans="1:5" x14ac:dyDescent="0.25">
      <c r="A34" s="31" t="s">
        <v>26</v>
      </c>
      <c r="B34" s="45" t="s">
        <v>27</v>
      </c>
      <c r="C34" s="49">
        <f>SUM(C35+C38)</f>
        <v>626363</v>
      </c>
      <c r="D34" s="49">
        <f>D35+D38</f>
        <v>34200</v>
      </c>
      <c r="E34" s="50">
        <f>SUM(D34+C34)</f>
        <v>660563</v>
      </c>
    </row>
    <row r="35" spans="1:5" x14ac:dyDescent="0.25">
      <c r="A35" s="8"/>
      <c r="B35" s="46" t="s">
        <v>49</v>
      </c>
      <c r="C35" s="47">
        <f>SUM(C36:C37)</f>
        <v>606363</v>
      </c>
      <c r="D35" s="51">
        <f>SUM(D36:D37)</f>
        <v>30400</v>
      </c>
      <c r="E35" s="47">
        <f t="shared" si="2"/>
        <v>636763</v>
      </c>
    </row>
    <row r="36" spans="1:5" ht="20.399999999999999" x14ac:dyDescent="0.25">
      <c r="A36" s="8"/>
      <c r="B36" s="23" t="s">
        <v>163</v>
      </c>
      <c r="C36" s="47">
        <v>446363</v>
      </c>
      <c r="D36" s="51">
        <v>0</v>
      </c>
      <c r="E36" s="47">
        <f t="shared" si="2"/>
        <v>446363</v>
      </c>
    </row>
    <row r="37" spans="1:5" x14ac:dyDescent="0.25">
      <c r="A37" s="8"/>
      <c r="B37" s="46" t="s">
        <v>92</v>
      </c>
      <c r="C37" s="47">
        <v>160000</v>
      </c>
      <c r="D37" s="51">
        <f t="shared" si="3"/>
        <v>30400</v>
      </c>
      <c r="E37" s="47">
        <f t="shared" si="2"/>
        <v>190400</v>
      </c>
    </row>
    <row r="38" spans="1:5" x14ac:dyDescent="0.25">
      <c r="A38" s="8"/>
      <c r="B38" s="46" t="s">
        <v>149</v>
      </c>
      <c r="C38" s="47">
        <v>20000</v>
      </c>
      <c r="D38" s="51">
        <f t="shared" si="3"/>
        <v>3800</v>
      </c>
      <c r="E38" s="47">
        <f t="shared" si="2"/>
        <v>23800</v>
      </c>
    </row>
    <row r="39" spans="1:5" x14ac:dyDescent="0.25">
      <c r="A39" s="31" t="s">
        <v>28</v>
      </c>
      <c r="B39" s="12" t="s">
        <v>102</v>
      </c>
      <c r="C39" s="33">
        <f>C40+C43+C44</f>
        <v>103989.93</v>
      </c>
      <c r="D39" s="33">
        <f t="shared" ref="D39:D44" si="4">ROUND(C39*0.19,2)</f>
        <v>19758.09</v>
      </c>
      <c r="E39" s="19">
        <f t="shared" si="2"/>
        <v>123748.01999999999</v>
      </c>
    </row>
    <row r="40" spans="1:5" x14ac:dyDescent="0.25">
      <c r="A40" s="8"/>
      <c r="B40" s="12" t="s">
        <v>69</v>
      </c>
      <c r="C40" s="16">
        <f>SUM(C41:C42)</f>
        <v>49405.84</v>
      </c>
      <c r="D40" s="29">
        <f t="shared" si="4"/>
        <v>9387.11</v>
      </c>
      <c r="E40" s="16">
        <f t="shared" si="2"/>
        <v>58792.95</v>
      </c>
    </row>
    <row r="41" spans="1:5" x14ac:dyDescent="0.25">
      <c r="A41" s="8"/>
      <c r="B41" s="9" t="s">
        <v>50</v>
      </c>
      <c r="C41" s="16">
        <f>ROUND(0.5%*C77,2)</f>
        <v>24702.92</v>
      </c>
      <c r="D41" s="29">
        <f t="shared" si="4"/>
        <v>4693.55</v>
      </c>
      <c r="E41" s="16">
        <f t="shared" si="2"/>
        <v>29396.469999999998</v>
      </c>
    </row>
    <row r="42" spans="1:5" x14ac:dyDescent="0.25">
      <c r="A42" s="8"/>
      <c r="B42" s="12" t="s">
        <v>70</v>
      </c>
      <c r="C42" s="16">
        <f>ROUND(0.5%*C77,2)</f>
        <v>24702.92</v>
      </c>
      <c r="D42" s="29">
        <f t="shared" si="4"/>
        <v>4693.55</v>
      </c>
      <c r="E42" s="16">
        <f t="shared" si="2"/>
        <v>29396.469999999998</v>
      </c>
    </row>
    <row r="43" spans="1:5" x14ac:dyDescent="0.25">
      <c r="A43" s="8"/>
      <c r="B43" s="12" t="s">
        <v>71</v>
      </c>
      <c r="C43" s="16">
        <f>ROUND(0.7%*C77,2)</f>
        <v>34584.089999999997</v>
      </c>
      <c r="D43" s="29">
        <f t="shared" si="4"/>
        <v>6570.98</v>
      </c>
      <c r="E43" s="16">
        <f t="shared" si="2"/>
        <v>41155.069999999992</v>
      </c>
    </row>
    <row r="44" spans="1:5" x14ac:dyDescent="0.25">
      <c r="A44" s="8"/>
      <c r="B44" s="12" t="s">
        <v>41</v>
      </c>
      <c r="C44" s="16">
        <v>20000</v>
      </c>
      <c r="D44" s="29">
        <f t="shared" si="4"/>
        <v>3800</v>
      </c>
      <c r="E44" s="16">
        <f>D44+C44</f>
        <v>23800</v>
      </c>
    </row>
    <row r="45" spans="1:5" ht="15" customHeight="1" x14ac:dyDescent="0.25">
      <c r="A45" s="224" t="s">
        <v>72</v>
      </c>
      <c r="B45" s="224"/>
      <c r="C45" s="25">
        <f>SUM(C39+C34+C26+C23+C22+C21+C17+C33)</f>
        <v>1018387.5499999999</v>
      </c>
      <c r="D45" s="25">
        <f t="shared" ref="D45:E45" si="5">SUM(D39+D34+D26+D23+D22+D21+D17+D33)</f>
        <v>108684.67</v>
      </c>
      <c r="E45" s="25">
        <f t="shared" si="5"/>
        <v>1127072.22</v>
      </c>
    </row>
    <row r="46" spans="1:5" ht="12" customHeight="1" x14ac:dyDescent="0.25">
      <c r="A46" s="225" t="s">
        <v>73</v>
      </c>
      <c r="B46" s="225"/>
      <c r="C46" s="225"/>
      <c r="D46" s="225"/>
      <c r="E46" s="225"/>
    </row>
    <row r="47" spans="1:5" ht="12" customHeight="1" x14ac:dyDescent="0.25">
      <c r="A47" s="31" t="s">
        <v>29</v>
      </c>
      <c r="B47" s="9" t="s">
        <v>103</v>
      </c>
      <c r="C47" s="19">
        <f>SUM(C48:C49)</f>
        <v>4813994.57</v>
      </c>
      <c r="D47" s="19">
        <f>ROUND(C47*0.19,2)</f>
        <v>914658.97</v>
      </c>
      <c r="E47" s="19">
        <f>SUM(C47:D47)</f>
        <v>5728653.54</v>
      </c>
    </row>
    <row r="48" spans="1:5" ht="25.2" customHeight="1" x14ac:dyDescent="0.25">
      <c r="A48" s="226"/>
      <c r="B48" s="11" t="s">
        <v>161</v>
      </c>
      <c r="C48" s="141">
        <f>'4.2.1 LUCRARI LOCALE SPITAL'!C80</f>
        <v>3326577.07</v>
      </c>
      <c r="D48" s="19">
        <f>ROUND(C48*0.19,2)</f>
        <v>632049.64</v>
      </c>
      <c r="E48" s="16">
        <f t="shared" ref="E48:E54" si="6">D48+C48</f>
        <v>3958626.71</v>
      </c>
    </row>
    <row r="49" spans="1:10" x14ac:dyDescent="0.25">
      <c r="A49" s="226"/>
      <c r="B49" s="9" t="s">
        <v>140</v>
      </c>
      <c r="C49" s="142">
        <f>'4.2.1 LUCRARI CONTAINER'!C66</f>
        <v>1487417.5</v>
      </c>
      <c r="D49" s="19">
        <f>ROUND(C49*0.19,2)</f>
        <v>282609.33</v>
      </c>
      <c r="E49" s="16">
        <f t="shared" si="6"/>
        <v>1770026.83</v>
      </c>
    </row>
    <row r="50" spans="1:10" x14ac:dyDescent="0.25">
      <c r="A50" s="30" t="s">
        <v>30</v>
      </c>
      <c r="B50" s="9" t="s">
        <v>93</v>
      </c>
      <c r="C50" s="143">
        <f>'4.2.1 LUCRARI LOCALE SPITAL'!C85+'4.2.1 LUCRARI CONTAINER'!C71</f>
        <v>78578.320000000007</v>
      </c>
      <c r="D50" s="19">
        <f>ROUND(C50*0.19,2)</f>
        <v>14929.88</v>
      </c>
      <c r="E50" s="16">
        <f t="shared" si="6"/>
        <v>93508.200000000012</v>
      </c>
      <c r="F50" s="20"/>
    </row>
    <row r="51" spans="1:10" x14ac:dyDescent="0.25">
      <c r="A51" s="30" t="s">
        <v>31</v>
      </c>
      <c r="B51" s="9" t="s">
        <v>94</v>
      </c>
      <c r="C51" s="143">
        <f>'4.2.1 LUCRARI LOCALE SPITAL'!C33+'4.2.1 LUCRARI CONTAINER'!C29</f>
        <v>523855.44</v>
      </c>
      <c r="D51" s="19">
        <f>C51*0.19</f>
        <v>99532.533599999995</v>
      </c>
      <c r="E51" s="16">
        <f t="shared" si="6"/>
        <v>623387.97360000003</v>
      </c>
      <c r="F51" s="228"/>
      <c r="G51" s="19"/>
    </row>
    <row r="52" spans="1:10" x14ac:dyDescent="0.25">
      <c r="A52" s="30" t="s">
        <v>32</v>
      </c>
      <c r="B52" s="9" t="s">
        <v>95</v>
      </c>
      <c r="C52" s="143">
        <f>'4.2.1 LUCRARI LOCALE SPITAL'!C37+'4.2.1 LUCRARI CONTAINER'!C33</f>
        <v>0</v>
      </c>
      <c r="D52" s="19">
        <f t="shared" ref="D48:D54" si="7">ROUND(C52*0.19,2)</f>
        <v>0</v>
      </c>
      <c r="E52" s="16">
        <f t="shared" si="6"/>
        <v>0</v>
      </c>
      <c r="F52" s="228"/>
    </row>
    <row r="53" spans="1:10" x14ac:dyDescent="0.25">
      <c r="A53" s="30" t="s">
        <v>33</v>
      </c>
      <c r="B53" s="9" t="s">
        <v>147</v>
      </c>
      <c r="C53" s="143">
        <f>'4.2.1 LUCRARI LOCALE SPITAL'!C91+'4.2.1 LUCRARI CONTAINER'!C77</f>
        <v>6715378.1699999999</v>
      </c>
      <c r="D53" s="19">
        <f>C53*0.19</f>
        <v>1275921.8522999999</v>
      </c>
      <c r="E53" s="16">
        <f t="shared" si="6"/>
        <v>7991300.0222999994</v>
      </c>
      <c r="F53" s="21"/>
    </row>
    <row r="54" spans="1:10" x14ac:dyDescent="0.25">
      <c r="A54" s="30" t="s">
        <v>34</v>
      </c>
      <c r="B54" s="9" t="s">
        <v>96</v>
      </c>
      <c r="C54" s="143">
        <f>'4.2.1 LUCRARI LOCALE SPITAL'!C97+'4.2.1 LUCRARI CONTAINER'!C79</f>
        <v>538706.68000000005</v>
      </c>
      <c r="D54" s="19">
        <f>C54*0.19</f>
        <v>102354.26920000001</v>
      </c>
      <c r="E54" s="16">
        <f t="shared" si="6"/>
        <v>641060.94920000003</v>
      </c>
      <c r="F54" s="2"/>
      <c r="G54" s="2">
        <f>'4.2.1 LUCRARI LOCALE SPITAL'!D100+'4.2.1 LUCRARI CONTAINER'!D81</f>
        <v>2407397.5099999998</v>
      </c>
      <c r="H54" s="1">
        <f>C55*1.19</f>
        <v>15077910.684199998</v>
      </c>
      <c r="I54" s="1">
        <f>'4.2.1 LUCRARI LOCALE SPITAL'!C100+'4.2.1 LUCRARI CONTAINER'!C81</f>
        <v>12670513.18</v>
      </c>
    </row>
    <row r="55" spans="1:10" ht="12" customHeight="1" x14ac:dyDescent="0.25">
      <c r="A55" s="232" t="s">
        <v>74</v>
      </c>
      <c r="B55" s="233"/>
      <c r="C55" s="22">
        <f>ROUND(SUM(C47+C50+C51+C52+C53+C54),2)</f>
        <v>12670513.18</v>
      </c>
      <c r="D55" s="22">
        <f>SUM(D47+D50+D51+D52+D53+D54)</f>
        <v>2407397.5050999997</v>
      </c>
      <c r="E55" s="22">
        <f>SUM(E47+E50+E51+E52+E53+E54)</f>
        <v>15077910.6851</v>
      </c>
      <c r="G55" s="2">
        <f>SUM(D48:D54)</f>
        <v>2407397.5050999997</v>
      </c>
      <c r="H55" s="2">
        <f>SUM(E48:E54)</f>
        <v>15077910.6851</v>
      </c>
      <c r="I55" s="2">
        <f>'4.2.1 LUCRARI LOCALE SPITAL'!E100+'4.2.1 LUCRARI CONTAINER'!E81</f>
        <v>15077910.689999999</v>
      </c>
      <c r="J55" s="2">
        <f>C55+D55</f>
        <v>15077910.6851</v>
      </c>
    </row>
    <row r="56" spans="1:10" ht="12" customHeight="1" x14ac:dyDescent="0.25">
      <c r="A56" s="229" t="s">
        <v>75</v>
      </c>
      <c r="B56" s="230"/>
      <c r="C56" s="230"/>
      <c r="D56" s="230"/>
      <c r="E56" s="231"/>
      <c r="F56" s="2"/>
    </row>
    <row r="57" spans="1:10" x14ac:dyDescent="0.25">
      <c r="A57" s="31" t="s">
        <v>35</v>
      </c>
      <c r="B57" s="12" t="s">
        <v>104</v>
      </c>
      <c r="C57" s="19">
        <f>SUM(C58:C59)</f>
        <v>48011.54</v>
      </c>
      <c r="D57" s="19">
        <f>ROUND(C57*0.19,2)</f>
        <v>9122.19</v>
      </c>
      <c r="E57" s="19">
        <f>D57+C57</f>
        <v>57133.73</v>
      </c>
    </row>
    <row r="58" spans="1:10" x14ac:dyDescent="0.25">
      <c r="A58" s="8"/>
      <c r="B58" s="12" t="s">
        <v>76</v>
      </c>
      <c r="C58" s="16">
        <f>ROUND(0.3%*C55,2)</f>
        <v>38011.54</v>
      </c>
      <c r="D58" s="19">
        <f t="shared" ref="D58:D59" si="8">ROUND(C58*0.19,2)</f>
        <v>7222.19</v>
      </c>
      <c r="E58" s="16">
        <f>D58+C58</f>
        <v>45233.73</v>
      </c>
    </row>
    <row r="59" spans="1:10" x14ac:dyDescent="0.25">
      <c r="A59" s="8"/>
      <c r="B59" s="12" t="s">
        <v>77</v>
      </c>
      <c r="C59" s="16">
        <v>10000</v>
      </c>
      <c r="D59" s="19">
        <f t="shared" si="8"/>
        <v>1900</v>
      </c>
      <c r="E59" s="16">
        <f>D59+C59</f>
        <v>11900</v>
      </c>
    </row>
    <row r="60" spans="1:10" x14ac:dyDescent="0.25">
      <c r="A60" s="31" t="s">
        <v>36</v>
      </c>
      <c r="B60" s="12" t="s">
        <v>105</v>
      </c>
      <c r="C60" s="19">
        <f>SUM(C61:C65)</f>
        <v>103752.26</v>
      </c>
      <c r="D60" s="19">
        <f>SUM(D61:D65)</f>
        <v>9387.11</v>
      </c>
      <c r="E60" s="19">
        <f>SUM(E61:E65)</f>
        <v>113139.37</v>
      </c>
      <c r="H60" s="1" t="s">
        <v>177</v>
      </c>
      <c r="I60" s="1" t="s">
        <v>178</v>
      </c>
    </row>
    <row r="61" spans="1:10" x14ac:dyDescent="0.25">
      <c r="A61" s="8"/>
      <c r="B61" s="12" t="s">
        <v>78</v>
      </c>
      <c r="C61" s="16">
        <v>0</v>
      </c>
      <c r="D61" s="16">
        <f t="shared" ref="D61:D67" si="9">C61*0.19</f>
        <v>0</v>
      </c>
      <c r="E61" s="16">
        <f>D61+C61</f>
        <v>0</v>
      </c>
      <c r="H61" s="170">
        <f>24492547.31</f>
        <v>24492547.309999999</v>
      </c>
      <c r="I61" s="170">
        <f>24768112.24</f>
        <v>24768112.239999998</v>
      </c>
    </row>
    <row r="62" spans="1:10" ht="26.4" x14ac:dyDescent="0.25">
      <c r="A62" s="8"/>
      <c r="B62" s="9" t="s">
        <v>51</v>
      </c>
      <c r="C62" s="16">
        <f>ROUND(0.5%*C77,2)</f>
        <v>24702.92</v>
      </c>
      <c r="D62" s="16">
        <v>0</v>
      </c>
      <c r="E62" s="16">
        <f t="shared" ref="E62:E67" si="10">D62+C62</f>
        <v>24702.92</v>
      </c>
      <c r="G62" s="169" t="s">
        <v>175</v>
      </c>
      <c r="H62" s="170">
        <f>H61/2</f>
        <v>12246273.654999999</v>
      </c>
      <c r="I62" s="170">
        <f>I61/2</f>
        <v>12384056.119999999</v>
      </c>
    </row>
    <row r="63" spans="1:10" ht="32.4" x14ac:dyDescent="0.25">
      <c r="A63" s="10"/>
      <c r="B63" s="9" t="s">
        <v>52</v>
      </c>
      <c r="C63" s="16">
        <f>ROUND(0.1%*C77,2)</f>
        <v>4940.58</v>
      </c>
      <c r="D63" s="16">
        <v>0</v>
      </c>
      <c r="E63" s="16">
        <f t="shared" si="10"/>
        <v>4940.58</v>
      </c>
      <c r="G63" s="169" t="s">
        <v>176</v>
      </c>
      <c r="H63" s="170">
        <f>H62/15</f>
        <v>816418.24366666668</v>
      </c>
      <c r="I63" s="170">
        <f>I62/15</f>
        <v>825603.74133333331</v>
      </c>
    </row>
    <row r="64" spans="1:10" ht="21.6" x14ac:dyDescent="0.25">
      <c r="A64" s="8"/>
      <c r="B64" s="9" t="s">
        <v>53</v>
      </c>
      <c r="C64" s="16">
        <f>ROUND(0.5%*C77,2)</f>
        <v>24702.92</v>
      </c>
      <c r="D64" s="16">
        <v>0</v>
      </c>
      <c r="E64" s="16">
        <f t="shared" si="10"/>
        <v>24702.92</v>
      </c>
    </row>
    <row r="65" spans="1:6" ht="13.2" customHeight="1" x14ac:dyDescent="0.25">
      <c r="A65" s="8"/>
      <c r="B65" s="12" t="s">
        <v>79</v>
      </c>
      <c r="C65" s="16">
        <f>ROUND(1%*C77,2)</f>
        <v>49405.84</v>
      </c>
      <c r="D65" s="16">
        <f>ROUND(C65*0.19,2)</f>
        <v>9387.11</v>
      </c>
      <c r="E65" s="16">
        <f t="shared" si="10"/>
        <v>58792.95</v>
      </c>
    </row>
    <row r="66" spans="1:6" x14ac:dyDescent="0.25">
      <c r="A66" s="144" t="s">
        <v>37</v>
      </c>
      <c r="B66" s="145" t="s">
        <v>91</v>
      </c>
      <c r="C66" s="146">
        <f>ROUND(10%*C77,2)</f>
        <v>494058.44</v>
      </c>
      <c r="D66" s="146">
        <f>ROUND(C66*0.19,2)</f>
        <v>93871.1</v>
      </c>
      <c r="E66" s="146">
        <f t="shared" si="10"/>
        <v>587929.54</v>
      </c>
    </row>
    <row r="67" spans="1:6" x14ac:dyDescent="0.25">
      <c r="A67" s="144" t="s">
        <v>38</v>
      </c>
      <c r="B67" s="147" t="s">
        <v>106</v>
      </c>
      <c r="C67" s="146">
        <v>45000</v>
      </c>
      <c r="D67" s="146">
        <f t="shared" si="9"/>
        <v>8550</v>
      </c>
      <c r="E67" s="146">
        <f t="shared" si="10"/>
        <v>53550</v>
      </c>
    </row>
    <row r="68" spans="1:6" ht="12" customHeight="1" x14ac:dyDescent="0.25">
      <c r="A68" s="219" t="s">
        <v>80</v>
      </c>
      <c r="B68" s="220"/>
      <c r="C68" s="148">
        <f>SUM(C60+C57+C66+C67)</f>
        <v>690822.24</v>
      </c>
      <c r="D68" s="148">
        <f>SUM(D60+D57+D66+D67)</f>
        <v>120930.40000000001</v>
      </c>
      <c r="E68" s="148">
        <f>SUM(E60+E57+E66+E67)</f>
        <v>811752.64</v>
      </c>
    </row>
    <row r="69" spans="1:6" ht="12" customHeight="1" x14ac:dyDescent="0.25">
      <c r="A69" s="221" t="s">
        <v>81</v>
      </c>
      <c r="B69" s="222"/>
      <c r="C69" s="222"/>
      <c r="D69" s="222"/>
      <c r="E69" s="223"/>
    </row>
    <row r="70" spans="1:6" ht="12" customHeight="1" x14ac:dyDescent="0.25">
      <c r="A70" s="144" t="s">
        <v>39</v>
      </c>
      <c r="B70" s="149" t="s">
        <v>107</v>
      </c>
      <c r="C70" s="28">
        <v>3000</v>
      </c>
      <c r="D70" s="28">
        <f>C70*0.19</f>
        <v>570</v>
      </c>
      <c r="E70" s="28">
        <f>D70+C70</f>
        <v>3570</v>
      </c>
      <c r="F70" s="227"/>
    </row>
    <row r="71" spans="1:6" ht="12" customHeight="1" x14ac:dyDescent="0.25">
      <c r="A71" s="144" t="s">
        <v>40</v>
      </c>
      <c r="B71" s="149" t="s">
        <v>108</v>
      </c>
      <c r="C71" s="28">
        <v>10000</v>
      </c>
      <c r="D71" s="28">
        <f>C71*0.19</f>
        <v>1900</v>
      </c>
      <c r="E71" s="28">
        <f>D71+C71</f>
        <v>11900</v>
      </c>
      <c r="F71" s="227"/>
    </row>
    <row r="72" spans="1:6" ht="12" customHeight="1" x14ac:dyDescent="0.25">
      <c r="A72" s="219" t="s">
        <v>82</v>
      </c>
      <c r="B72" s="220"/>
      <c r="C72" s="148">
        <f>C71+C70</f>
        <v>13000</v>
      </c>
      <c r="D72" s="148">
        <f>D71+D70</f>
        <v>2470</v>
      </c>
      <c r="E72" s="148">
        <f>E71+E70</f>
        <v>15470</v>
      </c>
      <c r="F72" s="21"/>
    </row>
    <row r="73" spans="1:6" s="24" customFormat="1" ht="20.399999999999999" x14ac:dyDescent="0.25">
      <c r="A73" s="150" t="s">
        <v>86</v>
      </c>
      <c r="B73" s="151" t="s">
        <v>87</v>
      </c>
      <c r="C73" s="152">
        <f>0.25*(C9+C10+C11+C15+C17+C21+C26+C34+C39+C55+C58)</f>
        <v>3409228.0674999999</v>
      </c>
      <c r="D73" s="151">
        <f>ROUND(C73*0.19,2)</f>
        <v>647753.32999999996</v>
      </c>
      <c r="E73" s="153">
        <f>C73+D73</f>
        <v>4056981.3975</v>
      </c>
      <c r="F73" s="34"/>
    </row>
    <row r="74" spans="1:6" s="24" customFormat="1" ht="20.399999999999999" x14ac:dyDescent="0.25">
      <c r="A74" s="150" t="s">
        <v>88</v>
      </c>
      <c r="B74" s="151" t="s">
        <v>89</v>
      </c>
      <c r="C74" s="152">
        <v>0</v>
      </c>
      <c r="D74" s="151">
        <f>C74*0.19</f>
        <v>0</v>
      </c>
      <c r="E74" s="153">
        <f>C74+D74</f>
        <v>0</v>
      </c>
      <c r="F74" s="34"/>
    </row>
    <row r="75" spans="1:6" s="24" customFormat="1" ht="12" customHeight="1" thickBot="1" x14ac:dyDescent="0.3">
      <c r="A75" s="213" t="s">
        <v>90</v>
      </c>
      <c r="B75" s="214"/>
      <c r="C75" s="154">
        <f>C73+C74</f>
        <v>3409228.0674999999</v>
      </c>
      <c r="D75" s="154">
        <f>ROUND(D73+D74,2)</f>
        <v>647753.32999999996</v>
      </c>
      <c r="E75" s="155">
        <f>E73+E74</f>
        <v>4056981.3975</v>
      </c>
      <c r="F75" s="34"/>
    </row>
    <row r="76" spans="1:6" ht="12" customHeight="1" x14ac:dyDescent="0.25">
      <c r="A76" s="217" t="s">
        <v>85</v>
      </c>
      <c r="B76" s="218"/>
      <c r="C76" s="156">
        <f>SUM(C72+C68+C55+C45+C15+C12+C75)</f>
        <v>17811951.037500001</v>
      </c>
      <c r="D76" s="156">
        <f>ROUND(SUM(D72+D68+D55+D45+D15+D12+D75),2)</f>
        <v>3289135.91</v>
      </c>
      <c r="E76" s="156">
        <f>SUM(E72+E68+E55+E45+E15+E12+E75)</f>
        <v>21101086.942600001</v>
      </c>
      <c r="F76" s="21"/>
    </row>
    <row r="77" spans="1:6" ht="12" customHeight="1" x14ac:dyDescent="0.25">
      <c r="A77" s="215" t="s">
        <v>83</v>
      </c>
      <c r="B77" s="216"/>
      <c r="C77" s="157">
        <f>C9+C10+C11+C14+C47+C50+C58</f>
        <v>4940584.4300000006</v>
      </c>
      <c r="D77" s="157">
        <f>ROUND(D9+D10+D11+D14+D47+D50+D58,2)</f>
        <v>938711.04000000004</v>
      </c>
      <c r="E77" s="157">
        <f>D77+C77</f>
        <v>5879295.4700000007</v>
      </c>
    </row>
    <row r="80" spans="1:6" ht="25.5" customHeight="1" x14ac:dyDescent="0.25">
      <c r="A80" s="196" t="s">
        <v>154</v>
      </c>
      <c r="B80" s="197"/>
      <c r="C80" s="197"/>
      <c r="D80" s="197"/>
      <c r="E80" s="197"/>
    </row>
    <row r="81" spans="1:6" ht="55.95" customHeight="1" x14ac:dyDescent="0.25">
      <c r="A81" s="186" t="s">
        <v>153</v>
      </c>
      <c r="B81" s="187"/>
      <c r="C81" s="187"/>
      <c r="D81" s="187"/>
      <c r="E81" s="187"/>
    </row>
    <row r="82" spans="1:6" ht="13.2" customHeight="1" x14ac:dyDescent="0.25">
      <c r="A82" s="186"/>
      <c r="B82" s="187"/>
      <c r="C82" s="187"/>
      <c r="D82" s="187"/>
      <c r="E82" s="187"/>
    </row>
    <row r="83" spans="1:6" x14ac:dyDescent="0.25">
      <c r="A83" s="243"/>
      <c r="B83" s="243"/>
      <c r="C83" s="243"/>
      <c r="D83" s="243"/>
      <c r="E83" s="243"/>
    </row>
    <row r="84" spans="1:6" x14ac:dyDescent="0.25">
      <c r="A84" s="238"/>
      <c r="B84" s="238"/>
      <c r="C84" s="238"/>
      <c r="D84" s="238"/>
      <c r="E84" s="238"/>
      <c r="F84" s="238"/>
    </row>
    <row r="85" spans="1:6" x14ac:dyDescent="0.25">
      <c r="A85" s="244"/>
      <c r="B85" s="245"/>
      <c r="C85" s="245"/>
      <c r="D85" s="245"/>
      <c r="E85" s="245"/>
    </row>
    <row r="86" spans="1:6" x14ac:dyDescent="0.25">
      <c r="A86" s="234"/>
      <c r="B86" s="234"/>
      <c r="C86" s="234"/>
      <c r="D86" s="234"/>
      <c r="E86" s="234"/>
      <c r="F86" s="234"/>
    </row>
    <row r="87" spans="1:6" x14ac:dyDescent="0.25">
      <c r="A87" s="106"/>
      <c r="B87" s="107"/>
      <c r="C87" s="108"/>
      <c r="D87" s="108"/>
      <c r="E87" s="108"/>
    </row>
    <row r="88" spans="1:6" x14ac:dyDescent="0.25">
      <c r="A88" s="109"/>
      <c r="B88" s="109"/>
      <c r="C88" s="109"/>
      <c r="D88" s="109"/>
      <c r="E88" s="109"/>
    </row>
    <row r="89" spans="1:6" x14ac:dyDescent="0.25">
      <c r="A89" s="246"/>
      <c r="B89" s="247"/>
      <c r="C89" s="247"/>
      <c r="D89" s="247"/>
      <c r="E89" s="247"/>
    </row>
    <row r="90" spans="1:6" x14ac:dyDescent="0.25">
      <c r="A90" s="110"/>
      <c r="B90" s="111"/>
      <c r="C90" s="112"/>
      <c r="D90" s="112"/>
      <c r="E90" s="112"/>
    </row>
    <row r="91" spans="1:6" x14ac:dyDescent="0.25">
      <c r="A91" s="110"/>
      <c r="B91" s="111"/>
      <c r="C91" s="112"/>
      <c r="D91" s="112"/>
      <c r="E91" s="112"/>
    </row>
    <row r="92" spans="1:6" x14ac:dyDescent="0.25">
      <c r="A92" s="110"/>
      <c r="B92" s="111"/>
      <c r="C92" s="112"/>
      <c r="D92" s="112"/>
      <c r="E92" s="112"/>
    </row>
    <row r="93" spans="1:6" x14ac:dyDescent="0.25">
      <c r="A93" s="110"/>
      <c r="B93" s="111"/>
      <c r="C93" s="112"/>
      <c r="D93" s="112"/>
      <c r="E93" s="113"/>
    </row>
    <row r="94" spans="1:6" x14ac:dyDescent="0.25">
      <c r="A94" s="247"/>
      <c r="B94" s="247"/>
      <c r="C94" s="113"/>
      <c r="D94" s="113"/>
      <c r="E94" s="113"/>
    </row>
    <row r="95" spans="1:6" x14ac:dyDescent="0.25">
      <c r="A95" s="247"/>
      <c r="B95" s="247"/>
      <c r="C95" s="247"/>
      <c r="D95" s="247"/>
      <c r="E95" s="247"/>
    </row>
    <row r="96" spans="1:6" x14ac:dyDescent="0.25">
      <c r="A96" s="114"/>
      <c r="B96" s="115"/>
      <c r="C96" s="113"/>
      <c r="D96" s="112"/>
      <c r="E96" s="113"/>
    </row>
    <row r="97" spans="1:5" x14ac:dyDescent="0.25">
      <c r="A97" s="247"/>
      <c r="B97" s="247"/>
      <c r="C97" s="113"/>
      <c r="D97" s="113"/>
      <c r="E97" s="113"/>
    </row>
    <row r="98" spans="1:5" x14ac:dyDescent="0.25">
      <c r="A98" s="247"/>
      <c r="B98" s="247"/>
      <c r="C98" s="247"/>
      <c r="D98" s="247"/>
      <c r="E98" s="247"/>
    </row>
    <row r="99" spans="1:5" x14ac:dyDescent="0.25">
      <c r="A99" s="116"/>
      <c r="B99" s="117"/>
      <c r="C99" s="118"/>
      <c r="D99" s="118"/>
      <c r="E99" s="118"/>
    </row>
    <row r="100" spans="1:5" x14ac:dyDescent="0.25">
      <c r="A100" s="116"/>
      <c r="B100" s="111"/>
      <c r="C100" s="119"/>
      <c r="D100" s="119"/>
      <c r="E100" s="119"/>
    </row>
    <row r="101" spans="1:5" x14ac:dyDescent="0.25">
      <c r="A101" s="120"/>
      <c r="B101" s="111"/>
      <c r="C101" s="119"/>
      <c r="D101" s="119"/>
      <c r="E101" s="119"/>
    </row>
    <row r="102" spans="1:5" x14ac:dyDescent="0.25">
      <c r="A102" s="120"/>
      <c r="B102" s="111"/>
      <c r="C102" s="112"/>
      <c r="D102" s="119"/>
      <c r="E102" s="119"/>
    </row>
    <row r="103" spans="1:5" x14ac:dyDescent="0.25">
      <c r="A103" s="116"/>
      <c r="B103" s="111"/>
      <c r="C103" s="118"/>
      <c r="D103" s="118"/>
      <c r="E103" s="118"/>
    </row>
    <row r="104" spans="1:5" x14ac:dyDescent="0.25">
      <c r="A104" s="116"/>
      <c r="B104" s="121"/>
      <c r="C104" s="118"/>
      <c r="D104" s="118"/>
      <c r="E104" s="118"/>
    </row>
    <row r="105" spans="1:5" x14ac:dyDescent="0.25">
      <c r="A105" s="116"/>
      <c r="B105" s="121"/>
      <c r="C105" s="118"/>
      <c r="D105" s="112"/>
      <c r="E105" s="118"/>
    </row>
    <row r="106" spans="1:5" x14ac:dyDescent="0.25">
      <c r="A106" s="116"/>
      <c r="B106" s="121"/>
      <c r="C106" s="119"/>
      <c r="D106" s="112"/>
      <c r="E106" s="119"/>
    </row>
    <row r="107" spans="1:5" x14ac:dyDescent="0.25">
      <c r="A107" s="116"/>
      <c r="B107" s="122"/>
      <c r="C107" s="119"/>
      <c r="D107" s="112"/>
      <c r="E107" s="119"/>
    </row>
    <row r="108" spans="1:5" x14ac:dyDescent="0.25">
      <c r="A108" s="116"/>
      <c r="B108" s="117"/>
      <c r="C108" s="118"/>
      <c r="D108" s="118"/>
      <c r="E108" s="118"/>
    </row>
    <row r="109" spans="1:5" x14ac:dyDescent="0.25">
      <c r="A109" s="120"/>
      <c r="B109" s="122"/>
      <c r="C109" s="119"/>
      <c r="D109" s="112"/>
      <c r="E109" s="119"/>
    </row>
    <row r="110" spans="1:5" x14ac:dyDescent="0.25">
      <c r="A110" s="120"/>
      <c r="B110" s="122"/>
      <c r="C110" s="112"/>
      <c r="D110" s="112"/>
      <c r="E110" s="119"/>
    </row>
    <row r="111" spans="1:5" x14ac:dyDescent="0.25">
      <c r="A111" s="120"/>
      <c r="B111" s="122"/>
      <c r="C111" s="119"/>
      <c r="D111" s="112"/>
      <c r="E111" s="119"/>
    </row>
    <row r="112" spans="1:5" x14ac:dyDescent="0.25">
      <c r="A112" s="123"/>
      <c r="B112" s="122"/>
      <c r="C112" s="119"/>
      <c r="D112" s="112"/>
      <c r="E112" s="119"/>
    </row>
    <row r="113" spans="1:6" x14ac:dyDescent="0.25">
      <c r="A113" s="120"/>
      <c r="B113" s="122"/>
      <c r="C113" s="119"/>
      <c r="D113" s="112"/>
      <c r="E113" s="119"/>
      <c r="F113" s="2"/>
    </row>
    <row r="114" spans="1:6" x14ac:dyDescent="0.25">
      <c r="A114" s="120"/>
      <c r="B114" s="124"/>
      <c r="C114" s="125"/>
      <c r="D114" s="126"/>
      <c r="E114" s="125"/>
    </row>
    <row r="115" spans="1:6" x14ac:dyDescent="0.25">
      <c r="A115" s="116"/>
      <c r="B115" s="127"/>
      <c r="C115" s="128"/>
      <c r="D115" s="129"/>
      <c r="E115" s="128"/>
    </row>
    <row r="116" spans="1:6" x14ac:dyDescent="0.25">
      <c r="A116" s="116"/>
      <c r="B116" s="130"/>
      <c r="C116" s="128"/>
      <c r="D116" s="128"/>
      <c r="E116" s="128"/>
    </row>
    <row r="117" spans="1:6" x14ac:dyDescent="0.25">
      <c r="A117" s="120"/>
      <c r="B117" s="124"/>
      <c r="C117" s="125"/>
      <c r="D117" s="125"/>
      <c r="E117" s="125"/>
    </row>
    <row r="118" spans="1:6" x14ac:dyDescent="0.25">
      <c r="A118" s="120"/>
      <c r="B118" s="131"/>
      <c r="C118" s="125"/>
      <c r="D118" s="125"/>
      <c r="E118" s="125"/>
    </row>
    <row r="119" spans="1:6" x14ac:dyDescent="0.25">
      <c r="A119" s="120"/>
      <c r="B119" s="124"/>
      <c r="C119" s="125"/>
      <c r="D119" s="125"/>
      <c r="E119" s="125"/>
    </row>
    <row r="120" spans="1:6" x14ac:dyDescent="0.25">
      <c r="A120" s="120"/>
      <c r="B120" s="124"/>
      <c r="C120" s="125"/>
      <c r="D120" s="125"/>
      <c r="E120" s="125"/>
    </row>
    <row r="121" spans="1:6" x14ac:dyDescent="0.25">
      <c r="A121" s="116"/>
      <c r="B121" s="111"/>
      <c r="C121" s="118"/>
      <c r="D121" s="118"/>
      <c r="E121" s="118"/>
    </row>
    <row r="122" spans="1:6" x14ac:dyDescent="0.25">
      <c r="A122" s="120"/>
      <c r="B122" s="111"/>
      <c r="C122" s="119"/>
      <c r="D122" s="119"/>
      <c r="E122" s="119"/>
    </row>
    <row r="123" spans="1:6" x14ac:dyDescent="0.25">
      <c r="A123" s="120"/>
      <c r="B123" s="122"/>
      <c r="C123" s="119"/>
      <c r="D123" s="119"/>
      <c r="E123" s="119"/>
    </row>
    <row r="124" spans="1:6" x14ac:dyDescent="0.25">
      <c r="A124" s="120"/>
      <c r="B124" s="111"/>
      <c r="C124" s="119"/>
      <c r="D124" s="119"/>
      <c r="E124" s="119"/>
    </row>
    <row r="125" spans="1:6" x14ac:dyDescent="0.25">
      <c r="A125" s="120"/>
      <c r="B125" s="111"/>
      <c r="C125" s="119"/>
      <c r="D125" s="119"/>
      <c r="E125" s="119"/>
    </row>
    <row r="126" spans="1:6" x14ac:dyDescent="0.25">
      <c r="A126" s="120"/>
      <c r="B126" s="111"/>
      <c r="C126" s="119"/>
      <c r="D126" s="119"/>
      <c r="E126" s="119"/>
    </row>
    <row r="127" spans="1:6" x14ac:dyDescent="0.25">
      <c r="A127" s="247"/>
      <c r="B127" s="247"/>
      <c r="C127" s="132"/>
      <c r="D127" s="132"/>
      <c r="E127" s="132"/>
    </row>
    <row r="128" spans="1:6" x14ac:dyDescent="0.25">
      <c r="A128" s="247"/>
      <c r="B128" s="247"/>
      <c r="C128" s="247"/>
      <c r="D128" s="247"/>
      <c r="E128" s="247"/>
    </row>
    <row r="129" spans="1:6" x14ac:dyDescent="0.25">
      <c r="A129" s="116"/>
      <c r="B129" s="122"/>
      <c r="C129" s="118"/>
      <c r="D129" s="118"/>
      <c r="E129" s="118"/>
    </row>
    <row r="130" spans="1:6" x14ac:dyDescent="0.25">
      <c r="A130" s="246"/>
      <c r="B130" s="122"/>
      <c r="C130" s="133"/>
      <c r="D130" s="119"/>
      <c r="E130" s="119"/>
    </row>
    <row r="131" spans="1:6" x14ac:dyDescent="0.25">
      <c r="A131" s="246"/>
      <c r="B131" s="122"/>
      <c r="C131" s="133"/>
      <c r="D131" s="119"/>
      <c r="E131" s="119"/>
    </row>
    <row r="132" spans="1:6" x14ac:dyDescent="0.25">
      <c r="A132" s="110"/>
      <c r="B132" s="122"/>
      <c r="C132" s="134"/>
      <c r="D132" s="119"/>
      <c r="E132" s="119"/>
      <c r="F132" s="20"/>
    </row>
    <row r="133" spans="1:6" x14ac:dyDescent="0.25">
      <c r="A133" s="110"/>
      <c r="B133" s="122"/>
      <c r="C133" s="134"/>
      <c r="D133" s="119"/>
      <c r="E133" s="119"/>
      <c r="F133" s="228"/>
    </row>
    <row r="134" spans="1:6" x14ac:dyDescent="0.25">
      <c r="A134" s="110"/>
      <c r="B134" s="122"/>
      <c r="C134" s="135"/>
      <c r="D134" s="119"/>
      <c r="E134" s="119"/>
      <c r="F134" s="228"/>
    </row>
    <row r="135" spans="1:6" x14ac:dyDescent="0.25">
      <c r="A135" s="110"/>
      <c r="B135" s="122"/>
      <c r="C135" s="134"/>
      <c r="D135" s="119"/>
      <c r="E135" s="119"/>
      <c r="F135" s="21"/>
    </row>
    <row r="136" spans="1:6" x14ac:dyDescent="0.25">
      <c r="A136" s="110"/>
      <c r="B136" s="122"/>
      <c r="C136" s="134"/>
      <c r="D136" s="119"/>
      <c r="E136" s="119"/>
      <c r="F136" s="2"/>
    </row>
    <row r="137" spans="1:6" x14ac:dyDescent="0.25">
      <c r="A137" s="247"/>
      <c r="B137" s="247"/>
      <c r="C137" s="118"/>
      <c r="D137" s="118"/>
      <c r="E137" s="118"/>
    </row>
    <row r="138" spans="1:6" x14ac:dyDescent="0.25">
      <c r="A138" s="247"/>
      <c r="B138" s="247"/>
      <c r="C138" s="247"/>
      <c r="D138" s="247"/>
      <c r="E138" s="247"/>
      <c r="F138" s="2"/>
    </row>
    <row r="139" spans="1:6" x14ac:dyDescent="0.25">
      <c r="A139" s="116"/>
      <c r="B139" s="111"/>
      <c r="C139" s="118"/>
      <c r="D139" s="118"/>
      <c r="E139" s="118"/>
    </row>
    <row r="140" spans="1:6" x14ac:dyDescent="0.25">
      <c r="A140" s="120"/>
      <c r="B140" s="111"/>
      <c r="C140" s="119"/>
      <c r="D140" s="119"/>
      <c r="E140" s="119"/>
    </row>
    <row r="141" spans="1:6" x14ac:dyDescent="0.25">
      <c r="A141" s="120"/>
      <c r="B141" s="111"/>
      <c r="C141" s="119"/>
      <c r="D141" s="119"/>
      <c r="E141" s="119"/>
    </row>
    <row r="142" spans="1:6" x14ac:dyDescent="0.25">
      <c r="A142" s="116"/>
      <c r="B142" s="111"/>
      <c r="C142" s="118"/>
      <c r="D142" s="118"/>
      <c r="E142" s="118"/>
    </row>
    <row r="143" spans="1:6" x14ac:dyDescent="0.25">
      <c r="A143" s="120"/>
      <c r="B143" s="111"/>
      <c r="C143" s="112"/>
      <c r="D143" s="119"/>
      <c r="E143" s="119"/>
    </row>
    <row r="144" spans="1:6" x14ac:dyDescent="0.25">
      <c r="A144" s="120"/>
      <c r="B144" s="122"/>
      <c r="C144" s="119"/>
      <c r="D144" s="119"/>
      <c r="E144" s="119"/>
    </row>
    <row r="145" spans="1:6" x14ac:dyDescent="0.25">
      <c r="A145" s="123"/>
      <c r="B145" s="122"/>
      <c r="C145" s="119"/>
      <c r="D145" s="119"/>
      <c r="E145" s="119"/>
    </row>
    <row r="146" spans="1:6" x14ac:dyDescent="0.25">
      <c r="A146" s="120"/>
      <c r="B146" s="122"/>
      <c r="C146" s="119"/>
      <c r="D146" s="119"/>
      <c r="E146" s="119"/>
    </row>
    <row r="147" spans="1:6" x14ac:dyDescent="0.25">
      <c r="A147" s="120"/>
      <c r="B147" s="111"/>
      <c r="C147" s="112"/>
      <c r="D147" s="119"/>
      <c r="E147" s="119"/>
    </row>
    <row r="148" spans="1:6" x14ac:dyDescent="0.25">
      <c r="A148" s="110"/>
      <c r="B148" s="117"/>
      <c r="C148" s="118"/>
      <c r="D148" s="118"/>
      <c r="E148" s="118"/>
    </row>
    <row r="149" spans="1:6" x14ac:dyDescent="0.25">
      <c r="A149" s="110"/>
      <c r="B149" s="136"/>
      <c r="C149" s="118"/>
      <c r="D149" s="118"/>
      <c r="E149" s="118"/>
    </row>
    <row r="150" spans="1:6" x14ac:dyDescent="0.25">
      <c r="A150" s="247"/>
      <c r="B150" s="247"/>
      <c r="C150" s="118"/>
      <c r="D150" s="118"/>
      <c r="E150" s="118"/>
    </row>
    <row r="151" spans="1:6" x14ac:dyDescent="0.25">
      <c r="A151" s="247"/>
      <c r="B151" s="247"/>
      <c r="C151" s="247"/>
      <c r="D151" s="247"/>
      <c r="E151" s="247"/>
    </row>
    <row r="152" spans="1:6" x14ac:dyDescent="0.25">
      <c r="A152" s="110"/>
      <c r="B152" s="111"/>
      <c r="C152" s="112"/>
      <c r="D152" s="112"/>
      <c r="E152" s="119"/>
      <c r="F152" s="227"/>
    </row>
    <row r="153" spans="1:6" x14ac:dyDescent="0.25">
      <c r="A153" s="110"/>
      <c r="B153" s="111"/>
      <c r="C153" s="119"/>
      <c r="D153" s="112"/>
      <c r="E153" s="119"/>
      <c r="F153" s="227"/>
    </row>
    <row r="154" spans="1:6" x14ac:dyDescent="0.25">
      <c r="A154" s="247"/>
      <c r="B154" s="247"/>
      <c r="C154" s="118"/>
      <c r="D154" s="118"/>
      <c r="E154" s="118"/>
      <c r="F154" s="21"/>
    </row>
    <row r="155" spans="1:6" x14ac:dyDescent="0.25">
      <c r="A155" s="131"/>
      <c r="B155" s="137"/>
      <c r="C155" s="138"/>
      <c r="D155" s="138"/>
      <c r="E155" s="138"/>
      <c r="F155" s="34"/>
    </row>
    <row r="156" spans="1:6" x14ac:dyDescent="0.25">
      <c r="A156" s="131"/>
      <c r="B156" s="137"/>
      <c r="C156" s="138"/>
      <c r="D156" s="138"/>
      <c r="E156" s="138"/>
      <c r="F156" s="34"/>
    </row>
    <row r="157" spans="1:6" x14ac:dyDescent="0.25">
      <c r="A157" s="248"/>
      <c r="B157" s="248"/>
      <c r="C157" s="139"/>
      <c r="D157" s="139"/>
      <c r="E157" s="139"/>
      <c r="F157" s="34"/>
    </row>
    <row r="158" spans="1:6" x14ac:dyDescent="0.25">
      <c r="A158" s="249"/>
      <c r="B158" s="249"/>
      <c r="C158" s="140"/>
      <c r="D158" s="140"/>
      <c r="E158" s="140"/>
      <c r="F158" s="21"/>
    </row>
    <row r="159" spans="1:6" x14ac:dyDescent="0.25">
      <c r="A159" s="247"/>
      <c r="B159" s="247"/>
      <c r="C159" s="118"/>
      <c r="D159" s="118"/>
      <c r="E159" s="118"/>
    </row>
    <row r="162" spans="1:5" x14ac:dyDescent="0.25">
      <c r="A162" s="196"/>
      <c r="B162" s="197"/>
      <c r="C162" s="197"/>
      <c r="D162" s="197"/>
      <c r="E162" s="197"/>
    </row>
    <row r="163" spans="1:5" x14ac:dyDescent="0.25">
      <c r="A163" s="186"/>
      <c r="B163" s="187"/>
      <c r="C163" s="187"/>
      <c r="D163" s="187"/>
      <c r="E163" s="187"/>
    </row>
  </sheetData>
  <mergeCells count="49">
    <mergeCell ref="A158:B158"/>
    <mergeCell ref="A159:B159"/>
    <mergeCell ref="A162:E162"/>
    <mergeCell ref="A163:E163"/>
    <mergeCell ref="A150:B150"/>
    <mergeCell ref="A151:E151"/>
    <mergeCell ref="F152:F153"/>
    <mergeCell ref="A154:B154"/>
    <mergeCell ref="A157:B157"/>
    <mergeCell ref="A128:E128"/>
    <mergeCell ref="A130:A131"/>
    <mergeCell ref="F133:F134"/>
    <mergeCell ref="A137:B137"/>
    <mergeCell ref="A138:E138"/>
    <mergeCell ref="A94:B94"/>
    <mergeCell ref="A95:E95"/>
    <mergeCell ref="A97:B97"/>
    <mergeCell ref="A98:E98"/>
    <mergeCell ref="A127:B127"/>
    <mergeCell ref="A83:E83"/>
    <mergeCell ref="A84:F84"/>
    <mergeCell ref="A85:E85"/>
    <mergeCell ref="A86:F86"/>
    <mergeCell ref="A89:E89"/>
    <mergeCell ref="A4:F4"/>
    <mergeCell ref="A3:E3"/>
    <mergeCell ref="A2:F2"/>
    <mergeCell ref="A1:E1"/>
    <mergeCell ref="A16:E16"/>
    <mergeCell ref="A15:B15"/>
    <mergeCell ref="A13:E13"/>
    <mergeCell ref="A12:B12"/>
    <mergeCell ref="A7:E7"/>
    <mergeCell ref="F70:F71"/>
    <mergeCell ref="F51:F52"/>
    <mergeCell ref="A68:B68"/>
    <mergeCell ref="A56:E56"/>
    <mergeCell ref="A55:B55"/>
    <mergeCell ref="A72:B72"/>
    <mergeCell ref="A69:E69"/>
    <mergeCell ref="A80:E80"/>
    <mergeCell ref="A45:B45"/>
    <mergeCell ref="A46:E46"/>
    <mergeCell ref="A48:A49"/>
    <mergeCell ref="A81:E81"/>
    <mergeCell ref="A82:E82"/>
    <mergeCell ref="A75:B75"/>
    <mergeCell ref="A77:B77"/>
    <mergeCell ref="A76:B76"/>
  </mergeCells>
  <pageMargins left="0.7" right="0.7" top="0.75" bottom="0.75" header="0.3" footer="0.3"/>
  <pageSetup paperSize="9" orientation="portrait" copies="3" r:id="rId1"/>
  <headerFooter>
    <oddHeader>&amp;LProiectant : 9H BIROU ARHITECTURA S.R.L.
Beneficiar: SPITALUL DE RECUPERARE BRADET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4.2.1 LUCRARI LOCALE SPITAL</vt:lpstr>
      <vt:lpstr>4.2.1 LUCRARI CONTAINER</vt:lpstr>
      <vt:lpstr>GENERAL</vt:lpstr>
      <vt:lpstr>'4.2.1 LUCRARI LOCALE SPITAL'!Print_Area</vt:lpstr>
      <vt:lpstr>GENERAL!Print_Area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DG HG907 final.xlsm</dc:title>
  <dc:creator>PC</dc:creator>
  <cp:lastModifiedBy>Radu</cp:lastModifiedBy>
  <cp:lastPrinted>2025-01-29T18:26:55Z</cp:lastPrinted>
  <dcterms:created xsi:type="dcterms:W3CDTF">2021-10-10T05:18:43Z</dcterms:created>
  <dcterms:modified xsi:type="dcterms:W3CDTF">2025-01-30T04:39:19Z</dcterms:modified>
</cp:coreProperties>
</file>