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georgiana.albu\Desktop\SITE\11,12,2024 DUPA SEDINTA SI FINANTE\"/>
    </mc:Choice>
  </mc:AlternateContent>
  <xr:revisionPtr revIDLastSave="0" documentId="13_ncr:1_{3A2E2F43-90F2-4797-B90C-3FCFF53E8565}" xr6:coauthVersionLast="47" xr6:coauthVersionMax="47" xr10:uidLastSave="{00000000-0000-0000-0000-000000000000}"/>
  <bookViews>
    <workbookView xWindow="-103" yWindow="-103" windowWidth="33120" windowHeight="18000" activeTab="1" xr2:uid="{00000000-000D-0000-FFFF-FFFF00000000}"/>
  </bookViews>
  <sheets>
    <sheet name="Lista dotari 11,12,2024" sheetId="2" r:id="rId1"/>
    <sheet name="Program investitii 11,12,2024" sheetId="1" r:id="rId2"/>
  </sheets>
  <externalReferences>
    <externalReference r:id="rId3"/>
  </externalReferences>
  <definedNames>
    <definedName name="_xlnm._FilterDatabase" localSheetId="0" hidden="1">'Lista dotari 11,12,2024'!$A$5:$BI$555</definedName>
    <definedName name="_xlnm.Database" localSheetId="1">#REF!</definedName>
    <definedName name="_xlnm.Database">#REF!</definedName>
    <definedName name="_xlnm.Print_Area" localSheetId="0">'Lista dotari 11,12,2024'!$A$1:$BI$578</definedName>
    <definedName name="_xlnm.Print_Titles" localSheetId="0">'Lista dotari 11,12,2024'!$5:$7</definedName>
    <definedName name="_xlnm.Print_Titles" localSheetId="1">'Program investitii 11,12,2024'!$21:$25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4" i="2" l="1"/>
  <c r="E551" i="2"/>
  <c r="E547" i="2"/>
  <c r="E545" i="2"/>
  <c r="E544" i="2" s="1"/>
  <c r="E543" i="2" s="1"/>
  <c r="E542" i="2" s="1"/>
  <c r="E541" i="2"/>
  <c r="E540" i="2" s="1"/>
  <c r="E539" i="2" s="1"/>
  <c r="E538" i="2"/>
  <c r="E533" i="2"/>
  <c r="E531" i="2"/>
  <c r="E530" i="2" s="1"/>
  <c r="E529" i="2"/>
  <c r="E528" i="2" s="1"/>
  <c r="E525" i="2"/>
  <c r="E518" i="2"/>
  <c r="E515" i="2"/>
  <c r="E512" i="2"/>
  <c r="E509" i="2"/>
  <c r="E504" i="2"/>
  <c r="E500" i="2"/>
  <c r="E499" i="2"/>
  <c r="E498" i="2"/>
  <c r="E496" i="2"/>
  <c r="E493" i="2"/>
  <c r="E492" i="2"/>
  <c r="E488" i="2"/>
  <c r="E483" i="2"/>
  <c r="E481" i="2"/>
  <c r="E475" i="2"/>
  <c r="E473" i="2"/>
  <c r="E472" i="2" s="1"/>
  <c r="E469" i="2"/>
  <c r="E461" i="2"/>
  <c r="E456" i="2"/>
  <c r="E451" i="2"/>
  <c r="E448" i="2"/>
  <c r="E447" i="2" s="1"/>
  <c r="E433" i="2"/>
  <c r="E429" i="2"/>
  <c r="E414" i="2"/>
  <c r="E390" i="2"/>
  <c r="E388" i="2"/>
  <c r="E386" i="2" s="1"/>
  <c r="E384" i="2"/>
  <c r="E380" i="2"/>
  <c r="E374" i="2"/>
  <c r="E373" i="2"/>
  <c r="E371" i="2"/>
  <c r="E370" i="2" s="1"/>
  <c r="E351" i="2"/>
  <c r="E327" i="2"/>
  <c r="E321" i="2"/>
  <c r="E320" i="2" s="1"/>
  <c r="E318" i="2"/>
  <c r="E306" i="2"/>
  <c r="E294" i="2"/>
  <c r="E288" i="2"/>
  <c r="E271" i="2" s="1"/>
  <c r="E269" i="2"/>
  <c r="E265" i="2"/>
  <c r="E263" i="2"/>
  <c r="E262" i="2"/>
  <c r="E260" i="2"/>
  <c r="E258" i="2"/>
  <c r="E257" i="2" s="1"/>
  <c r="E254" i="2"/>
  <c r="E253" i="2" s="1"/>
  <c r="E251" i="2"/>
  <c r="E250" i="2" s="1"/>
  <c r="E237" i="2"/>
  <c r="E233" i="2"/>
  <c r="E232" i="2" s="1"/>
  <c r="E217" i="2"/>
  <c r="E216" i="2"/>
  <c r="E214" i="2" s="1"/>
  <c r="E199" i="2"/>
  <c r="E197" i="2"/>
  <c r="E157" i="2"/>
  <c r="E152" i="2"/>
  <c r="E149" i="2"/>
  <c r="E146" i="2"/>
  <c r="E144" i="2"/>
  <c r="E141" i="2"/>
  <c r="E140" i="2" s="1"/>
  <c r="E138" i="2"/>
  <c r="E125" i="2"/>
  <c r="E122" i="2"/>
  <c r="E119" i="2"/>
  <c r="E117" i="2"/>
  <c r="E115" i="2"/>
  <c r="E114" i="2"/>
  <c r="E113" i="2" s="1"/>
  <c r="E111" i="2"/>
  <c r="E110" i="2"/>
  <c r="E109" i="2"/>
  <c r="E108" i="2"/>
  <c r="E107" i="2"/>
  <c r="E106" i="2"/>
  <c r="E102" i="2"/>
  <c r="E98" i="2"/>
  <c r="E78" i="2"/>
  <c r="E76" i="2"/>
  <c r="E75" i="2" s="1"/>
  <c r="E74" i="2"/>
  <c r="E73" i="2"/>
  <c r="E72" i="2"/>
  <c r="E71" i="2" s="1"/>
  <c r="E70" i="2" s="1"/>
  <c r="E61" i="2"/>
  <c r="E59" i="2"/>
  <c r="E56" i="2" s="1"/>
  <c r="E50" i="2" s="1"/>
  <c r="E51" i="2"/>
  <c r="E46" i="2"/>
  <c r="E39" i="2"/>
  <c r="E35" i="2"/>
  <c r="E25" i="2"/>
  <c r="E24" i="2"/>
  <c r="E15" i="2" s="1"/>
  <c r="E21" i="2"/>
  <c r="E12" i="2"/>
  <c r="E10" i="2" s="1"/>
  <c r="E455" i="2" l="1"/>
  <c r="E151" i="2"/>
  <c r="E495" i="2"/>
  <c r="E143" i="2"/>
  <c r="E550" i="2"/>
  <c r="E549" i="2" s="1"/>
  <c r="E326" i="2"/>
  <c r="E325" i="2" s="1"/>
  <c r="E432" i="2"/>
  <c r="E105" i="2"/>
  <c r="E14" i="2" s="1"/>
  <c r="E268" i="2"/>
  <c r="E236" i="2" s="1"/>
  <c r="E121" i="2"/>
  <c r="E454" i="2"/>
  <c r="E503" i="2"/>
  <c r="E502" i="2" s="1"/>
  <c r="E11" i="2"/>
  <c r="E9" i="2" l="1"/>
  <c r="E8" i="2"/>
  <c r="G7" i="2" s="1"/>
  <c r="E323" i="2"/>
  <c r="I2726" i="1" l="1"/>
  <c r="H2726" i="1"/>
  <c r="G2726" i="1"/>
  <c r="G2724" i="1" s="1"/>
  <c r="G2722" i="1" s="1"/>
  <c r="F2726" i="1"/>
  <c r="E2726" i="1"/>
  <c r="E2724" i="1" s="1"/>
  <c r="E2722" i="1" s="1"/>
  <c r="D2726" i="1"/>
  <c r="C2726" i="1" s="1"/>
  <c r="I2725" i="1"/>
  <c r="H2725" i="1"/>
  <c r="G2725" i="1"/>
  <c r="F2725" i="1"/>
  <c r="F2723" i="1" s="1"/>
  <c r="F2721" i="1" s="1"/>
  <c r="E2725" i="1"/>
  <c r="E2723" i="1" s="1"/>
  <c r="E2721" i="1" s="1"/>
  <c r="D2725" i="1"/>
  <c r="I2724" i="1"/>
  <c r="I2722" i="1" s="1"/>
  <c r="H2724" i="1"/>
  <c r="H2722" i="1" s="1"/>
  <c r="F2724" i="1"/>
  <c r="F2722" i="1" s="1"/>
  <c r="D2724" i="1"/>
  <c r="D2722" i="1" s="1"/>
  <c r="C2722" i="1" s="1"/>
  <c r="I2723" i="1"/>
  <c r="I2721" i="1" s="1"/>
  <c r="H2723" i="1"/>
  <c r="H2721" i="1" s="1"/>
  <c r="G2723" i="1"/>
  <c r="G2721" i="1" s="1"/>
  <c r="I2719" i="1"/>
  <c r="I2717" i="1" s="1"/>
  <c r="H2719" i="1"/>
  <c r="H2717" i="1" s="1"/>
  <c r="G2719" i="1"/>
  <c r="G2717" i="1" s="1"/>
  <c r="F2719" i="1"/>
  <c r="F2717" i="1" s="1"/>
  <c r="E2719" i="1"/>
  <c r="E2717" i="1" s="1"/>
  <c r="D2719" i="1"/>
  <c r="D2717" i="1" s="1"/>
  <c r="I2718" i="1"/>
  <c r="H2718" i="1"/>
  <c r="H2716" i="1" s="1"/>
  <c r="G2718" i="1"/>
  <c r="G2716" i="1" s="1"/>
  <c r="F2718" i="1"/>
  <c r="F2716" i="1" s="1"/>
  <c r="E2718" i="1"/>
  <c r="D2718" i="1"/>
  <c r="I2716" i="1"/>
  <c r="D2716" i="1"/>
  <c r="I2713" i="1"/>
  <c r="H2713" i="1"/>
  <c r="G2713" i="1"/>
  <c r="F2713" i="1"/>
  <c r="E2713" i="1"/>
  <c r="D2713" i="1"/>
  <c r="I2712" i="1"/>
  <c r="H2712" i="1"/>
  <c r="G2712" i="1"/>
  <c r="F2712" i="1"/>
  <c r="E2712" i="1"/>
  <c r="D2712" i="1"/>
  <c r="C2712" i="1" s="1"/>
  <c r="H2668" i="1"/>
  <c r="C2605" i="1"/>
  <c r="E2604" i="1"/>
  <c r="E2602" i="1" s="1"/>
  <c r="E2600" i="1" s="1"/>
  <c r="E2598" i="1" s="1"/>
  <c r="E2596" i="1" s="1"/>
  <c r="E2594" i="1" s="1"/>
  <c r="D2604" i="1"/>
  <c r="I2603" i="1"/>
  <c r="I2601" i="1" s="1"/>
  <c r="H2603" i="1"/>
  <c r="H2601" i="1" s="1"/>
  <c r="H2599" i="1" s="1"/>
  <c r="H2597" i="1" s="1"/>
  <c r="H2595" i="1" s="1"/>
  <c r="G2603" i="1"/>
  <c r="F2603" i="1"/>
  <c r="F2601" i="1" s="1"/>
  <c r="F2599" i="1" s="1"/>
  <c r="F2597" i="1" s="1"/>
  <c r="F2595" i="1" s="1"/>
  <c r="E2603" i="1"/>
  <c r="E2601" i="1" s="1"/>
  <c r="D2603" i="1"/>
  <c r="C2603" i="1" s="1"/>
  <c r="I2602" i="1"/>
  <c r="H2602" i="1"/>
  <c r="G2602" i="1"/>
  <c r="G2600" i="1" s="1"/>
  <c r="G2598" i="1" s="1"/>
  <c r="F2602" i="1"/>
  <c r="G2601" i="1"/>
  <c r="G2599" i="1" s="1"/>
  <c r="G2597" i="1" s="1"/>
  <c r="G2595" i="1" s="1"/>
  <c r="D2601" i="1"/>
  <c r="D2599" i="1" s="1"/>
  <c r="D2597" i="1" s="1"/>
  <c r="D2595" i="1" s="1"/>
  <c r="I2600" i="1"/>
  <c r="I2598" i="1" s="1"/>
  <c r="I2596" i="1" s="1"/>
  <c r="I2594" i="1" s="1"/>
  <c r="H2600" i="1"/>
  <c r="F2600" i="1"/>
  <c r="I2599" i="1"/>
  <c r="I2597" i="1" s="1"/>
  <c r="H2598" i="1"/>
  <c r="F2598" i="1"/>
  <c r="F2596" i="1" s="1"/>
  <c r="F2594" i="1" s="1"/>
  <c r="H2596" i="1"/>
  <c r="H2594" i="1" s="1"/>
  <c r="G2596" i="1"/>
  <c r="G2594" i="1" s="1"/>
  <c r="I2595" i="1"/>
  <c r="C2592" i="1"/>
  <c r="C2591" i="1"/>
  <c r="I2590" i="1"/>
  <c r="H2590" i="1"/>
  <c r="G2590" i="1"/>
  <c r="F2590" i="1"/>
  <c r="E2590" i="1"/>
  <c r="D2590" i="1"/>
  <c r="I2589" i="1"/>
  <c r="H2589" i="1"/>
  <c r="G2589" i="1"/>
  <c r="F2589" i="1"/>
  <c r="C2589" i="1" s="1"/>
  <c r="E2589" i="1"/>
  <c r="D2589" i="1"/>
  <c r="C2588" i="1"/>
  <c r="C2587" i="1"/>
  <c r="C2586" i="1"/>
  <c r="C2585" i="1"/>
  <c r="I2584" i="1"/>
  <c r="H2584" i="1"/>
  <c r="H2582" i="1" s="1"/>
  <c r="H2580" i="1" s="1"/>
  <c r="H2578" i="1" s="1"/>
  <c r="H2576" i="1" s="1"/>
  <c r="G2584" i="1"/>
  <c r="F2584" i="1"/>
  <c r="E2584" i="1"/>
  <c r="E2582" i="1" s="1"/>
  <c r="E2580" i="1" s="1"/>
  <c r="E2578" i="1" s="1"/>
  <c r="E2576" i="1" s="1"/>
  <c r="D2584" i="1"/>
  <c r="I2583" i="1"/>
  <c r="I2581" i="1" s="1"/>
  <c r="I2579" i="1" s="1"/>
  <c r="I2577" i="1" s="1"/>
  <c r="I2575" i="1" s="1"/>
  <c r="H2583" i="1"/>
  <c r="H2581" i="1" s="1"/>
  <c r="H2579" i="1" s="1"/>
  <c r="H2577" i="1" s="1"/>
  <c r="H2575" i="1" s="1"/>
  <c r="G2583" i="1"/>
  <c r="F2583" i="1"/>
  <c r="F2581" i="1" s="1"/>
  <c r="E2583" i="1"/>
  <c r="E2581" i="1" s="1"/>
  <c r="D2583" i="1"/>
  <c r="D2581" i="1" s="1"/>
  <c r="I2582" i="1"/>
  <c r="I2580" i="1" s="1"/>
  <c r="I2578" i="1" s="1"/>
  <c r="I2576" i="1" s="1"/>
  <c r="G2582" i="1"/>
  <c r="F2582" i="1"/>
  <c r="F2580" i="1" s="1"/>
  <c r="F2578" i="1" s="1"/>
  <c r="F2576" i="1" s="1"/>
  <c r="G2580" i="1"/>
  <c r="G2578" i="1" s="1"/>
  <c r="G2576" i="1" s="1"/>
  <c r="F2579" i="1"/>
  <c r="D2579" i="1"/>
  <c r="F2577" i="1"/>
  <c r="F2575" i="1" s="1"/>
  <c r="D2577" i="1"/>
  <c r="D2575" i="1"/>
  <c r="I2574" i="1"/>
  <c r="H2574" i="1"/>
  <c r="G2574" i="1"/>
  <c r="G2566" i="1" s="1"/>
  <c r="F2574" i="1"/>
  <c r="E2574" i="1"/>
  <c r="D2574" i="1"/>
  <c r="I2573" i="1"/>
  <c r="H2573" i="1"/>
  <c r="G2573" i="1"/>
  <c r="F2573" i="1"/>
  <c r="E2573" i="1"/>
  <c r="D2573" i="1"/>
  <c r="C2572" i="1"/>
  <c r="C2571" i="1"/>
  <c r="F2570" i="1"/>
  <c r="E2570" i="1"/>
  <c r="D2570" i="1"/>
  <c r="C2570" i="1"/>
  <c r="F2569" i="1"/>
  <c r="F2567" i="1" s="1"/>
  <c r="E2569" i="1"/>
  <c r="E2567" i="1" s="1"/>
  <c r="E2565" i="1" s="1"/>
  <c r="D2569" i="1"/>
  <c r="C2569" i="1"/>
  <c r="I2568" i="1"/>
  <c r="H2568" i="1"/>
  <c r="G2568" i="1"/>
  <c r="F2568" i="1"/>
  <c r="E2568" i="1"/>
  <c r="D2568" i="1"/>
  <c r="D2566" i="1" s="1"/>
  <c r="C2568" i="1"/>
  <c r="I2567" i="1"/>
  <c r="H2567" i="1"/>
  <c r="G2567" i="1"/>
  <c r="G2565" i="1" s="1"/>
  <c r="D2567" i="1"/>
  <c r="D2565" i="1" s="1"/>
  <c r="I2566" i="1"/>
  <c r="I2564" i="1" s="1"/>
  <c r="I2562" i="1" s="1"/>
  <c r="I2560" i="1" s="1"/>
  <c r="H2566" i="1"/>
  <c r="H2564" i="1" s="1"/>
  <c r="H2562" i="1" s="1"/>
  <c r="H2560" i="1" s="1"/>
  <c r="E2566" i="1"/>
  <c r="E2564" i="1" s="1"/>
  <c r="E2562" i="1" s="1"/>
  <c r="E2560" i="1" s="1"/>
  <c r="I2565" i="1"/>
  <c r="H2565" i="1"/>
  <c r="D2564" i="1"/>
  <c r="D2562" i="1" s="1"/>
  <c r="I2563" i="1"/>
  <c r="I2561" i="1" s="1"/>
  <c r="I2559" i="1" s="1"/>
  <c r="H2563" i="1"/>
  <c r="H2561" i="1"/>
  <c r="H2559" i="1" s="1"/>
  <c r="C2558" i="1"/>
  <c r="C2557" i="1"/>
  <c r="I2556" i="1"/>
  <c r="H2556" i="1"/>
  <c r="G2556" i="1"/>
  <c r="F2556" i="1"/>
  <c r="E2556" i="1"/>
  <c r="D2556" i="1"/>
  <c r="I2555" i="1"/>
  <c r="H2555" i="1"/>
  <c r="G2555" i="1"/>
  <c r="F2555" i="1"/>
  <c r="E2555" i="1"/>
  <c r="D2555" i="1"/>
  <c r="C2555" i="1" s="1"/>
  <c r="C2554" i="1"/>
  <c r="C2553" i="1"/>
  <c r="I2552" i="1"/>
  <c r="H2552" i="1"/>
  <c r="G2552" i="1"/>
  <c r="F2552" i="1"/>
  <c r="E2552" i="1"/>
  <c r="D2552" i="1"/>
  <c r="C2552" i="1"/>
  <c r="I2551" i="1"/>
  <c r="I2549" i="1" s="1"/>
  <c r="H2551" i="1"/>
  <c r="G2551" i="1"/>
  <c r="G2549" i="1" s="1"/>
  <c r="F2551" i="1"/>
  <c r="F2549" i="1" s="1"/>
  <c r="E2551" i="1"/>
  <c r="D2551" i="1"/>
  <c r="D2549" i="1" s="1"/>
  <c r="G2550" i="1"/>
  <c r="G2173" i="1" s="1"/>
  <c r="G539" i="1" s="1"/>
  <c r="G49" i="1" s="1"/>
  <c r="F2550" i="1"/>
  <c r="E2550" i="1"/>
  <c r="D2550" i="1"/>
  <c r="C2548" i="1"/>
  <c r="C2547" i="1"/>
  <c r="I2546" i="1"/>
  <c r="H2546" i="1"/>
  <c r="G2546" i="1"/>
  <c r="F2546" i="1"/>
  <c r="E2546" i="1"/>
  <c r="D2546" i="1"/>
  <c r="I2545" i="1"/>
  <c r="H2545" i="1"/>
  <c r="G2545" i="1"/>
  <c r="F2545" i="1"/>
  <c r="E2545" i="1"/>
  <c r="D2545" i="1"/>
  <c r="C2545" i="1" s="1"/>
  <c r="C2544" i="1"/>
  <c r="C2543" i="1"/>
  <c r="C2542" i="1"/>
  <c r="C2541" i="1"/>
  <c r="I2540" i="1"/>
  <c r="H2540" i="1"/>
  <c r="G2540" i="1"/>
  <c r="F2540" i="1"/>
  <c r="E2540" i="1"/>
  <c r="C2540" i="1" s="1"/>
  <c r="D2540" i="1"/>
  <c r="I2539" i="1"/>
  <c r="H2539" i="1"/>
  <c r="G2539" i="1"/>
  <c r="F2539" i="1"/>
  <c r="E2539" i="1"/>
  <c r="D2539" i="1"/>
  <c r="C2538" i="1"/>
  <c r="C2537" i="1"/>
  <c r="I2536" i="1"/>
  <c r="H2536" i="1"/>
  <c r="G2536" i="1"/>
  <c r="F2536" i="1"/>
  <c r="E2536" i="1"/>
  <c r="D2536" i="1"/>
  <c r="I2535" i="1"/>
  <c r="H2535" i="1"/>
  <c r="G2535" i="1"/>
  <c r="F2535" i="1"/>
  <c r="E2535" i="1"/>
  <c r="D2535" i="1"/>
  <c r="C2534" i="1"/>
  <c r="C2533" i="1"/>
  <c r="C2532" i="1"/>
  <c r="C2531" i="1"/>
  <c r="I2530" i="1"/>
  <c r="H2530" i="1"/>
  <c r="G2530" i="1"/>
  <c r="F2530" i="1"/>
  <c r="E2530" i="1"/>
  <c r="D2530" i="1"/>
  <c r="I2529" i="1"/>
  <c r="H2529" i="1"/>
  <c r="G2529" i="1"/>
  <c r="F2529" i="1"/>
  <c r="E2529" i="1"/>
  <c r="D2529" i="1"/>
  <c r="C2528" i="1"/>
  <c r="C2527" i="1"/>
  <c r="I2526" i="1"/>
  <c r="H2526" i="1"/>
  <c r="G2526" i="1"/>
  <c r="F2526" i="1"/>
  <c r="E2526" i="1"/>
  <c r="D2526" i="1"/>
  <c r="I2525" i="1"/>
  <c r="H2525" i="1"/>
  <c r="G2525" i="1"/>
  <c r="F2525" i="1"/>
  <c r="E2525" i="1"/>
  <c r="D2525" i="1"/>
  <c r="C2524" i="1"/>
  <c r="C2523" i="1"/>
  <c r="C2522" i="1"/>
  <c r="C2521" i="1"/>
  <c r="C2520" i="1"/>
  <c r="C2519" i="1"/>
  <c r="C2518" i="1"/>
  <c r="C2517" i="1"/>
  <c r="C2516" i="1"/>
  <c r="C2515" i="1"/>
  <c r="C2514" i="1"/>
  <c r="C2513" i="1"/>
  <c r="C2512" i="1"/>
  <c r="C2511" i="1"/>
  <c r="C2510" i="1"/>
  <c r="C2509" i="1"/>
  <c r="I2508" i="1"/>
  <c r="I2504" i="1" s="1"/>
  <c r="H2508" i="1"/>
  <c r="H2504" i="1" s="1"/>
  <c r="G2508" i="1"/>
  <c r="G2504" i="1" s="1"/>
  <c r="F2508" i="1"/>
  <c r="F2504" i="1" s="1"/>
  <c r="D2508" i="1"/>
  <c r="I2507" i="1"/>
  <c r="H2507" i="1"/>
  <c r="G2507" i="1"/>
  <c r="F2507" i="1"/>
  <c r="D2507" i="1"/>
  <c r="C2506" i="1"/>
  <c r="C2505" i="1"/>
  <c r="E2504" i="1"/>
  <c r="D2504" i="1"/>
  <c r="I2503" i="1"/>
  <c r="H2503" i="1"/>
  <c r="G2503" i="1"/>
  <c r="F2503" i="1"/>
  <c r="E2503" i="1"/>
  <c r="D2503" i="1"/>
  <c r="C2502" i="1"/>
  <c r="C2501" i="1"/>
  <c r="C2500" i="1"/>
  <c r="C2499" i="1"/>
  <c r="C2498" i="1"/>
  <c r="C2497" i="1"/>
  <c r="C2496" i="1"/>
  <c r="C2495" i="1"/>
  <c r="C2494" i="1"/>
  <c r="C2493" i="1"/>
  <c r="C2492" i="1"/>
  <c r="C2491" i="1"/>
  <c r="C2490" i="1"/>
  <c r="C2489" i="1"/>
  <c r="C2488" i="1"/>
  <c r="C2487" i="1"/>
  <c r="C2486" i="1"/>
  <c r="C2485" i="1"/>
  <c r="C2484" i="1"/>
  <c r="C2483" i="1"/>
  <c r="C2482" i="1"/>
  <c r="C2481" i="1"/>
  <c r="C2480" i="1"/>
  <c r="C2479" i="1"/>
  <c r="C2478" i="1"/>
  <c r="C2477" i="1"/>
  <c r="C2476" i="1"/>
  <c r="C2475" i="1"/>
  <c r="C2474" i="1"/>
  <c r="C2473" i="1"/>
  <c r="E2472" i="1"/>
  <c r="E2438" i="1" s="1"/>
  <c r="E2436" i="1" s="1"/>
  <c r="C2472" i="1"/>
  <c r="E2471"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I2438" i="1"/>
  <c r="H2438" i="1"/>
  <c r="G2438" i="1"/>
  <c r="G2436" i="1" s="1"/>
  <c r="G2434" i="1" s="1"/>
  <c r="G2432" i="1" s="1"/>
  <c r="G2430" i="1" s="1"/>
  <c r="F2438" i="1"/>
  <c r="D2438" i="1"/>
  <c r="I2437" i="1"/>
  <c r="H2437" i="1"/>
  <c r="G2437" i="1"/>
  <c r="F2437" i="1"/>
  <c r="E2437" i="1"/>
  <c r="E2435" i="1" s="1"/>
  <c r="E2433" i="1" s="1"/>
  <c r="D2437" i="1"/>
  <c r="F2435" i="1"/>
  <c r="F2433" i="1" s="1"/>
  <c r="F2431" i="1" s="1"/>
  <c r="F2429" i="1" s="1"/>
  <c r="C2425" i="1"/>
  <c r="C2424" i="1"/>
  <c r="I2423" i="1"/>
  <c r="H2423" i="1"/>
  <c r="G2423" i="1"/>
  <c r="F2423" i="1"/>
  <c r="E2423" i="1"/>
  <c r="D2423" i="1"/>
  <c r="C2423" i="1"/>
  <c r="I2422" i="1"/>
  <c r="H2422" i="1"/>
  <c r="G2422" i="1"/>
  <c r="F2422" i="1"/>
  <c r="E2422" i="1"/>
  <c r="D2422" i="1"/>
  <c r="C2421" i="1"/>
  <c r="C2420" i="1"/>
  <c r="C2419" i="1"/>
  <c r="C2418" i="1"/>
  <c r="C2417" i="1"/>
  <c r="C2416" i="1"/>
  <c r="C2415" i="1"/>
  <c r="C2414" i="1"/>
  <c r="C2413" i="1"/>
  <c r="C2412" i="1"/>
  <c r="C2411" i="1"/>
  <c r="C2410" i="1"/>
  <c r="C2409" i="1"/>
  <c r="C2408" i="1"/>
  <c r="I2407" i="1"/>
  <c r="H2407" i="1"/>
  <c r="H2405" i="1" s="1"/>
  <c r="H2403" i="1" s="1"/>
  <c r="H2401" i="1" s="1"/>
  <c r="H2399" i="1" s="1"/>
  <c r="H2397" i="1" s="1"/>
  <c r="G2407" i="1"/>
  <c r="F2407" i="1"/>
  <c r="E2407" i="1"/>
  <c r="D2407" i="1"/>
  <c r="I2406" i="1"/>
  <c r="H2406" i="1"/>
  <c r="G2406" i="1"/>
  <c r="F2406" i="1"/>
  <c r="E2406" i="1"/>
  <c r="D2406" i="1"/>
  <c r="C2406" i="1" s="1"/>
  <c r="I2405" i="1"/>
  <c r="G2405" i="1"/>
  <c r="G2403" i="1" s="1"/>
  <c r="G2401" i="1" s="1"/>
  <c r="G2399" i="1" s="1"/>
  <c r="G2397" i="1" s="1"/>
  <c r="F2405" i="1"/>
  <c r="F2403" i="1" s="1"/>
  <c r="F2401" i="1" s="1"/>
  <c r="F2399" i="1" s="1"/>
  <c r="F2397" i="1" s="1"/>
  <c r="E2405" i="1"/>
  <c r="E2403" i="1" s="1"/>
  <c r="E2401" i="1" s="1"/>
  <c r="E2399" i="1" s="1"/>
  <c r="E2397" i="1" s="1"/>
  <c r="D2405" i="1"/>
  <c r="H2404" i="1"/>
  <c r="G2404" i="1"/>
  <c r="D2404" i="1"/>
  <c r="D2402" i="1" s="1"/>
  <c r="D2400" i="1" s="1"/>
  <c r="D2398" i="1" s="1"/>
  <c r="I2403" i="1"/>
  <c r="I2401" i="1" s="1"/>
  <c r="I2399" i="1" s="1"/>
  <c r="I2397" i="1" s="1"/>
  <c r="H2402" i="1"/>
  <c r="H2400" i="1" s="1"/>
  <c r="H2398" i="1" s="1"/>
  <c r="H2396" i="1" s="1"/>
  <c r="G2402" i="1"/>
  <c r="G2400" i="1" s="1"/>
  <c r="G2398" i="1" s="1"/>
  <c r="G2396" i="1" s="1"/>
  <c r="C2394" i="1"/>
  <c r="C2393" i="1"/>
  <c r="I2392" i="1"/>
  <c r="H2392" i="1"/>
  <c r="G2392" i="1"/>
  <c r="F2392" i="1"/>
  <c r="E2392" i="1"/>
  <c r="D2392" i="1"/>
  <c r="C2392" i="1" s="1"/>
  <c r="I2391" i="1"/>
  <c r="H2391" i="1"/>
  <c r="G2391" i="1"/>
  <c r="F2391" i="1"/>
  <c r="E2391" i="1"/>
  <c r="C2391" i="1" s="1"/>
  <c r="D2391" i="1"/>
  <c r="E2390" i="1"/>
  <c r="C2390" i="1" s="1"/>
  <c r="E2389" i="1"/>
  <c r="E2387" i="1" s="1"/>
  <c r="C2389" i="1"/>
  <c r="I2388" i="1"/>
  <c r="H2388" i="1"/>
  <c r="G2388" i="1"/>
  <c r="F2388" i="1"/>
  <c r="E2388" i="1"/>
  <c r="D2388" i="1"/>
  <c r="C2388" i="1" s="1"/>
  <c r="I2387" i="1"/>
  <c r="H2387" i="1"/>
  <c r="G2387" i="1"/>
  <c r="F2387" i="1"/>
  <c r="D2387" i="1"/>
  <c r="C2386" i="1"/>
  <c r="C2385" i="1"/>
  <c r="C2384" i="1"/>
  <c r="C2383" i="1"/>
  <c r="C2382" i="1"/>
  <c r="C2381" i="1"/>
  <c r="C2380" i="1"/>
  <c r="C2379" i="1"/>
  <c r="I2378" i="1"/>
  <c r="H2378" i="1"/>
  <c r="G2378" i="1"/>
  <c r="G2370" i="1" s="1"/>
  <c r="G2183" i="1" s="1"/>
  <c r="F2378" i="1"/>
  <c r="E2378" i="1"/>
  <c r="D2378" i="1"/>
  <c r="I2377" i="1"/>
  <c r="H2377" i="1"/>
  <c r="G2377" i="1"/>
  <c r="F2377" i="1"/>
  <c r="E2377" i="1"/>
  <c r="D2377" i="1"/>
  <c r="C2377" i="1"/>
  <c r="C2376" i="1"/>
  <c r="C2375" i="1"/>
  <c r="I2374" i="1"/>
  <c r="I2372" i="1" s="1"/>
  <c r="I2370" i="1" s="1"/>
  <c r="I2183" i="1" s="1"/>
  <c r="C2374" i="1"/>
  <c r="I2373" i="1"/>
  <c r="H2372" i="1"/>
  <c r="G2372" i="1"/>
  <c r="F2372" i="1"/>
  <c r="E2372" i="1"/>
  <c r="D2372" i="1"/>
  <c r="H2371" i="1"/>
  <c r="G2371" i="1"/>
  <c r="F2371" i="1"/>
  <c r="E2371" i="1"/>
  <c r="D2371" i="1"/>
  <c r="G2369" i="1"/>
  <c r="G2182" i="1" s="1"/>
  <c r="G556" i="1" s="1"/>
  <c r="G74" i="1" s="1"/>
  <c r="F2369" i="1"/>
  <c r="F2182" i="1" s="1"/>
  <c r="F556" i="1" s="1"/>
  <c r="D2369" i="1"/>
  <c r="D2182" i="1" s="1"/>
  <c r="D556" i="1" s="1"/>
  <c r="C2368" i="1"/>
  <c r="C2367" i="1"/>
  <c r="I2366" i="1"/>
  <c r="H2366" i="1"/>
  <c r="G2366" i="1"/>
  <c r="F2366" i="1"/>
  <c r="E2366" i="1"/>
  <c r="D2366" i="1"/>
  <c r="I2365" i="1"/>
  <c r="H2365" i="1"/>
  <c r="G2365" i="1"/>
  <c r="F2365" i="1"/>
  <c r="E2365" i="1"/>
  <c r="D2365" i="1"/>
  <c r="C2364" i="1"/>
  <c r="C2363" i="1"/>
  <c r="C2362" i="1"/>
  <c r="C2361" i="1"/>
  <c r="I2360" i="1"/>
  <c r="H2360" i="1"/>
  <c r="G2360" i="1"/>
  <c r="F2360" i="1"/>
  <c r="E2360" i="1"/>
  <c r="D2360" i="1"/>
  <c r="I2359" i="1"/>
  <c r="H2359" i="1"/>
  <c r="G2359" i="1"/>
  <c r="F2359" i="1"/>
  <c r="E2359" i="1"/>
  <c r="D2359" i="1"/>
  <c r="C2359" i="1" s="1"/>
  <c r="C2358" i="1"/>
  <c r="C2357" i="1"/>
  <c r="E2356" i="1"/>
  <c r="E2352" i="1" s="1"/>
  <c r="C2356" i="1"/>
  <c r="E2355" i="1"/>
  <c r="E2351" i="1" s="1"/>
  <c r="C2355" i="1"/>
  <c r="C2354" i="1"/>
  <c r="C2353" i="1"/>
  <c r="I2352" i="1"/>
  <c r="H2352" i="1"/>
  <c r="G2352" i="1"/>
  <c r="F2352" i="1"/>
  <c r="D2352" i="1"/>
  <c r="I2351" i="1"/>
  <c r="H2351" i="1"/>
  <c r="G2351" i="1"/>
  <c r="F2351" i="1"/>
  <c r="D2351" i="1"/>
  <c r="C2350" i="1"/>
  <c r="C2349" i="1"/>
  <c r="E2348" i="1"/>
  <c r="C2348" i="1"/>
  <c r="E2347" i="1"/>
  <c r="C2347" i="1"/>
  <c r="E2346" i="1"/>
  <c r="C2346" i="1" s="1"/>
  <c r="E2345" i="1"/>
  <c r="C2345" i="1" s="1"/>
  <c r="I2344" i="1"/>
  <c r="H2344" i="1"/>
  <c r="G2344" i="1"/>
  <c r="F2344" i="1"/>
  <c r="E2344" i="1"/>
  <c r="D2344" i="1"/>
  <c r="I2343" i="1"/>
  <c r="H2343" i="1"/>
  <c r="G2343" i="1"/>
  <c r="F2343" i="1"/>
  <c r="E2343" i="1"/>
  <c r="D2343" i="1"/>
  <c r="C2342" i="1"/>
  <c r="C2341" i="1"/>
  <c r="C2340" i="1"/>
  <c r="C2339" i="1"/>
  <c r="C2338" i="1"/>
  <c r="C2337" i="1"/>
  <c r="C2336" i="1"/>
  <c r="C2335" i="1"/>
  <c r="I2334" i="1"/>
  <c r="H2334" i="1"/>
  <c r="G2334" i="1"/>
  <c r="F2334" i="1"/>
  <c r="E2334" i="1"/>
  <c r="D2334" i="1"/>
  <c r="I2333" i="1"/>
  <c r="H2333" i="1"/>
  <c r="G2333" i="1"/>
  <c r="F2333" i="1"/>
  <c r="E2333" i="1"/>
  <c r="D2333" i="1"/>
  <c r="E2332" i="1"/>
  <c r="C2332" i="1"/>
  <c r="E2331" i="1"/>
  <c r="E2321" i="1" s="1"/>
  <c r="C2331" i="1"/>
  <c r="C2330" i="1"/>
  <c r="C2329" i="1"/>
  <c r="C2328" i="1"/>
  <c r="C2327" i="1"/>
  <c r="C2326" i="1"/>
  <c r="C2325" i="1"/>
  <c r="C2324" i="1"/>
  <c r="C2323" i="1"/>
  <c r="I2322" i="1"/>
  <c r="H2322" i="1"/>
  <c r="G2322" i="1"/>
  <c r="F2322" i="1"/>
  <c r="E2322" i="1"/>
  <c r="D2322" i="1"/>
  <c r="C2322" i="1"/>
  <c r="I2321" i="1"/>
  <c r="H2321" i="1"/>
  <c r="G2321" i="1"/>
  <c r="F2321" i="1"/>
  <c r="D2321" i="1"/>
  <c r="C2320" i="1"/>
  <c r="C2319" i="1"/>
  <c r="C2318" i="1"/>
  <c r="C2317" i="1"/>
  <c r="I2316" i="1"/>
  <c r="H2316" i="1"/>
  <c r="G2316" i="1"/>
  <c r="F2316" i="1"/>
  <c r="E2316" i="1"/>
  <c r="D2316" i="1"/>
  <c r="I2315" i="1"/>
  <c r="H2315" i="1"/>
  <c r="G2315" i="1"/>
  <c r="F2315" i="1"/>
  <c r="E2315" i="1"/>
  <c r="D2315" i="1"/>
  <c r="C2315" i="1" s="1"/>
  <c r="C2314" i="1"/>
  <c r="C2313" i="1"/>
  <c r="C2312" i="1"/>
  <c r="C2311" i="1"/>
  <c r="C2310" i="1"/>
  <c r="C2309" i="1"/>
  <c r="C2308" i="1"/>
  <c r="C2307" i="1"/>
  <c r="C2306" i="1"/>
  <c r="C2305" i="1"/>
  <c r="C2304" i="1"/>
  <c r="C2303" i="1"/>
  <c r="I2302" i="1"/>
  <c r="H2302" i="1"/>
  <c r="G2302" i="1"/>
  <c r="F2302" i="1"/>
  <c r="E2302" i="1"/>
  <c r="D2302" i="1"/>
  <c r="I2301" i="1"/>
  <c r="H2301" i="1"/>
  <c r="G2301" i="1"/>
  <c r="F2301" i="1"/>
  <c r="E2301" i="1"/>
  <c r="D2301" i="1"/>
  <c r="C2300" i="1"/>
  <c r="C2299" i="1"/>
  <c r="C2298" i="1"/>
  <c r="C2297" i="1"/>
  <c r="C2296" i="1"/>
  <c r="C2295" i="1"/>
  <c r="C2294" i="1"/>
  <c r="C2293" i="1"/>
  <c r="I2292" i="1"/>
  <c r="H2292" i="1"/>
  <c r="G2292" i="1"/>
  <c r="F2292" i="1"/>
  <c r="E2292" i="1"/>
  <c r="D2292" i="1"/>
  <c r="I2291" i="1"/>
  <c r="H2291" i="1"/>
  <c r="G2291" i="1"/>
  <c r="F2291" i="1"/>
  <c r="E2291" i="1"/>
  <c r="D2291" i="1"/>
  <c r="G2290" i="1"/>
  <c r="G2288" i="1" s="1"/>
  <c r="G2286" i="1" s="1"/>
  <c r="G2284" i="1" s="1"/>
  <c r="G2282" i="1" s="1"/>
  <c r="F2290" i="1"/>
  <c r="F2288" i="1" s="1"/>
  <c r="C2279" i="1"/>
  <c r="C2278" i="1"/>
  <c r="I2277" i="1"/>
  <c r="H2277" i="1"/>
  <c r="H2271" i="1" s="1"/>
  <c r="H2269" i="1" s="1"/>
  <c r="H2267" i="1" s="1"/>
  <c r="H2265" i="1" s="1"/>
  <c r="H2263" i="1" s="1"/>
  <c r="G2277" i="1"/>
  <c r="F2277" i="1"/>
  <c r="E2277" i="1"/>
  <c r="D2277" i="1"/>
  <c r="I2276" i="1"/>
  <c r="H2276" i="1"/>
  <c r="G2276" i="1"/>
  <c r="F2276" i="1"/>
  <c r="E2276" i="1"/>
  <c r="D2276" i="1"/>
  <c r="C2275" i="1"/>
  <c r="C2274" i="1"/>
  <c r="I2273" i="1"/>
  <c r="H2273" i="1"/>
  <c r="G2273" i="1"/>
  <c r="F2273" i="1"/>
  <c r="E2273" i="1"/>
  <c r="D2273" i="1"/>
  <c r="I2272" i="1"/>
  <c r="H2272" i="1"/>
  <c r="G2272" i="1"/>
  <c r="F2272" i="1"/>
  <c r="E2272" i="1"/>
  <c r="D2272" i="1"/>
  <c r="D2270" i="1" s="1"/>
  <c r="G2271" i="1"/>
  <c r="G2269" i="1" s="1"/>
  <c r="G2267" i="1" s="1"/>
  <c r="G2265" i="1" s="1"/>
  <c r="G2263" i="1" s="1"/>
  <c r="F2271" i="1"/>
  <c r="E2271" i="1"/>
  <c r="E2269" i="1" s="1"/>
  <c r="E2267" i="1" s="1"/>
  <c r="E2265" i="1" s="1"/>
  <c r="E2263" i="1" s="1"/>
  <c r="D2271" i="1"/>
  <c r="H2270" i="1"/>
  <c r="F2269" i="1"/>
  <c r="F2267" i="1" s="1"/>
  <c r="F2265" i="1" s="1"/>
  <c r="F2263" i="1" s="1"/>
  <c r="H2268" i="1"/>
  <c r="H2266" i="1" s="1"/>
  <c r="D2268" i="1"/>
  <c r="D2266" i="1" s="1"/>
  <c r="H2264" i="1"/>
  <c r="H2262" i="1" s="1"/>
  <c r="D2264" i="1"/>
  <c r="D2262" i="1" s="1"/>
  <c r="F2260" i="1"/>
  <c r="F2259" i="1"/>
  <c r="C2259" i="1" s="1"/>
  <c r="C2258" i="1"/>
  <c r="C2257" i="1"/>
  <c r="I2256" i="1"/>
  <c r="H2256" i="1"/>
  <c r="G2256" i="1"/>
  <c r="G2254" i="1" s="1"/>
  <c r="E2256" i="1"/>
  <c r="E2254" i="1" s="1"/>
  <c r="D2256" i="1"/>
  <c r="I2255" i="1"/>
  <c r="I2253" i="1" s="1"/>
  <c r="H2255" i="1"/>
  <c r="H2253" i="1" s="1"/>
  <c r="G2255" i="1"/>
  <c r="G2253" i="1" s="1"/>
  <c r="G2245" i="1" s="1"/>
  <c r="G2243" i="1" s="1"/>
  <c r="G2241" i="1" s="1"/>
  <c r="F2255" i="1"/>
  <c r="F2253" i="1" s="1"/>
  <c r="F2245" i="1" s="1"/>
  <c r="F2243" i="1" s="1"/>
  <c r="F2241" i="1" s="1"/>
  <c r="E2255" i="1"/>
  <c r="E2253" i="1" s="1"/>
  <c r="D2255" i="1"/>
  <c r="I2254" i="1"/>
  <c r="D2254" i="1"/>
  <c r="C2252" i="1"/>
  <c r="C2251" i="1"/>
  <c r="I2250" i="1"/>
  <c r="I2248" i="1" s="1"/>
  <c r="I2246" i="1" s="1"/>
  <c r="I2244" i="1" s="1"/>
  <c r="I2242" i="1" s="1"/>
  <c r="H2250" i="1"/>
  <c r="H2248" i="1" s="1"/>
  <c r="G2250" i="1"/>
  <c r="G2248" i="1" s="1"/>
  <c r="G2246" i="1" s="1"/>
  <c r="G2244" i="1" s="1"/>
  <c r="G2242" i="1" s="1"/>
  <c r="F2250" i="1"/>
  <c r="E2250" i="1"/>
  <c r="D2250" i="1"/>
  <c r="I2249" i="1"/>
  <c r="H2249" i="1"/>
  <c r="G2249" i="1"/>
  <c r="F2249" i="1"/>
  <c r="F2247" i="1" s="1"/>
  <c r="E2249" i="1"/>
  <c r="E2247" i="1" s="1"/>
  <c r="D2249" i="1"/>
  <c r="D2247" i="1" s="1"/>
  <c r="F2248" i="1"/>
  <c r="E2248" i="1"/>
  <c r="D2248" i="1"/>
  <c r="H2247" i="1"/>
  <c r="G2247" i="1"/>
  <c r="E2246" i="1"/>
  <c r="E2244" i="1" s="1"/>
  <c r="E2242" i="1" s="1"/>
  <c r="C2239" i="1"/>
  <c r="C2238" i="1"/>
  <c r="I2237" i="1"/>
  <c r="H2237" i="1"/>
  <c r="G2237" i="1"/>
  <c r="F2237" i="1"/>
  <c r="E2237" i="1"/>
  <c r="C2237" i="1" s="1"/>
  <c r="D2237" i="1"/>
  <c r="I2236" i="1"/>
  <c r="H2236" i="1"/>
  <c r="G2236" i="1"/>
  <c r="F2236" i="1"/>
  <c r="E2236" i="1"/>
  <c r="D2236" i="1"/>
  <c r="I2235" i="1"/>
  <c r="H2235" i="1"/>
  <c r="G2235" i="1"/>
  <c r="F2235" i="1"/>
  <c r="E2235" i="1"/>
  <c r="D2235" i="1"/>
  <c r="I2234" i="1"/>
  <c r="H2234" i="1"/>
  <c r="H2226" i="1" s="1"/>
  <c r="G2234" i="1"/>
  <c r="F2234" i="1"/>
  <c r="E2234" i="1"/>
  <c r="D2234" i="1"/>
  <c r="C2233" i="1"/>
  <c r="C2232" i="1"/>
  <c r="I2231" i="1"/>
  <c r="H2231" i="1"/>
  <c r="G2231" i="1"/>
  <c r="F2231" i="1"/>
  <c r="E2231" i="1"/>
  <c r="D2231" i="1"/>
  <c r="I2230" i="1"/>
  <c r="H2230" i="1"/>
  <c r="G2230" i="1"/>
  <c r="F2230" i="1"/>
  <c r="E2230" i="1"/>
  <c r="D2230" i="1"/>
  <c r="I2229" i="1"/>
  <c r="I2227" i="1" s="1"/>
  <c r="H2229" i="1"/>
  <c r="H2227" i="1" s="1"/>
  <c r="H2225" i="1" s="1"/>
  <c r="H2223" i="1" s="1"/>
  <c r="G2229" i="1"/>
  <c r="G2227" i="1" s="1"/>
  <c r="G2225" i="1" s="1"/>
  <c r="F2229" i="1"/>
  <c r="E2229" i="1"/>
  <c r="D2229" i="1"/>
  <c r="I2228" i="1"/>
  <c r="I2226" i="1" s="1"/>
  <c r="H2228" i="1"/>
  <c r="G2228" i="1"/>
  <c r="F2228" i="1"/>
  <c r="F2226" i="1" s="1"/>
  <c r="E2228" i="1"/>
  <c r="D2228" i="1"/>
  <c r="D2226" i="1"/>
  <c r="I2225" i="1"/>
  <c r="I2224" i="1"/>
  <c r="I2222" i="1" s="1"/>
  <c r="H2224" i="1"/>
  <c r="F2224" i="1"/>
  <c r="D2224" i="1"/>
  <c r="I2223" i="1"/>
  <c r="G2223" i="1"/>
  <c r="H2222" i="1"/>
  <c r="F2222" i="1"/>
  <c r="D2222" i="1"/>
  <c r="C2220" i="1"/>
  <c r="C2219" i="1"/>
  <c r="I2218" i="1"/>
  <c r="H2218" i="1"/>
  <c r="G2218" i="1"/>
  <c r="F2218" i="1"/>
  <c r="E2218" i="1"/>
  <c r="D2218" i="1"/>
  <c r="I2217" i="1"/>
  <c r="H2217" i="1"/>
  <c r="G2217" i="1"/>
  <c r="F2217" i="1"/>
  <c r="E2217" i="1"/>
  <c r="D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I2192" i="1"/>
  <c r="H2192" i="1"/>
  <c r="G2192" i="1"/>
  <c r="F2192" i="1"/>
  <c r="E2192" i="1"/>
  <c r="E2190" i="1" s="1"/>
  <c r="D2192" i="1"/>
  <c r="I2191" i="1"/>
  <c r="H2191" i="1"/>
  <c r="H2189" i="1" s="1"/>
  <c r="H2187" i="1" s="1"/>
  <c r="H2185" i="1" s="1"/>
  <c r="G2191" i="1"/>
  <c r="F2191" i="1"/>
  <c r="E2191" i="1"/>
  <c r="D2191" i="1"/>
  <c r="D2189" i="1" s="1"/>
  <c r="I2190" i="1"/>
  <c r="G2190" i="1"/>
  <c r="G2188" i="1" s="1"/>
  <c r="F2190" i="1"/>
  <c r="I2189" i="1"/>
  <c r="G2189" i="1"/>
  <c r="G2187" i="1" s="1"/>
  <c r="G2185" i="1" s="1"/>
  <c r="I2188" i="1"/>
  <c r="I2186" i="1" s="1"/>
  <c r="F2188" i="1"/>
  <c r="E2188" i="1"/>
  <c r="E2186" i="1" s="1"/>
  <c r="I2187" i="1"/>
  <c r="I2185" i="1" s="1"/>
  <c r="G2186" i="1"/>
  <c r="F2186" i="1"/>
  <c r="C2159" i="1"/>
  <c r="C2158" i="1"/>
  <c r="D2157" i="1"/>
  <c r="D2156" i="1" s="1"/>
  <c r="C2157" i="1"/>
  <c r="C2156" i="1"/>
  <c r="I2155" i="1"/>
  <c r="I2146" i="1" s="1"/>
  <c r="I2144" i="1" s="1"/>
  <c r="I2142" i="1" s="1"/>
  <c r="I2140" i="1" s="1"/>
  <c r="H2155" i="1"/>
  <c r="H2153" i="1" s="1"/>
  <c r="G2155" i="1"/>
  <c r="G2153" i="1" s="1"/>
  <c r="F2155" i="1"/>
  <c r="F2153" i="1" s="1"/>
  <c r="F2151" i="1" s="1"/>
  <c r="F2149" i="1" s="1"/>
  <c r="E2155" i="1"/>
  <c r="D2155" i="1"/>
  <c r="C2155" i="1"/>
  <c r="I2154" i="1"/>
  <c r="H2154" i="1"/>
  <c r="H2145" i="1" s="1"/>
  <c r="G2154" i="1"/>
  <c r="F2154" i="1"/>
  <c r="E2154" i="1"/>
  <c r="D2154" i="1"/>
  <c r="I2153" i="1"/>
  <c r="I2152" i="1"/>
  <c r="I2150" i="1" s="1"/>
  <c r="I2148" i="1" s="1"/>
  <c r="H2152" i="1"/>
  <c r="H2150" i="1" s="1"/>
  <c r="H2148" i="1" s="1"/>
  <c r="I2151" i="1"/>
  <c r="H2151" i="1"/>
  <c r="H2149" i="1" s="1"/>
  <c r="G2151" i="1"/>
  <c r="G2149" i="1" s="1"/>
  <c r="I2149" i="1"/>
  <c r="H2146" i="1"/>
  <c r="H2144" i="1" s="1"/>
  <c r="H2142" i="1" s="1"/>
  <c r="H2140" i="1" s="1"/>
  <c r="G2146" i="1"/>
  <c r="G2144" i="1" s="1"/>
  <c r="G2142" i="1" s="1"/>
  <c r="G2140" i="1" s="1"/>
  <c r="F2146" i="1"/>
  <c r="I2145" i="1"/>
  <c r="I2143" i="1"/>
  <c r="H2143" i="1"/>
  <c r="I2141" i="1"/>
  <c r="I2139" i="1" s="1"/>
  <c r="H2141" i="1"/>
  <c r="H2139" i="1"/>
  <c r="C2136" i="1"/>
  <c r="C2135" i="1"/>
  <c r="C2134" i="1"/>
  <c r="C2133" i="1"/>
  <c r="C2132" i="1"/>
  <c r="C2131" i="1"/>
  <c r="C2130" i="1"/>
  <c r="C2129" i="1"/>
  <c r="C2128" i="1"/>
  <c r="C2127" i="1"/>
  <c r="C2126" i="1"/>
  <c r="C2125" i="1"/>
  <c r="C2124" i="1"/>
  <c r="C2123" i="1"/>
  <c r="C2122" i="1"/>
  <c r="C2121" i="1"/>
  <c r="C2120" i="1"/>
  <c r="C2119" i="1"/>
  <c r="C2118" i="1"/>
  <c r="C2117" i="1"/>
  <c r="I2116" i="1"/>
  <c r="C2116" i="1"/>
  <c r="I2115" i="1"/>
  <c r="C2115" i="1" s="1"/>
  <c r="I2114" i="1"/>
  <c r="C2114" i="1"/>
  <c r="I2113" i="1"/>
  <c r="C2113" i="1"/>
  <c r="E2112" i="1"/>
  <c r="C2112" i="1"/>
  <c r="E2111" i="1"/>
  <c r="C2111" i="1" s="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I2086" i="1"/>
  <c r="C2086" i="1"/>
  <c r="I2085" i="1"/>
  <c r="C2085" i="1" s="1"/>
  <c r="I2084" i="1"/>
  <c r="C2084" i="1" s="1"/>
  <c r="I2083" i="1"/>
  <c r="C2083" i="1" s="1"/>
  <c r="I2082" i="1"/>
  <c r="C2082" i="1" s="1"/>
  <c r="I2081" i="1"/>
  <c r="C2081" i="1"/>
  <c r="I2080" i="1"/>
  <c r="C2080" i="1"/>
  <c r="I2079" i="1"/>
  <c r="C2079" i="1"/>
  <c r="I2078" i="1"/>
  <c r="C2078" i="1"/>
  <c r="I2077" i="1"/>
  <c r="C2077" i="1"/>
  <c r="D2076" i="1"/>
  <c r="C2076" i="1"/>
  <c r="D2075" i="1"/>
  <c r="C2075" i="1"/>
  <c r="I2074" i="1"/>
  <c r="C2074" i="1"/>
  <c r="I2073" i="1"/>
  <c r="E2073" i="1"/>
  <c r="D2073" i="1"/>
  <c r="C2073" i="1" s="1"/>
  <c r="I2072" i="1"/>
  <c r="C2072" i="1"/>
  <c r="I2071" i="1"/>
  <c r="D2071" i="1"/>
  <c r="C2071" i="1" s="1"/>
  <c r="C2070" i="1"/>
  <c r="D2069" i="1"/>
  <c r="C2069" i="1" s="1"/>
  <c r="C2068" i="1"/>
  <c r="D2067" i="1"/>
  <c r="H2066" i="1"/>
  <c r="H2064" i="1" s="1"/>
  <c r="H2062" i="1" s="1"/>
  <c r="H2060" i="1" s="1"/>
  <c r="G2066" i="1"/>
  <c r="G2064" i="1" s="1"/>
  <c r="G2062" i="1" s="1"/>
  <c r="G2060" i="1" s="1"/>
  <c r="F2066" i="1"/>
  <c r="F2064" i="1" s="1"/>
  <c r="F2062" i="1" s="1"/>
  <c r="F2060" i="1" s="1"/>
  <c r="F2054" i="1" s="1"/>
  <c r="F2052" i="1" s="1"/>
  <c r="E2066" i="1"/>
  <c r="E2064" i="1" s="1"/>
  <c r="D2066" i="1"/>
  <c r="H2065" i="1"/>
  <c r="H2063" i="1" s="1"/>
  <c r="H2061" i="1" s="1"/>
  <c r="H2059" i="1" s="1"/>
  <c r="G2065" i="1"/>
  <c r="G2063" i="1" s="1"/>
  <c r="F2065" i="1"/>
  <c r="F2063" i="1" s="1"/>
  <c r="C2058" i="1"/>
  <c r="C2057" i="1"/>
  <c r="I2056" i="1"/>
  <c r="I1464" i="1" s="1"/>
  <c r="H2056" i="1"/>
  <c r="H1464" i="1" s="1"/>
  <c r="G2056" i="1"/>
  <c r="F2056" i="1"/>
  <c r="F1464" i="1" s="1"/>
  <c r="E2056" i="1"/>
  <c r="E1464" i="1" s="1"/>
  <c r="D2056" i="1"/>
  <c r="D1464" i="1" s="1"/>
  <c r="I2055" i="1"/>
  <c r="I1463" i="1" s="1"/>
  <c r="H2055" i="1"/>
  <c r="G2055" i="1"/>
  <c r="F2055" i="1"/>
  <c r="F1463" i="1" s="1"/>
  <c r="E2055" i="1"/>
  <c r="D2055" i="1"/>
  <c r="C2049" i="1"/>
  <c r="C2048" i="1"/>
  <c r="I2047" i="1"/>
  <c r="H2047" i="1"/>
  <c r="G2047" i="1"/>
  <c r="F2047" i="1"/>
  <c r="E2047" i="1"/>
  <c r="D2047" i="1"/>
  <c r="I2046" i="1"/>
  <c r="H2046" i="1"/>
  <c r="G2046" i="1"/>
  <c r="F2046" i="1"/>
  <c r="E2046" i="1"/>
  <c r="D2046" i="1"/>
  <c r="C2045" i="1"/>
  <c r="C2044" i="1"/>
  <c r="I2043" i="1"/>
  <c r="H2043" i="1"/>
  <c r="G2043" i="1"/>
  <c r="F2043" i="1"/>
  <c r="E2043" i="1"/>
  <c r="D2043" i="1"/>
  <c r="I2042" i="1"/>
  <c r="H2042" i="1"/>
  <c r="H2020" i="1" s="1"/>
  <c r="G2042" i="1"/>
  <c r="F2042" i="1"/>
  <c r="F2020" i="1" s="1"/>
  <c r="F2018" i="1" s="1"/>
  <c r="F2016" i="1" s="1"/>
  <c r="F2014" i="1" s="1"/>
  <c r="E2042" i="1"/>
  <c r="D2042" i="1"/>
  <c r="C2041" i="1"/>
  <c r="C2040" i="1"/>
  <c r="C2039" i="1"/>
  <c r="C2038" i="1"/>
  <c r="C2037" i="1"/>
  <c r="C2036" i="1"/>
  <c r="I2035" i="1"/>
  <c r="H2035" i="1"/>
  <c r="G2035" i="1"/>
  <c r="F2035" i="1"/>
  <c r="E2035" i="1"/>
  <c r="D2035" i="1"/>
  <c r="I2034" i="1"/>
  <c r="H2034" i="1"/>
  <c r="G2034" i="1"/>
  <c r="F2034" i="1"/>
  <c r="E2034" i="1"/>
  <c r="D2034" i="1"/>
  <c r="E2033" i="1"/>
  <c r="C2033" i="1" s="1"/>
  <c r="E2032" i="1"/>
  <c r="C2031" i="1"/>
  <c r="C2030" i="1"/>
  <c r="C2029" i="1"/>
  <c r="C2028" i="1"/>
  <c r="I2027" i="1"/>
  <c r="C2027" i="1" s="1"/>
  <c r="I2026" i="1"/>
  <c r="I2025" i="1"/>
  <c r="E2025" i="1"/>
  <c r="E2023" i="1" s="1"/>
  <c r="C2025" i="1"/>
  <c r="I2024" i="1"/>
  <c r="E2024" i="1"/>
  <c r="D2024" i="1"/>
  <c r="D2022" i="1" s="1"/>
  <c r="C2024" i="1"/>
  <c r="H2023" i="1"/>
  <c r="H2021" i="1" s="1"/>
  <c r="H2019" i="1" s="1"/>
  <c r="H2017" i="1" s="1"/>
  <c r="H2015" i="1" s="1"/>
  <c r="G2023" i="1"/>
  <c r="F2023" i="1"/>
  <c r="D2023" i="1"/>
  <c r="H2022" i="1"/>
  <c r="G2022" i="1"/>
  <c r="F2022" i="1"/>
  <c r="C2013" i="1"/>
  <c r="C2012" i="1"/>
  <c r="C2011" i="1"/>
  <c r="C2010" i="1"/>
  <c r="I2009" i="1"/>
  <c r="H2009" i="1"/>
  <c r="G2009" i="1"/>
  <c r="F2009" i="1"/>
  <c r="F1835" i="1" s="1"/>
  <c r="F1833" i="1" s="1"/>
  <c r="F1831" i="1" s="1"/>
  <c r="F1829" i="1" s="1"/>
  <c r="E2009" i="1"/>
  <c r="D2009" i="1"/>
  <c r="I2008" i="1"/>
  <c r="H2008" i="1"/>
  <c r="G2008" i="1"/>
  <c r="F2008" i="1"/>
  <c r="E2008" i="1"/>
  <c r="D2008" i="1"/>
  <c r="C2008" i="1"/>
  <c r="C2007" i="1"/>
  <c r="C2006" i="1"/>
  <c r="C2005" i="1"/>
  <c r="C2004" i="1"/>
  <c r="C2003" i="1"/>
  <c r="C2002" i="1"/>
  <c r="C2001" i="1"/>
  <c r="C2000" i="1"/>
  <c r="C1999" i="1"/>
  <c r="C1998" i="1"/>
  <c r="C1997" i="1"/>
  <c r="C1996" i="1"/>
  <c r="I1995" i="1"/>
  <c r="H1995" i="1"/>
  <c r="G1995" i="1"/>
  <c r="F1995" i="1"/>
  <c r="E1995" i="1"/>
  <c r="D1995" i="1"/>
  <c r="I1994" i="1"/>
  <c r="H1994" i="1"/>
  <c r="G1994" i="1"/>
  <c r="F1994" i="1"/>
  <c r="E1994" i="1"/>
  <c r="C1994" i="1" s="1"/>
  <c r="D1994" i="1"/>
  <c r="C1993" i="1"/>
  <c r="C1992" i="1"/>
  <c r="C1991" i="1"/>
  <c r="C1990" i="1"/>
  <c r="C1989" i="1"/>
  <c r="C1988" i="1"/>
  <c r="C1987" i="1"/>
  <c r="C1986" i="1"/>
  <c r="I1985" i="1"/>
  <c r="H1985" i="1"/>
  <c r="G1985" i="1"/>
  <c r="F1985" i="1"/>
  <c r="E1985" i="1"/>
  <c r="D1985" i="1"/>
  <c r="I1984" i="1"/>
  <c r="H1984" i="1"/>
  <c r="G1984" i="1"/>
  <c r="F1984" i="1"/>
  <c r="E1984" i="1"/>
  <c r="C1984" i="1" s="1"/>
  <c r="D1984" i="1"/>
  <c r="C1983" i="1"/>
  <c r="C1982" i="1"/>
  <c r="I1981" i="1"/>
  <c r="I1835" i="1" s="1"/>
  <c r="I1833" i="1" s="1"/>
  <c r="I1831" i="1" s="1"/>
  <c r="I1829" i="1" s="1"/>
  <c r="H1981" i="1"/>
  <c r="G1981" i="1"/>
  <c r="F1981" i="1"/>
  <c r="E1981" i="1"/>
  <c r="D1981" i="1"/>
  <c r="I1980" i="1"/>
  <c r="H1980" i="1"/>
  <c r="G1980" i="1"/>
  <c r="C1980" i="1" s="1"/>
  <c r="F1980" i="1"/>
  <c r="E1980" i="1"/>
  <c r="D1980" i="1"/>
  <c r="C1979" i="1"/>
  <c r="C1978" i="1"/>
  <c r="C1977" i="1"/>
  <c r="C1976" i="1"/>
  <c r="C1975" i="1"/>
  <c r="C1974" i="1"/>
  <c r="C1973" i="1"/>
  <c r="C1972" i="1"/>
  <c r="I1971" i="1"/>
  <c r="H1971" i="1"/>
  <c r="G1971" i="1"/>
  <c r="F1971" i="1"/>
  <c r="E1971" i="1"/>
  <c r="D1971" i="1"/>
  <c r="C1971" i="1"/>
  <c r="I1970" i="1"/>
  <c r="H1970" i="1"/>
  <c r="G1970" i="1"/>
  <c r="F1970" i="1"/>
  <c r="E1970" i="1"/>
  <c r="D1970" i="1"/>
  <c r="C1969" i="1"/>
  <c r="C1968" i="1"/>
  <c r="C1967" i="1"/>
  <c r="C1966" i="1"/>
  <c r="C1965" i="1"/>
  <c r="C1964" i="1"/>
  <c r="C1963" i="1"/>
  <c r="C1962" i="1"/>
  <c r="C1961" i="1"/>
  <c r="C1960" i="1"/>
  <c r="I1959" i="1"/>
  <c r="H1959" i="1"/>
  <c r="G1959" i="1"/>
  <c r="F1959" i="1"/>
  <c r="E1959" i="1"/>
  <c r="C1959" i="1" s="1"/>
  <c r="D1959" i="1"/>
  <c r="I1958" i="1"/>
  <c r="H1958" i="1"/>
  <c r="G1958" i="1"/>
  <c r="F1958" i="1"/>
  <c r="E1958" i="1"/>
  <c r="D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I1933" i="1"/>
  <c r="H1933" i="1"/>
  <c r="G1933" i="1"/>
  <c r="F1933" i="1"/>
  <c r="E1933" i="1"/>
  <c r="D1933" i="1"/>
  <c r="C1933" i="1" s="1"/>
  <c r="I1932" i="1"/>
  <c r="H1932" i="1"/>
  <c r="G1932" i="1"/>
  <c r="F1932" i="1"/>
  <c r="E1932" i="1"/>
  <c r="D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I1837" i="1"/>
  <c r="H1837" i="1"/>
  <c r="G1837" i="1"/>
  <c r="F1837" i="1"/>
  <c r="E1837" i="1"/>
  <c r="D1837" i="1"/>
  <c r="I1836" i="1"/>
  <c r="H1836" i="1"/>
  <c r="G1836" i="1"/>
  <c r="F1836" i="1"/>
  <c r="E1836" i="1"/>
  <c r="D1836" i="1"/>
  <c r="I1834" i="1"/>
  <c r="C1824" i="1"/>
  <c r="C1823" i="1"/>
  <c r="C1822" i="1"/>
  <c r="C1821" i="1"/>
  <c r="I1820" i="1"/>
  <c r="H1820" i="1"/>
  <c r="G1820" i="1"/>
  <c r="F1820" i="1"/>
  <c r="E1820" i="1"/>
  <c r="D1820" i="1"/>
  <c r="I1819" i="1"/>
  <c r="H1819" i="1"/>
  <c r="G1819" i="1"/>
  <c r="F1819" i="1"/>
  <c r="E1819" i="1"/>
  <c r="D1819" i="1"/>
  <c r="C1819" i="1"/>
  <c r="C1818" i="1"/>
  <c r="C1817" i="1"/>
  <c r="I1816" i="1"/>
  <c r="H1816" i="1"/>
  <c r="H1774" i="1" s="1"/>
  <c r="G1816" i="1"/>
  <c r="F1816" i="1"/>
  <c r="E1816" i="1"/>
  <c r="D1816" i="1"/>
  <c r="C1816" i="1" s="1"/>
  <c r="I1815" i="1"/>
  <c r="H1815" i="1"/>
  <c r="G1815" i="1"/>
  <c r="F1815" i="1"/>
  <c r="E1815" i="1"/>
  <c r="D1815" i="1"/>
  <c r="C1815" i="1" s="1"/>
  <c r="C1814" i="1"/>
  <c r="C1813" i="1"/>
  <c r="I1812" i="1"/>
  <c r="I1774" i="1" s="1"/>
  <c r="I1772" i="1" s="1"/>
  <c r="I1770" i="1" s="1"/>
  <c r="I1768" i="1" s="1"/>
  <c r="H1812" i="1"/>
  <c r="G1812" i="1"/>
  <c r="F1812" i="1"/>
  <c r="E1812" i="1"/>
  <c r="D1812" i="1"/>
  <c r="C1812" i="1" s="1"/>
  <c r="I1811" i="1"/>
  <c r="H1811" i="1"/>
  <c r="G1811" i="1"/>
  <c r="F1811" i="1"/>
  <c r="E1811" i="1"/>
  <c r="D1811" i="1"/>
  <c r="I1810" i="1"/>
  <c r="I1798" i="1" s="1"/>
  <c r="C1810" i="1"/>
  <c r="I1809" i="1"/>
  <c r="C1809" i="1" s="1"/>
  <c r="C1808" i="1"/>
  <c r="C1807" i="1"/>
  <c r="C1806" i="1"/>
  <c r="C1805" i="1"/>
  <c r="C1804" i="1"/>
  <c r="C1803" i="1"/>
  <c r="C1802" i="1"/>
  <c r="C1801" i="1"/>
  <c r="D1800" i="1"/>
  <c r="C1800" i="1" s="1"/>
  <c r="D1799" i="1"/>
  <c r="D1797" i="1" s="1"/>
  <c r="C1799" i="1"/>
  <c r="H1798" i="1"/>
  <c r="G1798" i="1"/>
  <c r="F1798" i="1"/>
  <c r="E1798" i="1"/>
  <c r="D1798" i="1"/>
  <c r="H1797" i="1"/>
  <c r="G1797" i="1"/>
  <c r="F1797" i="1"/>
  <c r="E1797" i="1"/>
  <c r="C1796" i="1"/>
  <c r="C1795" i="1"/>
  <c r="C1794" i="1"/>
  <c r="C1793" i="1"/>
  <c r="C1792" i="1"/>
  <c r="C1791" i="1"/>
  <c r="C1790" i="1"/>
  <c r="C1789" i="1"/>
  <c r="C1788" i="1"/>
  <c r="C1787" i="1"/>
  <c r="C1786" i="1"/>
  <c r="C1785" i="1"/>
  <c r="C1784" i="1"/>
  <c r="C1783" i="1"/>
  <c r="C1782" i="1"/>
  <c r="C1781" i="1"/>
  <c r="C1780" i="1"/>
  <c r="C1779" i="1"/>
  <c r="C1778" i="1"/>
  <c r="C1777" i="1"/>
  <c r="I1776" i="1"/>
  <c r="H1776" i="1"/>
  <c r="G1776" i="1"/>
  <c r="F1776" i="1"/>
  <c r="E1776" i="1"/>
  <c r="D1776" i="1"/>
  <c r="I1775" i="1"/>
  <c r="H1775" i="1"/>
  <c r="G1775" i="1"/>
  <c r="F1775" i="1"/>
  <c r="E1775" i="1"/>
  <c r="D1775" i="1"/>
  <c r="H1772" i="1"/>
  <c r="H1770" i="1" s="1"/>
  <c r="H1768" i="1" s="1"/>
  <c r="C1766" i="1"/>
  <c r="C1765" i="1"/>
  <c r="I1764" i="1"/>
  <c r="I1762" i="1" s="1"/>
  <c r="I1760" i="1" s="1"/>
  <c r="I1758" i="1" s="1"/>
  <c r="I1756" i="1" s="1"/>
  <c r="H1764" i="1"/>
  <c r="H1762" i="1" s="1"/>
  <c r="H1760" i="1" s="1"/>
  <c r="H1758" i="1" s="1"/>
  <c r="H1756" i="1" s="1"/>
  <c r="H1754" i="1" s="1"/>
  <c r="G1764" i="1"/>
  <c r="G1762" i="1" s="1"/>
  <c r="G1760" i="1" s="1"/>
  <c r="G1758" i="1" s="1"/>
  <c r="G1756" i="1" s="1"/>
  <c r="F1764" i="1"/>
  <c r="E1764" i="1"/>
  <c r="E1762" i="1" s="1"/>
  <c r="E1760" i="1" s="1"/>
  <c r="E1758" i="1" s="1"/>
  <c r="E1756" i="1" s="1"/>
  <c r="D1764" i="1"/>
  <c r="I1763" i="1"/>
  <c r="I1761" i="1" s="1"/>
  <c r="I1759" i="1" s="1"/>
  <c r="I1757" i="1" s="1"/>
  <c r="H1763" i="1"/>
  <c r="H1761" i="1" s="1"/>
  <c r="H1759" i="1" s="1"/>
  <c r="G1763" i="1"/>
  <c r="G1761" i="1" s="1"/>
  <c r="G1759" i="1" s="1"/>
  <c r="G1757" i="1" s="1"/>
  <c r="G1755" i="1" s="1"/>
  <c r="F1763" i="1"/>
  <c r="E1763" i="1"/>
  <c r="E1761" i="1" s="1"/>
  <c r="E1759" i="1" s="1"/>
  <c r="E1757" i="1" s="1"/>
  <c r="E1755" i="1" s="1"/>
  <c r="D1763" i="1"/>
  <c r="D1761" i="1" s="1"/>
  <c r="F1762" i="1"/>
  <c r="F1760" i="1" s="1"/>
  <c r="F1758" i="1" s="1"/>
  <c r="F1756" i="1" s="1"/>
  <c r="F1761" i="1"/>
  <c r="F1759" i="1" s="1"/>
  <c r="F1757" i="1" s="1"/>
  <c r="F1755" i="1" s="1"/>
  <c r="H1757" i="1"/>
  <c r="H1755" i="1" s="1"/>
  <c r="I1755" i="1"/>
  <c r="C1751" i="1"/>
  <c r="C1750" i="1"/>
  <c r="E1749" i="1"/>
  <c r="C1749" i="1" s="1"/>
  <c r="E1748" i="1"/>
  <c r="C1748" i="1" s="1"/>
  <c r="I1747" i="1"/>
  <c r="H1747" i="1"/>
  <c r="G1747" i="1"/>
  <c r="F1747" i="1"/>
  <c r="E1747" i="1"/>
  <c r="D1747" i="1"/>
  <c r="C1747" i="1"/>
  <c r="I1746" i="1"/>
  <c r="H1746" i="1"/>
  <c r="G1746" i="1"/>
  <c r="F1746" i="1"/>
  <c r="E1746" i="1"/>
  <c r="C1746" i="1" s="1"/>
  <c r="D1746" i="1"/>
  <c r="C1745" i="1"/>
  <c r="C1744" i="1"/>
  <c r="C1743" i="1"/>
  <c r="C1742" i="1"/>
  <c r="I1741" i="1"/>
  <c r="H1741" i="1"/>
  <c r="G1741" i="1"/>
  <c r="F1741" i="1"/>
  <c r="E1741" i="1"/>
  <c r="D1741" i="1"/>
  <c r="I1740" i="1"/>
  <c r="H1740" i="1"/>
  <c r="G1740" i="1"/>
  <c r="F1740" i="1"/>
  <c r="E1740" i="1"/>
  <c r="D1740" i="1"/>
  <c r="C1739" i="1"/>
  <c r="C1738" i="1"/>
  <c r="C1737" i="1"/>
  <c r="C1736" i="1"/>
  <c r="C1735" i="1"/>
  <c r="C1734" i="1"/>
  <c r="C1733" i="1"/>
  <c r="C1732" i="1"/>
  <c r="C1731" i="1"/>
  <c r="C1730" i="1"/>
  <c r="I1729" i="1"/>
  <c r="C1729" i="1"/>
  <c r="I1728" i="1"/>
  <c r="I1727" i="1"/>
  <c r="I1726" i="1"/>
  <c r="C1726" i="1" s="1"/>
  <c r="H1725" i="1"/>
  <c r="G1725" i="1"/>
  <c r="F1725" i="1"/>
  <c r="E1725" i="1"/>
  <c r="D1725" i="1"/>
  <c r="H1724" i="1"/>
  <c r="G1724" i="1"/>
  <c r="F1724" i="1"/>
  <c r="E1724" i="1"/>
  <c r="D1724" i="1"/>
  <c r="C1723" i="1"/>
  <c r="C1722" i="1"/>
  <c r="C1721" i="1"/>
  <c r="C1720" i="1"/>
  <c r="I1719" i="1"/>
  <c r="H1719" i="1"/>
  <c r="G1719" i="1"/>
  <c r="F1719" i="1"/>
  <c r="E1719" i="1"/>
  <c r="D1719" i="1"/>
  <c r="I1718" i="1"/>
  <c r="H1718" i="1"/>
  <c r="G1718" i="1"/>
  <c r="F1718" i="1"/>
  <c r="E1718" i="1"/>
  <c r="D1718" i="1"/>
  <c r="C1718" i="1" s="1"/>
  <c r="C1717" i="1"/>
  <c r="C1716" i="1"/>
  <c r="C1715" i="1"/>
  <c r="C1714" i="1"/>
  <c r="C1713" i="1"/>
  <c r="C1712" i="1"/>
  <c r="C1711" i="1"/>
  <c r="C1710" i="1"/>
  <c r="C1709" i="1"/>
  <c r="C1708" i="1"/>
  <c r="I1707" i="1"/>
  <c r="H1707" i="1"/>
  <c r="G1707" i="1"/>
  <c r="F1707" i="1"/>
  <c r="F1609" i="1" s="1"/>
  <c r="E1707" i="1"/>
  <c r="D1707" i="1"/>
  <c r="I1706" i="1"/>
  <c r="H1706" i="1"/>
  <c r="G1706" i="1"/>
  <c r="F1706" i="1"/>
  <c r="E1706" i="1"/>
  <c r="D1706" i="1"/>
  <c r="C1705" i="1"/>
  <c r="C1704" i="1"/>
  <c r="C1703" i="1"/>
  <c r="C1702" i="1"/>
  <c r="C1701" i="1"/>
  <c r="C1700" i="1"/>
  <c r="C1699" i="1"/>
  <c r="C1698" i="1"/>
  <c r="C1697" i="1"/>
  <c r="C1696" i="1"/>
  <c r="D1695" i="1"/>
  <c r="C1695" i="1" s="1"/>
  <c r="D1694" i="1"/>
  <c r="C1694" i="1"/>
  <c r="D1693" i="1"/>
  <c r="C1693" i="1"/>
  <c r="D1692" i="1"/>
  <c r="C1692" i="1" s="1"/>
  <c r="C1691" i="1"/>
  <c r="C1690" i="1" s="1"/>
  <c r="I1690" i="1"/>
  <c r="I1686" i="1" s="1"/>
  <c r="H1690" i="1"/>
  <c r="G1690" i="1"/>
  <c r="G1686" i="1" s="1"/>
  <c r="F1690" i="1"/>
  <c r="F1686" i="1" s="1"/>
  <c r="D1690" i="1"/>
  <c r="C1689" i="1"/>
  <c r="D1688" i="1"/>
  <c r="C1688" i="1" s="1"/>
  <c r="I1687" i="1"/>
  <c r="H1687" i="1"/>
  <c r="G1687" i="1"/>
  <c r="F1687" i="1"/>
  <c r="E1687" i="1"/>
  <c r="D1687" i="1"/>
  <c r="C1687" i="1" s="1"/>
  <c r="H1686" i="1"/>
  <c r="E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0" i="1"/>
  <c r="C1659" i="1"/>
  <c r="I1658" i="1"/>
  <c r="I1656" i="1" s="1"/>
  <c r="D1658" i="1"/>
  <c r="C1658" i="1" s="1"/>
  <c r="I1657" i="1"/>
  <c r="H1657" i="1"/>
  <c r="G1657" i="1"/>
  <c r="F1657" i="1"/>
  <c r="E1657" i="1"/>
  <c r="D1657" i="1"/>
  <c r="H1656" i="1"/>
  <c r="G1656" i="1"/>
  <c r="F1656" i="1"/>
  <c r="E1656" i="1"/>
  <c r="D1656" i="1"/>
  <c r="C1655" i="1"/>
  <c r="C1654" i="1"/>
  <c r="C1653" i="1"/>
  <c r="C1652" i="1"/>
  <c r="C1651" i="1"/>
  <c r="C1650" i="1"/>
  <c r="E1649" i="1"/>
  <c r="E1648" i="1"/>
  <c r="C1648" i="1" s="1"/>
  <c r="C1647" i="1"/>
  <c r="C1646" i="1"/>
  <c r="C1645" i="1"/>
  <c r="C1644" i="1"/>
  <c r="C1643" i="1"/>
  <c r="C1642" i="1"/>
  <c r="C1641" i="1"/>
  <c r="C1640" i="1"/>
  <c r="C1639" i="1"/>
  <c r="C1638" i="1"/>
  <c r="C1637" i="1"/>
  <c r="C1636" i="1"/>
  <c r="C1635" i="1"/>
  <c r="C1634" i="1"/>
  <c r="C1633" i="1"/>
  <c r="C1632" i="1"/>
  <c r="C1631" i="1"/>
  <c r="C1630" i="1"/>
  <c r="I1629" i="1"/>
  <c r="C1629" i="1" s="1"/>
  <c r="I1628" i="1"/>
  <c r="C1628" i="1"/>
  <c r="I1627" i="1"/>
  <c r="C1627" i="1"/>
  <c r="I1626" i="1"/>
  <c r="C1626" i="1"/>
  <c r="C1625" i="1"/>
  <c r="C1624" i="1"/>
  <c r="C1623" i="1"/>
  <c r="C1622" i="1"/>
  <c r="I1621" i="1"/>
  <c r="I1611" i="1" s="1"/>
  <c r="C1621" i="1"/>
  <c r="I1620" i="1"/>
  <c r="C1620" i="1" s="1"/>
  <c r="C1619" i="1"/>
  <c r="C1618" i="1"/>
  <c r="C1617" i="1"/>
  <c r="C1616" i="1"/>
  <c r="C1615" i="1"/>
  <c r="I1614" i="1"/>
  <c r="I1610" i="1" s="1"/>
  <c r="E1614" i="1"/>
  <c r="D1614" i="1"/>
  <c r="H1611" i="1"/>
  <c r="G1611" i="1"/>
  <c r="F1611" i="1"/>
  <c r="D1611" i="1"/>
  <c r="H1610" i="1"/>
  <c r="H1608" i="1" s="1"/>
  <c r="H1606" i="1" s="1"/>
  <c r="H1604" i="1" s="1"/>
  <c r="H1602" i="1" s="1"/>
  <c r="H1600" i="1" s="1"/>
  <c r="G1610" i="1"/>
  <c r="F1610" i="1"/>
  <c r="C1598" i="1"/>
  <c r="C1597" i="1"/>
  <c r="I1596" i="1"/>
  <c r="H1596" i="1"/>
  <c r="H1594" i="1" s="1"/>
  <c r="G1596" i="1"/>
  <c r="F1596" i="1"/>
  <c r="F1594" i="1" s="1"/>
  <c r="F1592" i="1" s="1"/>
  <c r="F1590" i="1" s="1"/>
  <c r="F1588" i="1" s="1"/>
  <c r="F1586" i="1" s="1"/>
  <c r="E1596" i="1"/>
  <c r="E1594" i="1" s="1"/>
  <c r="E1592" i="1" s="1"/>
  <c r="D1596" i="1"/>
  <c r="I1595" i="1"/>
  <c r="I1593" i="1" s="1"/>
  <c r="I1591" i="1" s="1"/>
  <c r="I1589" i="1" s="1"/>
  <c r="I1587" i="1" s="1"/>
  <c r="I1585" i="1" s="1"/>
  <c r="H1595" i="1"/>
  <c r="H1593" i="1" s="1"/>
  <c r="H1591" i="1" s="1"/>
  <c r="H1589" i="1" s="1"/>
  <c r="H1587" i="1" s="1"/>
  <c r="H1585" i="1" s="1"/>
  <c r="G1595" i="1"/>
  <c r="F1595" i="1"/>
  <c r="F1593" i="1" s="1"/>
  <c r="F1591" i="1" s="1"/>
  <c r="F1589" i="1" s="1"/>
  <c r="F1587" i="1" s="1"/>
  <c r="F1585" i="1" s="1"/>
  <c r="E1595" i="1"/>
  <c r="D1595" i="1"/>
  <c r="D1593" i="1" s="1"/>
  <c r="I1594" i="1"/>
  <c r="I1592" i="1" s="1"/>
  <c r="G1594" i="1"/>
  <c r="G1592" i="1" s="1"/>
  <c r="G1593" i="1"/>
  <c r="G1591" i="1" s="1"/>
  <c r="G1589" i="1" s="1"/>
  <c r="G1587" i="1" s="1"/>
  <c r="G1585" i="1" s="1"/>
  <c r="H1592" i="1"/>
  <c r="H1590" i="1" s="1"/>
  <c r="H1588" i="1" s="1"/>
  <c r="H1586" i="1" s="1"/>
  <c r="I1590" i="1"/>
  <c r="I1588" i="1" s="1"/>
  <c r="I1586" i="1" s="1"/>
  <c r="G1590" i="1"/>
  <c r="G1588" i="1" s="1"/>
  <c r="G1586" i="1" s="1"/>
  <c r="E1590" i="1"/>
  <c r="E1588" i="1" s="1"/>
  <c r="E1586" i="1" s="1"/>
  <c r="C1583" i="1"/>
  <c r="C1582" i="1"/>
  <c r="I1581" i="1"/>
  <c r="H1581" i="1"/>
  <c r="G1581" i="1"/>
  <c r="F1581" i="1"/>
  <c r="F1579" i="1" s="1"/>
  <c r="E1581" i="1"/>
  <c r="E1579" i="1" s="1"/>
  <c r="D1581" i="1"/>
  <c r="I1580" i="1"/>
  <c r="I1578" i="1" s="1"/>
  <c r="I1576" i="1" s="1"/>
  <c r="I1574" i="1" s="1"/>
  <c r="I1572" i="1" s="1"/>
  <c r="I1570" i="1" s="1"/>
  <c r="H1580" i="1"/>
  <c r="H1578" i="1" s="1"/>
  <c r="H1576" i="1" s="1"/>
  <c r="H1574" i="1" s="1"/>
  <c r="H1572" i="1" s="1"/>
  <c r="H1570" i="1" s="1"/>
  <c r="G1580" i="1"/>
  <c r="G1578" i="1" s="1"/>
  <c r="G1576" i="1" s="1"/>
  <c r="G1574" i="1" s="1"/>
  <c r="G1572" i="1" s="1"/>
  <c r="G1570" i="1" s="1"/>
  <c r="F1580" i="1"/>
  <c r="E1580" i="1"/>
  <c r="D1580" i="1"/>
  <c r="D1578" i="1" s="1"/>
  <c r="D1576" i="1" s="1"/>
  <c r="D1574" i="1" s="1"/>
  <c r="D1572" i="1" s="1"/>
  <c r="D1570" i="1" s="1"/>
  <c r="I1579" i="1"/>
  <c r="I1577" i="1" s="1"/>
  <c r="H1579" i="1"/>
  <c r="H1577" i="1" s="1"/>
  <c r="H1575" i="1" s="1"/>
  <c r="H1573" i="1" s="1"/>
  <c r="H1571" i="1" s="1"/>
  <c r="G1579" i="1"/>
  <c r="F1578" i="1"/>
  <c r="F1576" i="1" s="1"/>
  <c r="F1574" i="1" s="1"/>
  <c r="F1572" i="1" s="1"/>
  <c r="F1570" i="1" s="1"/>
  <c r="G1577" i="1"/>
  <c r="G1575" i="1" s="1"/>
  <c r="G1573" i="1" s="1"/>
  <c r="G1571" i="1" s="1"/>
  <c r="I1575" i="1"/>
  <c r="I1573" i="1" s="1"/>
  <c r="I1571" i="1" s="1"/>
  <c r="C1568" i="1"/>
  <c r="C1567" i="1"/>
  <c r="I1566" i="1"/>
  <c r="H1566" i="1"/>
  <c r="H1564" i="1" s="1"/>
  <c r="G1566" i="1"/>
  <c r="F1566" i="1"/>
  <c r="F1564" i="1" s="1"/>
  <c r="E1566" i="1"/>
  <c r="E1564" i="1" s="1"/>
  <c r="E1562" i="1" s="1"/>
  <c r="E1560" i="1" s="1"/>
  <c r="E1558" i="1" s="1"/>
  <c r="E1556" i="1" s="1"/>
  <c r="D1566" i="1"/>
  <c r="D1564" i="1" s="1"/>
  <c r="I1565" i="1"/>
  <c r="H1565" i="1"/>
  <c r="G1565" i="1"/>
  <c r="F1565" i="1"/>
  <c r="F1563" i="1" s="1"/>
  <c r="F1561" i="1" s="1"/>
  <c r="F1559" i="1" s="1"/>
  <c r="F1557" i="1" s="1"/>
  <c r="F1555" i="1" s="1"/>
  <c r="E1565" i="1"/>
  <c r="E1563" i="1" s="1"/>
  <c r="E1561" i="1" s="1"/>
  <c r="E1559" i="1" s="1"/>
  <c r="E1557" i="1" s="1"/>
  <c r="E1555" i="1" s="1"/>
  <c r="D1565" i="1"/>
  <c r="D1563" i="1" s="1"/>
  <c r="D1561" i="1" s="1"/>
  <c r="C1565" i="1"/>
  <c r="I1564" i="1"/>
  <c r="I1562" i="1" s="1"/>
  <c r="I1560" i="1" s="1"/>
  <c r="I1558" i="1" s="1"/>
  <c r="I1556" i="1" s="1"/>
  <c r="G1564" i="1"/>
  <c r="G1562" i="1" s="1"/>
  <c r="G1560" i="1" s="1"/>
  <c r="G1558" i="1" s="1"/>
  <c r="G1556" i="1" s="1"/>
  <c r="I1563" i="1"/>
  <c r="I1561" i="1" s="1"/>
  <c r="I1559" i="1" s="1"/>
  <c r="I1557" i="1" s="1"/>
  <c r="I1555" i="1" s="1"/>
  <c r="H1563" i="1"/>
  <c r="H1561" i="1" s="1"/>
  <c r="H1559" i="1" s="1"/>
  <c r="H1557" i="1" s="1"/>
  <c r="H1555" i="1" s="1"/>
  <c r="G1563" i="1"/>
  <c r="G1561" i="1" s="1"/>
  <c r="G1559" i="1" s="1"/>
  <c r="G1557" i="1" s="1"/>
  <c r="G1555" i="1" s="1"/>
  <c r="F1562" i="1"/>
  <c r="F1560" i="1" s="1"/>
  <c r="F1558" i="1" s="1"/>
  <c r="F1556" i="1" s="1"/>
  <c r="D1562" i="1"/>
  <c r="D1560" i="1"/>
  <c r="D1558" i="1" s="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E1527" i="1"/>
  <c r="E1489" i="1" s="1"/>
  <c r="E1487" i="1" s="1"/>
  <c r="E1485" i="1" s="1"/>
  <c r="C1527" i="1"/>
  <c r="E1526" i="1"/>
  <c r="C1526" i="1"/>
  <c r="C1525" i="1"/>
  <c r="C1524" i="1"/>
  <c r="C1523" i="1"/>
  <c r="C1522" i="1"/>
  <c r="C1521" i="1"/>
  <c r="C1520" i="1"/>
  <c r="C1519" i="1"/>
  <c r="C1518" i="1"/>
  <c r="C1517" i="1"/>
  <c r="C1516" i="1"/>
  <c r="C1515" i="1"/>
  <c r="C1514" i="1"/>
  <c r="I1513" i="1"/>
  <c r="C1513" i="1"/>
  <c r="I1512" i="1"/>
  <c r="C1512" i="1" s="1"/>
  <c r="I1511" i="1"/>
  <c r="C1511" i="1"/>
  <c r="I1510" i="1"/>
  <c r="C1510" i="1"/>
  <c r="I1509" i="1"/>
  <c r="C1509" i="1" s="1"/>
  <c r="I1508" i="1"/>
  <c r="C1508" i="1"/>
  <c r="I1507" i="1"/>
  <c r="C1507" i="1"/>
  <c r="I1506" i="1"/>
  <c r="D1506" i="1"/>
  <c r="I1505" i="1"/>
  <c r="D1505" i="1"/>
  <c r="C1505" i="1"/>
  <c r="C1504" i="1" s="1"/>
  <c r="I1504" i="1"/>
  <c r="D1504" i="1"/>
  <c r="C1503" i="1"/>
  <c r="D1502" i="1"/>
  <c r="C1502" i="1" s="1"/>
  <c r="C1501" i="1"/>
  <c r="C1500" i="1" s="1"/>
  <c r="D1500" i="1"/>
  <c r="C1499" i="1"/>
  <c r="C1498" i="1" s="1"/>
  <c r="C1497" i="1"/>
  <c r="C1496" i="1" s="1"/>
  <c r="I1496" i="1"/>
  <c r="C1495" i="1"/>
  <c r="D1494" i="1"/>
  <c r="C1494" i="1"/>
  <c r="C1493" i="1"/>
  <c r="C1492" i="1"/>
  <c r="C1491" i="1"/>
  <c r="C1490" i="1"/>
  <c r="H1489" i="1"/>
  <c r="H1487" i="1" s="1"/>
  <c r="H1485" i="1" s="1"/>
  <c r="H1483" i="1" s="1"/>
  <c r="H1481" i="1" s="1"/>
  <c r="G1489" i="1"/>
  <c r="F1489" i="1"/>
  <c r="D1489" i="1"/>
  <c r="D1487" i="1" s="1"/>
  <c r="H1488" i="1"/>
  <c r="G1488" i="1"/>
  <c r="F1488" i="1"/>
  <c r="F1486" i="1" s="1"/>
  <c r="E1488" i="1"/>
  <c r="E1486" i="1" s="1"/>
  <c r="D1488" i="1"/>
  <c r="F1487" i="1"/>
  <c r="H1486" i="1"/>
  <c r="H1484" i="1" s="1"/>
  <c r="H1482" i="1" s="1"/>
  <c r="H1480" i="1" s="1"/>
  <c r="G1486" i="1"/>
  <c r="F1485" i="1"/>
  <c r="F1483" i="1" s="1"/>
  <c r="G1484" i="1"/>
  <c r="G1482" i="1" s="1"/>
  <c r="F1484" i="1"/>
  <c r="F1482" i="1" s="1"/>
  <c r="F1480" i="1" s="1"/>
  <c r="E1484" i="1"/>
  <c r="E1482" i="1" s="1"/>
  <c r="E1480" i="1" s="1"/>
  <c r="E1483" i="1"/>
  <c r="F1481" i="1"/>
  <c r="E1481" i="1"/>
  <c r="G1480" i="1"/>
  <c r="G1463" i="1"/>
  <c r="E1463" i="1"/>
  <c r="D1463" i="1"/>
  <c r="C1456" i="1"/>
  <c r="C1455" i="1"/>
  <c r="C1454" i="1"/>
  <c r="C1453" i="1"/>
  <c r="I1452" i="1"/>
  <c r="H1452" i="1"/>
  <c r="G1452" i="1"/>
  <c r="G1450" i="1" s="1"/>
  <c r="G1448" i="1" s="1"/>
  <c r="G1446" i="1" s="1"/>
  <c r="G1444" i="1" s="1"/>
  <c r="F1452" i="1"/>
  <c r="E1452" i="1"/>
  <c r="D1452" i="1"/>
  <c r="D1450" i="1" s="1"/>
  <c r="I1451" i="1"/>
  <c r="I1449" i="1" s="1"/>
  <c r="H1451" i="1"/>
  <c r="H1449" i="1" s="1"/>
  <c r="G1451" i="1"/>
  <c r="F1451" i="1"/>
  <c r="E1451" i="1"/>
  <c r="E1449" i="1" s="1"/>
  <c r="E1447" i="1" s="1"/>
  <c r="E1445" i="1" s="1"/>
  <c r="E1443" i="1" s="1"/>
  <c r="D1451" i="1"/>
  <c r="D1449" i="1" s="1"/>
  <c r="C1451" i="1"/>
  <c r="I1450" i="1"/>
  <c r="I1448" i="1" s="1"/>
  <c r="I1446" i="1" s="1"/>
  <c r="I1444" i="1" s="1"/>
  <c r="H1450" i="1"/>
  <c r="F1450" i="1"/>
  <c r="F1448" i="1" s="1"/>
  <c r="F1446" i="1" s="1"/>
  <c r="F1444" i="1" s="1"/>
  <c r="G1449" i="1"/>
  <c r="G1447" i="1" s="1"/>
  <c r="G1445" i="1" s="1"/>
  <c r="G1443" i="1" s="1"/>
  <c r="F1449" i="1"/>
  <c r="F1447" i="1" s="1"/>
  <c r="F1445" i="1" s="1"/>
  <c r="F1443" i="1" s="1"/>
  <c r="H1448" i="1"/>
  <c r="H1446" i="1" s="1"/>
  <c r="H1444" i="1" s="1"/>
  <c r="D1448" i="1"/>
  <c r="D1446" i="1" s="1"/>
  <c r="D1444" i="1" s="1"/>
  <c r="I1447" i="1"/>
  <c r="I1445" i="1" s="1"/>
  <c r="H1447" i="1"/>
  <c r="H1445" i="1" s="1"/>
  <c r="H1443" i="1" s="1"/>
  <c r="I1443" i="1"/>
  <c r="C1441" i="1"/>
  <c r="C1440" i="1"/>
  <c r="I1439" i="1"/>
  <c r="I1437" i="1" s="1"/>
  <c r="H1439" i="1"/>
  <c r="H1437" i="1" s="1"/>
  <c r="G1439" i="1"/>
  <c r="F1439" i="1"/>
  <c r="E1439" i="1"/>
  <c r="D1439" i="1"/>
  <c r="D1437" i="1" s="1"/>
  <c r="I1438" i="1"/>
  <c r="I1436" i="1" s="1"/>
  <c r="H1438" i="1"/>
  <c r="H1436" i="1" s="1"/>
  <c r="G1438" i="1"/>
  <c r="F1438" i="1"/>
  <c r="E1438" i="1"/>
  <c r="E1436" i="1" s="1"/>
  <c r="C1436" i="1" s="1"/>
  <c r="D1438" i="1"/>
  <c r="G1437" i="1"/>
  <c r="F1437" i="1"/>
  <c r="G1436" i="1"/>
  <c r="F1436" i="1"/>
  <c r="D1436" i="1"/>
  <c r="C1435" i="1"/>
  <c r="C1434" i="1"/>
  <c r="I1433" i="1"/>
  <c r="C1433" i="1" s="1"/>
  <c r="H1433" i="1"/>
  <c r="G1433" i="1"/>
  <c r="F1433" i="1"/>
  <c r="F1423" i="1" s="1"/>
  <c r="E1433" i="1"/>
  <c r="D1433" i="1"/>
  <c r="I1432" i="1"/>
  <c r="H1432" i="1"/>
  <c r="G1432" i="1"/>
  <c r="F1432" i="1"/>
  <c r="E1432" i="1"/>
  <c r="D1432" i="1"/>
  <c r="C1431" i="1"/>
  <c r="C1430" i="1"/>
  <c r="E1429" i="1"/>
  <c r="C1429" i="1" s="1"/>
  <c r="E1428" i="1"/>
  <c r="C1428" i="1"/>
  <c r="E1427" i="1"/>
  <c r="E1425" i="1" s="1"/>
  <c r="E1423" i="1" s="1"/>
  <c r="C1427" i="1"/>
  <c r="E1426" i="1"/>
  <c r="I1425" i="1"/>
  <c r="H1425" i="1"/>
  <c r="G1425" i="1"/>
  <c r="F1425" i="1"/>
  <c r="D1425" i="1"/>
  <c r="I1424" i="1"/>
  <c r="I1422" i="1" s="1"/>
  <c r="I1420" i="1" s="1"/>
  <c r="I1418" i="1" s="1"/>
  <c r="I1416" i="1" s="1"/>
  <c r="H1424" i="1"/>
  <c r="G1424" i="1"/>
  <c r="F1424" i="1"/>
  <c r="F1422" i="1" s="1"/>
  <c r="F1420" i="1" s="1"/>
  <c r="F1418" i="1" s="1"/>
  <c r="F1416" i="1" s="1"/>
  <c r="D1424" i="1"/>
  <c r="D1422" i="1" s="1"/>
  <c r="D1420" i="1" s="1"/>
  <c r="D1418" i="1" s="1"/>
  <c r="D1416" i="1" s="1"/>
  <c r="H1423" i="1"/>
  <c r="G1423" i="1"/>
  <c r="H1422" i="1"/>
  <c r="H1420" i="1" s="1"/>
  <c r="H1418" i="1" s="1"/>
  <c r="H1416" i="1" s="1"/>
  <c r="H1421" i="1"/>
  <c r="H1419" i="1" s="1"/>
  <c r="H1417" i="1" s="1"/>
  <c r="C1415" i="1"/>
  <c r="C1414" i="1"/>
  <c r="I1413" i="1"/>
  <c r="H1413" i="1"/>
  <c r="G1413" i="1"/>
  <c r="G1407" i="1" s="1"/>
  <c r="F1413" i="1"/>
  <c r="E1413" i="1"/>
  <c r="D1413" i="1"/>
  <c r="D1407" i="1" s="1"/>
  <c r="C1413" i="1"/>
  <c r="I1412" i="1"/>
  <c r="I1406" i="1" s="1"/>
  <c r="H1412" i="1"/>
  <c r="H1406" i="1" s="1"/>
  <c r="G1412" i="1"/>
  <c r="F1412" i="1"/>
  <c r="E1412" i="1"/>
  <c r="D1412" i="1"/>
  <c r="C1411" i="1"/>
  <c r="C1410" i="1"/>
  <c r="I1409" i="1"/>
  <c r="H1409" i="1"/>
  <c r="G1409" i="1"/>
  <c r="F1409" i="1"/>
  <c r="F1407" i="1" s="1"/>
  <c r="E1409" i="1"/>
  <c r="D1409" i="1"/>
  <c r="I1408" i="1"/>
  <c r="H1408" i="1"/>
  <c r="G1408" i="1"/>
  <c r="F1408" i="1"/>
  <c r="E1408" i="1"/>
  <c r="D1408" i="1"/>
  <c r="I1407" i="1"/>
  <c r="H1407" i="1"/>
  <c r="H1363" i="1" s="1"/>
  <c r="H1361" i="1" s="1"/>
  <c r="G1406" i="1"/>
  <c r="D1406" i="1"/>
  <c r="C1405" i="1"/>
  <c r="C1404" i="1"/>
  <c r="I1403" i="1"/>
  <c r="H1403" i="1"/>
  <c r="G1403" i="1"/>
  <c r="F1403" i="1"/>
  <c r="E1403" i="1"/>
  <c r="D1403" i="1"/>
  <c r="I1402" i="1"/>
  <c r="H1402" i="1"/>
  <c r="G1402" i="1"/>
  <c r="F1402" i="1"/>
  <c r="E1402" i="1"/>
  <c r="D1402" i="1"/>
  <c r="C1401" i="1"/>
  <c r="C1400" i="1"/>
  <c r="I1399" i="1"/>
  <c r="H1399" i="1"/>
  <c r="G1399" i="1"/>
  <c r="F1399" i="1"/>
  <c r="E1399" i="1"/>
  <c r="D1399" i="1"/>
  <c r="I1398" i="1"/>
  <c r="H1398" i="1"/>
  <c r="C1398" i="1" s="1"/>
  <c r="G1398" i="1"/>
  <c r="F1398" i="1"/>
  <c r="E1398" i="1"/>
  <c r="E1386" i="1" s="1"/>
  <c r="D1398" i="1"/>
  <c r="C1397" i="1"/>
  <c r="C1396" i="1"/>
  <c r="C1395" i="1"/>
  <c r="C1394" i="1"/>
  <c r="C1393" i="1"/>
  <c r="C1392" i="1"/>
  <c r="C1391" i="1"/>
  <c r="C1390" i="1"/>
  <c r="I1389" i="1"/>
  <c r="H1389" i="1"/>
  <c r="G1389" i="1"/>
  <c r="F1389" i="1"/>
  <c r="E1389" i="1"/>
  <c r="E1387" i="1" s="1"/>
  <c r="D1389" i="1"/>
  <c r="C1389" i="1"/>
  <c r="I1388" i="1"/>
  <c r="H1388" i="1"/>
  <c r="G1388" i="1"/>
  <c r="F1388" i="1"/>
  <c r="E1388" i="1"/>
  <c r="D1388" i="1"/>
  <c r="H1387" i="1"/>
  <c r="G1387" i="1"/>
  <c r="G1363" i="1" s="1"/>
  <c r="G1361" i="1" s="1"/>
  <c r="G1353" i="1" s="1"/>
  <c r="F1387" i="1"/>
  <c r="D1387" i="1"/>
  <c r="G1386" i="1"/>
  <c r="C1385" i="1"/>
  <c r="C1384" i="1"/>
  <c r="I1383" i="1"/>
  <c r="H1383" i="1"/>
  <c r="G1383" i="1"/>
  <c r="F1383" i="1"/>
  <c r="E1383" i="1"/>
  <c r="D1383" i="1"/>
  <c r="I1382" i="1"/>
  <c r="H1382" i="1"/>
  <c r="G1382" i="1"/>
  <c r="F1382" i="1"/>
  <c r="E1382" i="1"/>
  <c r="D1382" i="1"/>
  <c r="C1381" i="1"/>
  <c r="C1380" i="1"/>
  <c r="I1379" i="1"/>
  <c r="H1379" i="1"/>
  <c r="G1379" i="1"/>
  <c r="F1379" i="1"/>
  <c r="E1379" i="1"/>
  <c r="D1379" i="1"/>
  <c r="I1378" i="1"/>
  <c r="H1378" i="1"/>
  <c r="G1378" i="1"/>
  <c r="F1378" i="1"/>
  <c r="E1378" i="1"/>
  <c r="D1378" i="1"/>
  <c r="C1377" i="1"/>
  <c r="C1376" i="1"/>
  <c r="C1375" i="1"/>
  <c r="C1374" i="1"/>
  <c r="C1373" i="1"/>
  <c r="C1372" i="1"/>
  <c r="I1371" i="1"/>
  <c r="H1371" i="1"/>
  <c r="G1371" i="1"/>
  <c r="F1371" i="1"/>
  <c r="E1371" i="1"/>
  <c r="D1371" i="1"/>
  <c r="I1370" i="1"/>
  <c r="I1364" i="1" s="1"/>
  <c r="H1370" i="1"/>
  <c r="G1370" i="1"/>
  <c r="F1370" i="1"/>
  <c r="E1370" i="1"/>
  <c r="D1370" i="1"/>
  <c r="C1369" i="1"/>
  <c r="C1368" i="1"/>
  <c r="I1367" i="1"/>
  <c r="H1367" i="1"/>
  <c r="H1365" i="1" s="1"/>
  <c r="G1367" i="1"/>
  <c r="F1367" i="1"/>
  <c r="E1367" i="1"/>
  <c r="D1367" i="1"/>
  <c r="I1366" i="1"/>
  <c r="H1366" i="1"/>
  <c r="H1364" i="1" s="1"/>
  <c r="G1366" i="1"/>
  <c r="G1364" i="1" s="1"/>
  <c r="G1362" i="1" s="1"/>
  <c r="G1360" i="1" s="1"/>
  <c r="G1352" i="1" s="1"/>
  <c r="F1366" i="1"/>
  <c r="E1366" i="1"/>
  <c r="D1366" i="1"/>
  <c r="G1365" i="1"/>
  <c r="F1365" i="1"/>
  <c r="D1365" i="1"/>
  <c r="F1364" i="1"/>
  <c r="C1359" i="1"/>
  <c r="C1357" i="1" s="1"/>
  <c r="C1355" i="1" s="1"/>
  <c r="C1358" i="1"/>
  <c r="I1357" i="1"/>
  <c r="H1357" i="1"/>
  <c r="H1355" i="1" s="1"/>
  <c r="G1357" i="1"/>
  <c r="G1355" i="1" s="1"/>
  <c r="F1357" i="1"/>
  <c r="E1357" i="1"/>
  <c r="E1355" i="1" s="1"/>
  <c r="D1357" i="1"/>
  <c r="I1356" i="1"/>
  <c r="H1356" i="1"/>
  <c r="G1356" i="1"/>
  <c r="G1354" i="1" s="1"/>
  <c r="F1356" i="1"/>
  <c r="F1354" i="1" s="1"/>
  <c r="E1356" i="1"/>
  <c r="E1354" i="1" s="1"/>
  <c r="D1356" i="1"/>
  <c r="D1354" i="1" s="1"/>
  <c r="C1356" i="1"/>
  <c r="C1354" i="1" s="1"/>
  <c r="I1355" i="1"/>
  <c r="F1355" i="1"/>
  <c r="D1355" i="1"/>
  <c r="I1354" i="1"/>
  <c r="H1354" i="1"/>
  <c r="C1348" i="1"/>
  <c r="C1347" i="1"/>
  <c r="I1346" i="1"/>
  <c r="H1346" i="1"/>
  <c r="G1346" i="1"/>
  <c r="F1346" i="1"/>
  <c r="E1346" i="1"/>
  <c r="D1346" i="1"/>
  <c r="I1345" i="1"/>
  <c r="H1345" i="1"/>
  <c r="G1345" i="1"/>
  <c r="F1345" i="1"/>
  <c r="E1345" i="1"/>
  <c r="D1345" i="1"/>
  <c r="C1344" i="1"/>
  <c r="C1343" i="1"/>
  <c r="C1342" i="1"/>
  <c r="C1341" i="1"/>
  <c r="C1340" i="1"/>
  <c r="C1339" i="1"/>
  <c r="C1338" i="1"/>
  <c r="C1337" i="1"/>
  <c r="C1336" i="1"/>
  <c r="C1335" i="1"/>
  <c r="C1334" i="1"/>
  <c r="C1333" i="1"/>
  <c r="C1332" i="1"/>
  <c r="C1331" i="1"/>
  <c r="I1330" i="1"/>
  <c r="I1328" i="1" s="1"/>
  <c r="H1330" i="1"/>
  <c r="G1330" i="1"/>
  <c r="F1330" i="1"/>
  <c r="E1330" i="1"/>
  <c r="D1330" i="1"/>
  <c r="I1329" i="1"/>
  <c r="H1329" i="1"/>
  <c r="G1329" i="1"/>
  <c r="G1327" i="1" s="1"/>
  <c r="F1329" i="1"/>
  <c r="F1327" i="1" s="1"/>
  <c r="E1329" i="1"/>
  <c r="E1327" i="1" s="1"/>
  <c r="D1329" i="1"/>
  <c r="H1328" i="1"/>
  <c r="H1327" i="1"/>
  <c r="C1326" i="1"/>
  <c r="C1325" i="1"/>
  <c r="I1324" i="1"/>
  <c r="H1324" i="1"/>
  <c r="G1324" i="1"/>
  <c r="F1324" i="1"/>
  <c r="E1324" i="1"/>
  <c r="E1314" i="1" s="1"/>
  <c r="D1324" i="1"/>
  <c r="D1314" i="1" s="1"/>
  <c r="C1324" i="1"/>
  <c r="I1323" i="1"/>
  <c r="I1313" i="1" s="1"/>
  <c r="I636" i="1" s="1"/>
  <c r="I552" i="1" s="1"/>
  <c r="I70" i="1" s="1"/>
  <c r="H1323" i="1"/>
  <c r="H1313" i="1" s="1"/>
  <c r="H636" i="1" s="1"/>
  <c r="H552" i="1" s="1"/>
  <c r="H70" i="1" s="1"/>
  <c r="G1323" i="1"/>
  <c r="F1323" i="1"/>
  <c r="E1323" i="1"/>
  <c r="D1323" i="1"/>
  <c r="C1322" i="1"/>
  <c r="C1321" i="1"/>
  <c r="C1320" i="1"/>
  <c r="C1319" i="1"/>
  <c r="C1318" i="1"/>
  <c r="C1317" i="1"/>
  <c r="I1316" i="1"/>
  <c r="H1316" i="1"/>
  <c r="H1314" i="1" s="1"/>
  <c r="H637" i="1" s="1"/>
  <c r="H553" i="1" s="1"/>
  <c r="G1316" i="1"/>
  <c r="G1314" i="1" s="1"/>
  <c r="F1316" i="1"/>
  <c r="F1314" i="1" s="1"/>
  <c r="E1316" i="1"/>
  <c r="D1316" i="1"/>
  <c r="I1315" i="1"/>
  <c r="H1315" i="1"/>
  <c r="G1315" i="1"/>
  <c r="F1315" i="1"/>
  <c r="E1315" i="1"/>
  <c r="E1313" i="1" s="1"/>
  <c r="D1315" i="1"/>
  <c r="I1314" i="1"/>
  <c r="G1313" i="1"/>
  <c r="G636" i="1" s="1"/>
  <c r="G552" i="1" s="1"/>
  <c r="G70" i="1" s="1"/>
  <c r="C1312" i="1"/>
  <c r="C1311" i="1"/>
  <c r="I1310" i="1"/>
  <c r="H1310" i="1"/>
  <c r="G1310" i="1"/>
  <c r="F1310" i="1"/>
  <c r="E1310" i="1"/>
  <c r="D1310" i="1"/>
  <c r="I1309" i="1"/>
  <c r="H1309" i="1"/>
  <c r="G1309" i="1"/>
  <c r="C1309" i="1" s="1"/>
  <c r="F1309" i="1"/>
  <c r="E1309" i="1"/>
  <c r="D1309" i="1"/>
  <c r="C1308" i="1"/>
  <c r="C1307" i="1"/>
  <c r="C1306" i="1"/>
  <c r="C1305" i="1"/>
  <c r="I1304" i="1"/>
  <c r="I1292" i="1" s="1"/>
  <c r="H1304" i="1"/>
  <c r="H1292" i="1" s="1"/>
  <c r="G1304" i="1"/>
  <c r="G1292" i="1" s="1"/>
  <c r="F1304" i="1"/>
  <c r="F1292" i="1" s="1"/>
  <c r="E1304" i="1"/>
  <c r="E1292" i="1" s="1"/>
  <c r="D1304" i="1"/>
  <c r="C1304" i="1" s="1"/>
  <c r="I1303" i="1"/>
  <c r="H1303" i="1"/>
  <c r="H1291" i="1" s="1"/>
  <c r="G1303" i="1"/>
  <c r="G1291" i="1" s="1"/>
  <c r="F1303" i="1"/>
  <c r="F1291" i="1" s="1"/>
  <c r="E1303" i="1"/>
  <c r="E1291" i="1" s="1"/>
  <c r="D1303" i="1"/>
  <c r="C1302" i="1"/>
  <c r="C1301" i="1"/>
  <c r="C1300" i="1"/>
  <c r="C1299" i="1"/>
  <c r="C1298" i="1"/>
  <c r="C1297" i="1"/>
  <c r="C1296" i="1"/>
  <c r="C1295" i="1"/>
  <c r="C1294" i="1"/>
  <c r="C1293" i="1"/>
  <c r="I1291" i="1"/>
  <c r="D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I1248" i="1"/>
  <c r="H1248" i="1"/>
  <c r="G1248" i="1"/>
  <c r="F1248" i="1"/>
  <c r="F1218" i="1" s="1"/>
  <c r="E1248" i="1"/>
  <c r="D1248" i="1"/>
  <c r="I1247" i="1"/>
  <c r="H1247" i="1"/>
  <c r="G1247" i="1"/>
  <c r="F1247" i="1"/>
  <c r="E1247" i="1"/>
  <c r="D1247" i="1"/>
  <c r="C1247" i="1" s="1"/>
  <c r="C1246" i="1"/>
  <c r="C1245" i="1"/>
  <c r="C1244" i="1"/>
  <c r="C1243" i="1"/>
  <c r="C1242" i="1"/>
  <c r="C1241" i="1"/>
  <c r="C1240" i="1"/>
  <c r="C1239" i="1"/>
  <c r="C1238" i="1"/>
  <c r="C1237" i="1"/>
  <c r="C1236" i="1"/>
  <c r="C1235" i="1"/>
  <c r="C1234" i="1"/>
  <c r="C1233" i="1"/>
  <c r="C1232" i="1"/>
  <c r="C1231" i="1"/>
  <c r="C1230" i="1"/>
  <c r="C1229" i="1"/>
  <c r="C1228" i="1"/>
  <c r="C1227" i="1"/>
  <c r="C1226" i="1"/>
  <c r="C1225" i="1"/>
  <c r="I1224" i="1"/>
  <c r="H1224" i="1"/>
  <c r="G1224" i="1"/>
  <c r="F1224" i="1"/>
  <c r="E1224" i="1"/>
  <c r="D1224" i="1"/>
  <c r="I1223" i="1"/>
  <c r="H1223" i="1"/>
  <c r="G1223" i="1"/>
  <c r="G1217" i="1" s="1"/>
  <c r="G1215" i="1" s="1"/>
  <c r="G1213" i="1" s="1"/>
  <c r="G1211" i="1" s="1"/>
  <c r="F1223" i="1"/>
  <c r="E1223" i="1"/>
  <c r="D1223" i="1"/>
  <c r="C1222" i="1"/>
  <c r="C1221" i="1"/>
  <c r="I1220" i="1"/>
  <c r="H1220" i="1"/>
  <c r="G1220" i="1"/>
  <c r="F1220" i="1"/>
  <c r="E1220" i="1"/>
  <c r="D1220" i="1"/>
  <c r="I1219" i="1"/>
  <c r="H1219" i="1"/>
  <c r="G1219" i="1"/>
  <c r="F1219" i="1"/>
  <c r="E1219" i="1"/>
  <c r="D1219" i="1"/>
  <c r="C1210" i="1"/>
  <c r="C1209" i="1"/>
  <c r="I1208" i="1"/>
  <c r="I1206" i="1" s="1"/>
  <c r="H1208" i="1"/>
  <c r="H1206" i="1" s="1"/>
  <c r="G1208" i="1"/>
  <c r="G1206" i="1" s="1"/>
  <c r="F1208" i="1"/>
  <c r="F1206" i="1" s="1"/>
  <c r="E1208" i="1"/>
  <c r="D1208" i="1"/>
  <c r="I1207" i="1"/>
  <c r="I1205" i="1" s="1"/>
  <c r="H1207" i="1"/>
  <c r="H1205" i="1" s="1"/>
  <c r="G1207" i="1"/>
  <c r="G1205" i="1" s="1"/>
  <c r="F1207" i="1"/>
  <c r="E1207" i="1"/>
  <c r="D1207" i="1"/>
  <c r="E1206" i="1"/>
  <c r="E1205" i="1"/>
  <c r="D1205" i="1"/>
  <c r="C1204" i="1"/>
  <c r="C1203" i="1"/>
  <c r="C1202" i="1"/>
  <c r="C1201" i="1"/>
  <c r="I1200" i="1"/>
  <c r="H1200" i="1"/>
  <c r="G1200" i="1"/>
  <c r="G1198" i="1" s="1"/>
  <c r="F1200" i="1"/>
  <c r="E1200" i="1"/>
  <c r="D1200" i="1"/>
  <c r="D1198" i="1" s="1"/>
  <c r="I1199" i="1"/>
  <c r="I1197" i="1" s="1"/>
  <c r="I1195" i="1" s="1"/>
  <c r="I1193" i="1" s="1"/>
  <c r="I2669" i="1" s="1"/>
  <c r="H1199" i="1"/>
  <c r="H1197" i="1" s="1"/>
  <c r="G1199" i="1"/>
  <c r="F1199" i="1"/>
  <c r="E1199" i="1"/>
  <c r="C1199" i="1" s="1"/>
  <c r="D1199" i="1"/>
  <c r="I1198" i="1"/>
  <c r="H1198" i="1"/>
  <c r="F1198" i="1"/>
  <c r="F1196" i="1" s="1"/>
  <c r="F1194" i="1" s="1"/>
  <c r="E1198" i="1"/>
  <c r="E1196" i="1" s="1"/>
  <c r="E1194" i="1" s="1"/>
  <c r="E2670" i="1" s="1"/>
  <c r="G1197" i="1"/>
  <c r="F1197" i="1"/>
  <c r="D1197" i="1"/>
  <c r="C1192" i="1"/>
  <c r="C1191" i="1"/>
  <c r="I1190" i="1"/>
  <c r="H1190" i="1"/>
  <c r="G1190" i="1"/>
  <c r="F1190" i="1"/>
  <c r="E1190" i="1"/>
  <c r="D1190" i="1"/>
  <c r="D1188" i="1" s="1"/>
  <c r="D2668" i="1" s="1"/>
  <c r="I1189" i="1"/>
  <c r="I1187" i="1" s="1"/>
  <c r="I2667" i="1" s="1"/>
  <c r="I2665" i="1" s="1"/>
  <c r="H1189" i="1"/>
  <c r="G1189" i="1"/>
  <c r="F1189" i="1"/>
  <c r="E1189" i="1"/>
  <c r="E1187" i="1" s="1"/>
  <c r="D1189" i="1"/>
  <c r="D1187" i="1" s="1"/>
  <c r="D2667" i="1" s="1"/>
  <c r="I1188" i="1"/>
  <c r="I2668" i="1" s="1"/>
  <c r="H1188" i="1"/>
  <c r="G1188" i="1"/>
  <c r="F1188" i="1"/>
  <c r="F2668" i="1" s="1"/>
  <c r="H1187" i="1"/>
  <c r="H2667" i="1" s="1"/>
  <c r="G1187" i="1"/>
  <c r="G2667" i="1" s="1"/>
  <c r="F1187" i="1"/>
  <c r="F2667" i="1" s="1"/>
  <c r="I1185" i="1"/>
  <c r="C1181" i="1"/>
  <c r="C1180" i="1"/>
  <c r="I1179" i="1"/>
  <c r="H1179" i="1"/>
  <c r="G1179" i="1"/>
  <c r="F1179" i="1"/>
  <c r="E1179" i="1"/>
  <c r="D1179" i="1"/>
  <c r="I1178" i="1"/>
  <c r="H1178" i="1"/>
  <c r="G1178" i="1"/>
  <c r="F1178" i="1"/>
  <c r="E1178" i="1"/>
  <c r="D1178" i="1"/>
  <c r="C1177" i="1"/>
  <c r="C1176" i="1"/>
  <c r="C1175" i="1"/>
  <c r="C1174" i="1"/>
  <c r="C1173" i="1"/>
  <c r="C1172" i="1"/>
  <c r="C1171" i="1"/>
  <c r="C1170" i="1"/>
  <c r="C1169" i="1"/>
  <c r="C1168" i="1"/>
  <c r="C1167" i="1"/>
  <c r="C1166" i="1"/>
  <c r="I1165" i="1"/>
  <c r="H1165" i="1"/>
  <c r="G1165" i="1"/>
  <c r="G1157" i="1" s="1"/>
  <c r="F1165" i="1"/>
  <c r="E1165" i="1"/>
  <c r="C1165" i="1" s="1"/>
  <c r="D1165" i="1"/>
  <c r="I1164" i="1"/>
  <c r="H1164" i="1"/>
  <c r="G1164" i="1"/>
  <c r="F1164" i="1"/>
  <c r="E1164" i="1"/>
  <c r="D1164" i="1"/>
  <c r="C1164" i="1" s="1"/>
  <c r="C1163" i="1"/>
  <c r="C1162" i="1"/>
  <c r="C1161" i="1"/>
  <c r="C1160" i="1"/>
  <c r="I1159" i="1"/>
  <c r="H1159" i="1"/>
  <c r="G1159" i="1"/>
  <c r="F1159" i="1"/>
  <c r="E1159" i="1"/>
  <c r="D1159" i="1"/>
  <c r="D1157" i="1" s="1"/>
  <c r="I1158" i="1"/>
  <c r="I1156" i="1" s="1"/>
  <c r="H1158" i="1"/>
  <c r="G1158" i="1"/>
  <c r="G1156" i="1" s="1"/>
  <c r="F1158" i="1"/>
  <c r="F1156" i="1" s="1"/>
  <c r="E1158" i="1"/>
  <c r="E1156" i="1" s="1"/>
  <c r="D1158" i="1"/>
  <c r="C1158" i="1"/>
  <c r="C1155" i="1"/>
  <c r="C1154" i="1"/>
  <c r="E1153" i="1"/>
  <c r="E1152" i="1"/>
  <c r="C1152" i="1" s="1"/>
  <c r="E1151" i="1"/>
  <c r="C1151" i="1" s="1"/>
  <c r="E1150" i="1"/>
  <c r="C1150" i="1" s="1"/>
  <c r="C1149" i="1"/>
  <c r="C1148" i="1"/>
  <c r="I1147" i="1"/>
  <c r="H1147" i="1"/>
  <c r="G1147" i="1"/>
  <c r="F1147" i="1"/>
  <c r="D1147" i="1"/>
  <c r="I1146" i="1"/>
  <c r="H1146" i="1"/>
  <c r="G1146" i="1"/>
  <c r="F1146" i="1"/>
  <c r="D1146" i="1"/>
  <c r="C1145" i="1"/>
  <c r="C1144" i="1"/>
  <c r="C1143" i="1"/>
  <c r="C1142" i="1"/>
  <c r="C1141" i="1"/>
  <c r="C1140" i="1"/>
  <c r="C1139" i="1"/>
  <c r="C1138" i="1"/>
  <c r="C1137" i="1"/>
  <c r="C1136" i="1"/>
  <c r="I1135" i="1"/>
  <c r="H1135" i="1"/>
  <c r="G1135" i="1"/>
  <c r="F1135" i="1"/>
  <c r="E1135" i="1"/>
  <c r="D1135" i="1"/>
  <c r="I1134" i="1"/>
  <c r="H1134" i="1"/>
  <c r="G1134" i="1"/>
  <c r="F1134" i="1"/>
  <c r="E1134" i="1"/>
  <c r="D1134" i="1"/>
  <c r="C1133" i="1"/>
  <c r="C1132" i="1"/>
  <c r="C1131" i="1"/>
  <c r="C1130" i="1"/>
  <c r="C1129" i="1"/>
  <c r="C1128" i="1"/>
  <c r="C1127" i="1"/>
  <c r="C1126" i="1"/>
  <c r="C1125" i="1"/>
  <c r="C1124" i="1"/>
  <c r="C1123" i="1"/>
  <c r="C1122" i="1"/>
  <c r="C1121" i="1"/>
  <c r="C1120" i="1"/>
  <c r="C1119" i="1"/>
  <c r="C1118" i="1"/>
  <c r="C1117" i="1"/>
  <c r="C1116" i="1"/>
  <c r="I1115" i="1"/>
  <c r="H1115" i="1"/>
  <c r="G1115" i="1"/>
  <c r="F1115" i="1"/>
  <c r="E1115" i="1"/>
  <c r="D1115" i="1"/>
  <c r="I1114" i="1"/>
  <c r="H1114" i="1"/>
  <c r="G1114" i="1"/>
  <c r="F1114" i="1"/>
  <c r="E1114" i="1"/>
  <c r="D1114" i="1"/>
  <c r="C1114" i="1"/>
  <c r="C1113" i="1"/>
  <c r="C1112" i="1"/>
  <c r="C1111" i="1"/>
  <c r="C1110" i="1"/>
  <c r="I1109" i="1"/>
  <c r="H1109" i="1"/>
  <c r="G1109" i="1"/>
  <c r="F1109" i="1"/>
  <c r="E1109" i="1"/>
  <c r="D1109" i="1"/>
  <c r="I1108" i="1"/>
  <c r="H1108" i="1"/>
  <c r="G1108" i="1"/>
  <c r="F1108" i="1"/>
  <c r="E1108" i="1"/>
  <c r="D1108" i="1"/>
  <c r="E1107" i="1"/>
  <c r="C1107" i="1" s="1"/>
  <c r="E1106" i="1"/>
  <c r="C1106" i="1" s="1"/>
  <c r="C1105" i="1"/>
  <c r="C1104" i="1"/>
  <c r="E1103" i="1"/>
  <c r="D1103" i="1"/>
  <c r="C1103" i="1" s="1"/>
  <c r="E1102" i="1"/>
  <c r="D1102" i="1"/>
  <c r="C1102" i="1" s="1"/>
  <c r="E1101" i="1"/>
  <c r="E1100" i="1"/>
  <c r="E1099" i="1"/>
  <c r="D1099" i="1"/>
  <c r="C1099" i="1" s="1"/>
  <c r="E1098" i="1"/>
  <c r="E1097" i="1"/>
  <c r="E1096" i="1"/>
  <c r="I1095" i="1"/>
  <c r="H1095" i="1"/>
  <c r="G1095" i="1"/>
  <c r="F1095" i="1"/>
  <c r="E1095" i="1"/>
  <c r="I1094" i="1"/>
  <c r="H1094" i="1"/>
  <c r="G1094" i="1"/>
  <c r="F1094" i="1"/>
  <c r="E1094" i="1"/>
  <c r="D1094" i="1"/>
  <c r="E1093" i="1"/>
  <c r="E1092" i="1"/>
  <c r="I1091" i="1"/>
  <c r="H1091" i="1"/>
  <c r="G1091" i="1"/>
  <c r="F1091" i="1"/>
  <c r="E1091" i="1"/>
  <c r="D1091" i="1"/>
  <c r="C1091" i="1" s="1"/>
  <c r="I1090" i="1"/>
  <c r="H1090" i="1"/>
  <c r="G1090" i="1"/>
  <c r="F1090" i="1"/>
  <c r="E1090" i="1"/>
  <c r="I1089" i="1"/>
  <c r="H1089" i="1"/>
  <c r="G1089" i="1"/>
  <c r="F1089" i="1"/>
  <c r="E1089" i="1"/>
  <c r="D1089" i="1"/>
  <c r="I1088" i="1"/>
  <c r="H1088" i="1"/>
  <c r="G1088" i="1"/>
  <c r="F1088" i="1"/>
  <c r="D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I1049" i="1"/>
  <c r="H1049" i="1"/>
  <c r="G1049" i="1"/>
  <c r="F1049" i="1"/>
  <c r="E1049" i="1"/>
  <c r="D1049" i="1"/>
  <c r="I1048" i="1"/>
  <c r="H1048" i="1"/>
  <c r="G1048" i="1"/>
  <c r="F1048" i="1"/>
  <c r="E1048" i="1"/>
  <c r="D1048" i="1"/>
  <c r="C1048" i="1" s="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E1003" i="1"/>
  <c r="E1002" i="1"/>
  <c r="C1001" i="1"/>
  <c r="C1000" i="1"/>
  <c r="E999" i="1"/>
  <c r="C999" i="1" s="1"/>
  <c r="E998" i="1"/>
  <c r="C998" i="1" s="1"/>
  <c r="C997" i="1"/>
  <c r="C996" i="1"/>
  <c r="C995" i="1"/>
  <c r="C994" i="1"/>
  <c r="C993" i="1"/>
  <c r="C992" i="1"/>
  <c r="C991" i="1"/>
  <c r="C990" i="1"/>
  <c r="C989" i="1"/>
  <c r="C988" i="1"/>
  <c r="C987" i="1"/>
  <c r="C986" i="1"/>
  <c r="C985" i="1"/>
  <c r="C984" i="1"/>
  <c r="C983" i="1"/>
  <c r="C982" i="1"/>
  <c r="I981" i="1"/>
  <c r="H981" i="1"/>
  <c r="H897" i="1" s="1"/>
  <c r="G981" i="1"/>
  <c r="F981" i="1"/>
  <c r="D981" i="1"/>
  <c r="I980" i="1"/>
  <c r="H980" i="1"/>
  <c r="G980" i="1"/>
  <c r="F980" i="1"/>
  <c r="D980" i="1"/>
  <c r="C979" i="1"/>
  <c r="C978" i="1"/>
  <c r="C977" i="1"/>
  <c r="C976" i="1"/>
  <c r="C975" i="1"/>
  <c r="C974" i="1"/>
  <c r="C973" i="1"/>
  <c r="C972" i="1"/>
  <c r="C971" i="1"/>
  <c r="C970" i="1"/>
  <c r="C969" i="1"/>
  <c r="C968" i="1"/>
  <c r="C967" i="1"/>
  <c r="C966" i="1"/>
  <c r="C965" i="1"/>
  <c r="C964" i="1"/>
  <c r="C963" i="1"/>
  <c r="C962" i="1"/>
  <c r="C961" i="1"/>
  <c r="C960" i="1"/>
  <c r="C959" i="1"/>
  <c r="C958" i="1"/>
  <c r="C957" i="1"/>
  <c r="C956" i="1"/>
  <c r="E955" i="1"/>
  <c r="C955" i="1" s="1"/>
  <c r="E954" i="1"/>
  <c r="C954" i="1" s="1"/>
  <c r="C953" i="1"/>
  <c r="C952" i="1"/>
  <c r="C951" i="1"/>
  <c r="C950" i="1"/>
  <c r="C949" i="1"/>
  <c r="C948" i="1"/>
  <c r="C947" i="1"/>
  <c r="C946" i="1"/>
  <c r="C945" i="1"/>
  <c r="C944" i="1"/>
  <c r="C943" i="1"/>
  <c r="C942" i="1"/>
  <c r="C941" i="1"/>
  <c r="C940" i="1"/>
  <c r="I939" i="1"/>
  <c r="H939" i="1"/>
  <c r="G939" i="1"/>
  <c r="F939" i="1"/>
  <c r="E939" i="1"/>
  <c r="D939" i="1"/>
  <c r="I938" i="1"/>
  <c r="H938" i="1"/>
  <c r="G938" i="1"/>
  <c r="F938" i="1"/>
  <c r="F896" i="1" s="1"/>
  <c r="D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I899" i="1"/>
  <c r="H899" i="1"/>
  <c r="G899" i="1"/>
  <c r="F899" i="1"/>
  <c r="E899" i="1"/>
  <c r="D899" i="1"/>
  <c r="I898" i="1"/>
  <c r="H898" i="1"/>
  <c r="G898" i="1"/>
  <c r="F898" i="1"/>
  <c r="E898" i="1"/>
  <c r="D898" i="1"/>
  <c r="H896" i="1"/>
  <c r="C891" i="1"/>
  <c r="C890" i="1"/>
  <c r="I889" i="1"/>
  <c r="H889" i="1"/>
  <c r="G889" i="1"/>
  <c r="F889" i="1"/>
  <c r="E889" i="1"/>
  <c r="D889" i="1"/>
  <c r="I888" i="1"/>
  <c r="H888" i="1"/>
  <c r="G888" i="1"/>
  <c r="G880" i="1" s="1"/>
  <c r="G2658" i="1" s="1"/>
  <c r="F888" i="1"/>
  <c r="E888" i="1"/>
  <c r="D888" i="1"/>
  <c r="C887" i="1"/>
  <c r="C886" i="1"/>
  <c r="C885" i="1"/>
  <c r="C884" i="1"/>
  <c r="I883" i="1"/>
  <c r="I881" i="1" s="1"/>
  <c r="H883" i="1"/>
  <c r="H881" i="1" s="1"/>
  <c r="G883" i="1"/>
  <c r="F883" i="1"/>
  <c r="E883" i="1"/>
  <c r="D883" i="1"/>
  <c r="I882" i="1"/>
  <c r="H882" i="1"/>
  <c r="G882" i="1"/>
  <c r="F882" i="1"/>
  <c r="E882" i="1"/>
  <c r="D882" i="1"/>
  <c r="F881" i="1"/>
  <c r="F2659" i="1" s="1"/>
  <c r="D879" i="1"/>
  <c r="C879" i="1"/>
  <c r="D878" i="1"/>
  <c r="I877" i="1"/>
  <c r="H877" i="1"/>
  <c r="G877" i="1"/>
  <c r="F877" i="1"/>
  <c r="E877" i="1"/>
  <c r="D877" i="1"/>
  <c r="I876" i="1"/>
  <c r="H876" i="1"/>
  <c r="G876" i="1"/>
  <c r="F876" i="1"/>
  <c r="E876" i="1"/>
  <c r="I875" i="1"/>
  <c r="I873" i="1" s="1"/>
  <c r="D875" i="1"/>
  <c r="C875" i="1" s="1"/>
  <c r="I874" i="1"/>
  <c r="I872" i="1" s="1"/>
  <c r="I870" i="1" s="1"/>
  <c r="D874" i="1"/>
  <c r="D872" i="1" s="1"/>
  <c r="H873" i="1"/>
  <c r="G873" i="1"/>
  <c r="F873" i="1"/>
  <c r="E873" i="1"/>
  <c r="H872" i="1"/>
  <c r="G872" i="1"/>
  <c r="F872" i="1"/>
  <c r="F870" i="1" s="1"/>
  <c r="E872" i="1"/>
  <c r="E870" i="1" s="1"/>
  <c r="E626" i="1" s="1"/>
  <c r="E542" i="1" s="1"/>
  <c r="E864" i="1"/>
  <c r="C864" i="1" s="1"/>
  <c r="E863" i="1"/>
  <c r="C863" i="1" s="1"/>
  <c r="I862" i="1"/>
  <c r="H862" i="1"/>
  <c r="G862" i="1"/>
  <c r="F862" i="1"/>
  <c r="E862" i="1"/>
  <c r="D862" i="1"/>
  <c r="I861" i="1"/>
  <c r="H861" i="1"/>
  <c r="G861" i="1"/>
  <c r="F861" i="1"/>
  <c r="D861" i="1"/>
  <c r="E860" i="1"/>
  <c r="C860" i="1" s="1"/>
  <c r="E859" i="1"/>
  <c r="I858" i="1"/>
  <c r="I856" i="1" s="1"/>
  <c r="I854" i="1" s="1"/>
  <c r="I852" i="1" s="1"/>
  <c r="H858" i="1"/>
  <c r="G858" i="1"/>
  <c r="F858" i="1"/>
  <c r="D858" i="1"/>
  <c r="I857" i="1"/>
  <c r="I855" i="1" s="1"/>
  <c r="I853" i="1" s="1"/>
  <c r="I851" i="1" s="1"/>
  <c r="H857" i="1"/>
  <c r="H855" i="1" s="1"/>
  <c r="H853" i="1" s="1"/>
  <c r="H851" i="1" s="1"/>
  <c r="G857" i="1"/>
  <c r="G855" i="1" s="1"/>
  <c r="G853" i="1" s="1"/>
  <c r="G851" i="1" s="1"/>
  <c r="F857" i="1"/>
  <c r="F855" i="1" s="1"/>
  <c r="F853" i="1" s="1"/>
  <c r="F851" i="1" s="1"/>
  <c r="D857" i="1"/>
  <c r="C845" i="1"/>
  <c r="C844" i="1"/>
  <c r="C843" i="1"/>
  <c r="C842" i="1"/>
  <c r="C841" i="1"/>
  <c r="C840" i="1"/>
  <c r="C839" i="1"/>
  <c r="C838" i="1"/>
  <c r="C837" i="1"/>
  <c r="C836" i="1"/>
  <c r="C835" i="1"/>
  <c r="C834" i="1"/>
  <c r="C833" i="1"/>
  <c r="C832" i="1"/>
  <c r="I831" i="1"/>
  <c r="H831" i="1"/>
  <c r="G831" i="1"/>
  <c r="F831" i="1"/>
  <c r="E831" i="1"/>
  <c r="D831" i="1"/>
  <c r="I830" i="1"/>
  <c r="H830" i="1"/>
  <c r="G830" i="1"/>
  <c r="F830" i="1"/>
  <c r="E830" i="1"/>
  <c r="D830" i="1"/>
  <c r="C829" i="1"/>
  <c r="C828" i="1"/>
  <c r="C827" i="1"/>
  <c r="C826" i="1"/>
  <c r="C825" i="1"/>
  <c r="C824" i="1"/>
  <c r="C823" i="1"/>
  <c r="C822" i="1"/>
  <c r="C821" i="1"/>
  <c r="C820" i="1"/>
  <c r="C819" i="1"/>
  <c r="C818" i="1"/>
  <c r="C817" i="1"/>
  <c r="C816" i="1"/>
  <c r="C815" i="1"/>
  <c r="C814" i="1"/>
  <c r="E813" i="1"/>
  <c r="C813" i="1" s="1"/>
  <c r="E812" i="1"/>
  <c r="C811" i="1"/>
  <c r="C810" i="1"/>
  <c r="E809" i="1"/>
  <c r="C809" i="1" s="1"/>
  <c r="E808" i="1"/>
  <c r="C808" i="1" s="1"/>
  <c r="C807" i="1"/>
  <c r="C806" i="1"/>
  <c r="C805" i="1"/>
  <c r="C804" i="1"/>
  <c r="I803" i="1"/>
  <c r="I791" i="1" s="1"/>
  <c r="H803" i="1"/>
  <c r="H791" i="1" s="1"/>
  <c r="H789" i="1" s="1"/>
  <c r="H787" i="1" s="1"/>
  <c r="H785" i="1" s="1"/>
  <c r="G803" i="1"/>
  <c r="G791" i="1" s="1"/>
  <c r="F803" i="1"/>
  <c r="C802" i="1"/>
  <c r="C801" i="1"/>
  <c r="C800" i="1"/>
  <c r="C799" i="1"/>
  <c r="C798" i="1"/>
  <c r="C797" i="1"/>
  <c r="C796" i="1"/>
  <c r="C795" i="1"/>
  <c r="C794" i="1"/>
  <c r="C793" i="1"/>
  <c r="C792" i="1"/>
  <c r="D791" i="1"/>
  <c r="D789" i="1" s="1"/>
  <c r="D787" i="1" s="1"/>
  <c r="I790" i="1"/>
  <c r="I788" i="1" s="1"/>
  <c r="I786" i="1" s="1"/>
  <c r="I784" i="1" s="1"/>
  <c r="H790" i="1"/>
  <c r="G790" i="1"/>
  <c r="G788" i="1" s="1"/>
  <c r="G786" i="1" s="1"/>
  <c r="G784" i="1" s="1"/>
  <c r="F790" i="1"/>
  <c r="F788" i="1" s="1"/>
  <c r="F786" i="1" s="1"/>
  <c r="F784" i="1" s="1"/>
  <c r="D790" i="1"/>
  <c r="C778" i="1"/>
  <c r="C777" i="1"/>
  <c r="I776" i="1"/>
  <c r="I774" i="1" s="1"/>
  <c r="H776" i="1"/>
  <c r="H774" i="1" s="1"/>
  <c r="G776" i="1"/>
  <c r="F776" i="1"/>
  <c r="E776" i="1"/>
  <c r="D776" i="1"/>
  <c r="D774" i="1" s="1"/>
  <c r="I775" i="1"/>
  <c r="I773" i="1" s="1"/>
  <c r="H775" i="1"/>
  <c r="H773" i="1" s="1"/>
  <c r="G775" i="1"/>
  <c r="G773" i="1" s="1"/>
  <c r="F775" i="1"/>
  <c r="F773" i="1" s="1"/>
  <c r="E775" i="1"/>
  <c r="E773" i="1" s="1"/>
  <c r="D775" i="1"/>
  <c r="D773" i="1" s="1"/>
  <c r="G774" i="1"/>
  <c r="E774" i="1"/>
  <c r="C772" i="1"/>
  <c r="C771" i="1"/>
  <c r="C770" i="1"/>
  <c r="C769" i="1"/>
  <c r="I768" i="1"/>
  <c r="H768" i="1"/>
  <c r="G768" i="1"/>
  <c r="F768" i="1"/>
  <c r="E768" i="1"/>
  <c r="D768" i="1"/>
  <c r="I767" i="1"/>
  <c r="H767" i="1"/>
  <c r="G767" i="1"/>
  <c r="G757" i="1" s="1"/>
  <c r="F767" i="1"/>
  <c r="E767" i="1"/>
  <c r="D767" i="1"/>
  <c r="C766" i="1"/>
  <c r="C765" i="1"/>
  <c r="C764" i="1"/>
  <c r="C763" i="1"/>
  <c r="C762" i="1"/>
  <c r="C761" i="1"/>
  <c r="I760" i="1"/>
  <c r="H760" i="1"/>
  <c r="H758" i="1" s="1"/>
  <c r="G760" i="1"/>
  <c r="G758" i="1" s="1"/>
  <c r="F760" i="1"/>
  <c r="E760" i="1"/>
  <c r="E758" i="1" s="1"/>
  <c r="D760" i="1"/>
  <c r="I759" i="1"/>
  <c r="H759" i="1"/>
  <c r="G759" i="1"/>
  <c r="F759" i="1"/>
  <c r="E759" i="1"/>
  <c r="E757" i="1" s="1"/>
  <c r="D759" i="1"/>
  <c r="I758" i="1"/>
  <c r="F758" i="1"/>
  <c r="F621" i="1" s="1"/>
  <c r="F535" i="1" s="1"/>
  <c r="F45" i="1" s="1"/>
  <c r="C756" i="1"/>
  <c r="C755" i="1"/>
  <c r="C754" i="1"/>
  <c r="C753" i="1"/>
  <c r="C752" i="1"/>
  <c r="C751" i="1"/>
  <c r="I750" i="1"/>
  <c r="H750" i="1"/>
  <c r="H748" i="1" s="1"/>
  <c r="G750" i="1"/>
  <c r="F750" i="1"/>
  <c r="F748" i="1" s="1"/>
  <c r="E750" i="1"/>
  <c r="D750" i="1"/>
  <c r="D748" i="1" s="1"/>
  <c r="I749" i="1"/>
  <c r="I747" i="1" s="1"/>
  <c r="H749" i="1"/>
  <c r="H747" i="1" s="1"/>
  <c r="G749" i="1"/>
  <c r="G747" i="1" s="1"/>
  <c r="F749" i="1"/>
  <c r="F747" i="1" s="1"/>
  <c r="E749" i="1"/>
  <c r="D749" i="1"/>
  <c r="D747" i="1" s="1"/>
  <c r="I748" i="1"/>
  <c r="G748" i="1"/>
  <c r="E747" i="1"/>
  <c r="C737" i="1"/>
  <c r="C736" i="1"/>
  <c r="I735" i="1"/>
  <c r="H735" i="1"/>
  <c r="H733" i="1" s="1"/>
  <c r="G735" i="1"/>
  <c r="G733" i="1" s="1"/>
  <c r="F735" i="1"/>
  <c r="F733" i="1" s="1"/>
  <c r="E735" i="1"/>
  <c r="E733" i="1" s="1"/>
  <c r="D735" i="1"/>
  <c r="D733" i="1" s="1"/>
  <c r="I734" i="1"/>
  <c r="I732" i="1" s="1"/>
  <c r="H734" i="1"/>
  <c r="H732" i="1" s="1"/>
  <c r="G734" i="1"/>
  <c r="F734" i="1"/>
  <c r="F732" i="1" s="1"/>
  <c r="E734" i="1"/>
  <c r="E732" i="1" s="1"/>
  <c r="D734" i="1"/>
  <c r="D732" i="1" s="1"/>
  <c r="I733" i="1"/>
  <c r="G732" i="1"/>
  <c r="C731" i="1"/>
  <c r="C730" i="1"/>
  <c r="C729" i="1"/>
  <c r="C728" i="1"/>
  <c r="I727" i="1"/>
  <c r="I725" i="1" s="1"/>
  <c r="H727" i="1"/>
  <c r="G727" i="1"/>
  <c r="F727" i="1"/>
  <c r="F725" i="1" s="1"/>
  <c r="E727" i="1"/>
  <c r="E725" i="1" s="1"/>
  <c r="D727" i="1"/>
  <c r="I726" i="1"/>
  <c r="I724" i="1" s="1"/>
  <c r="H726" i="1"/>
  <c r="H724" i="1" s="1"/>
  <c r="G726" i="1"/>
  <c r="G724" i="1" s="1"/>
  <c r="F726" i="1"/>
  <c r="F724" i="1" s="1"/>
  <c r="E726" i="1"/>
  <c r="E724" i="1" s="1"/>
  <c r="D726" i="1"/>
  <c r="D724" i="1" s="1"/>
  <c r="H725" i="1"/>
  <c r="G725" i="1"/>
  <c r="G723" i="1"/>
  <c r="G721" i="1" s="1"/>
  <c r="C714" i="1"/>
  <c r="C713" i="1"/>
  <c r="E712" i="1"/>
  <c r="C712" i="1"/>
  <c r="E711" i="1"/>
  <c r="C711" i="1" s="1"/>
  <c r="E710" i="1"/>
  <c r="C710" i="1" s="1"/>
  <c r="E709" i="1"/>
  <c r="C709" i="1"/>
  <c r="C708" i="1"/>
  <c r="C707" i="1"/>
  <c r="C706" i="1"/>
  <c r="C705" i="1"/>
  <c r="C704" i="1"/>
  <c r="C703" i="1"/>
  <c r="E702" i="1"/>
  <c r="C702" i="1" s="1"/>
  <c r="E701" i="1"/>
  <c r="C701" i="1" s="1"/>
  <c r="E700" i="1"/>
  <c r="C700" i="1"/>
  <c r="E699" i="1"/>
  <c r="C699" i="1" s="1"/>
  <c r="C698" i="1"/>
  <c r="C697" i="1"/>
  <c r="C696" i="1"/>
  <c r="C695" i="1"/>
  <c r="C694" i="1"/>
  <c r="C693" i="1"/>
  <c r="C692" i="1"/>
  <c r="C691" i="1"/>
  <c r="I690" i="1"/>
  <c r="H690" i="1"/>
  <c r="G690" i="1"/>
  <c r="F690" i="1"/>
  <c r="D690" i="1"/>
  <c r="I689" i="1"/>
  <c r="H689" i="1"/>
  <c r="G689" i="1"/>
  <c r="F689" i="1"/>
  <c r="D689" i="1"/>
  <c r="C688" i="1"/>
  <c r="C687" i="1"/>
  <c r="C686" i="1"/>
  <c r="C685" i="1"/>
  <c r="I684" i="1"/>
  <c r="H684" i="1"/>
  <c r="G684" i="1"/>
  <c r="F684" i="1"/>
  <c r="E684" i="1"/>
  <c r="D684" i="1"/>
  <c r="I683" i="1"/>
  <c r="H683" i="1"/>
  <c r="G683" i="1"/>
  <c r="G620" i="1" s="1"/>
  <c r="G534" i="1" s="1"/>
  <c r="G44" i="1" s="1"/>
  <c r="F683" i="1"/>
  <c r="E683" i="1"/>
  <c r="D683" i="1"/>
  <c r="C682" i="1"/>
  <c r="C681" i="1"/>
  <c r="C680" i="1"/>
  <c r="C679" i="1"/>
  <c r="E678" i="1"/>
  <c r="C678" i="1"/>
  <c r="E677" i="1"/>
  <c r="C677" i="1" s="1"/>
  <c r="E676" i="1"/>
  <c r="E675" i="1"/>
  <c r="C675" i="1"/>
  <c r="C674" i="1"/>
  <c r="C673" i="1"/>
  <c r="C672" i="1"/>
  <c r="I671" i="1"/>
  <c r="I659" i="1" s="1"/>
  <c r="I657" i="1" s="1"/>
  <c r="I655" i="1" s="1"/>
  <c r="H671" i="1"/>
  <c r="G671" i="1"/>
  <c r="F671" i="1"/>
  <c r="E671" i="1"/>
  <c r="D671" i="1"/>
  <c r="C670" i="1"/>
  <c r="C669" i="1"/>
  <c r="C668" i="1"/>
  <c r="C667" i="1"/>
  <c r="C666" i="1"/>
  <c r="C665" i="1"/>
  <c r="C664" i="1"/>
  <c r="C663" i="1"/>
  <c r="C662" i="1"/>
  <c r="C661" i="1"/>
  <c r="I660" i="1"/>
  <c r="I658" i="1" s="1"/>
  <c r="I656" i="1" s="1"/>
  <c r="H660" i="1"/>
  <c r="H658" i="1" s="1"/>
  <c r="H656" i="1" s="1"/>
  <c r="G660" i="1"/>
  <c r="F660" i="1"/>
  <c r="D660" i="1"/>
  <c r="H659" i="1"/>
  <c r="H657" i="1" s="1"/>
  <c r="H655" i="1" s="1"/>
  <c r="G659" i="1"/>
  <c r="F659" i="1"/>
  <c r="C654" i="1"/>
  <c r="C653" i="1"/>
  <c r="C652" i="1"/>
  <c r="C651" i="1"/>
  <c r="I650" i="1"/>
  <c r="I613" i="1" s="1"/>
  <c r="I527" i="1" s="1"/>
  <c r="H650" i="1"/>
  <c r="G650" i="1"/>
  <c r="G613" i="1" s="1"/>
  <c r="G527" i="1" s="1"/>
  <c r="F650" i="1"/>
  <c r="F613" i="1" s="1"/>
  <c r="F527" i="1" s="1"/>
  <c r="E650" i="1"/>
  <c r="D650" i="1"/>
  <c r="D613" i="1" s="1"/>
  <c r="I649" i="1"/>
  <c r="H649" i="1"/>
  <c r="G649" i="1"/>
  <c r="F649" i="1"/>
  <c r="F612" i="1" s="1"/>
  <c r="F526" i="1" s="1"/>
  <c r="E649" i="1"/>
  <c r="E612" i="1" s="1"/>
  <c r="E526" i="1" s="1"/>
  <c r="D649" i="1"/>
  <c r="C649" i="1" s="1"/>
  <c r="I648" i="1"/>
  <c r="D648" i="1"/>
  <c r="D646" i="1" s="1"/>
  <c r="D611" i="1" s="1"/>
  <c r="D525" i="1" s="1"/>
  <c r="I647" i="1"/>
  <c r="I645" i="1" s="1"/>
  <c r="D647" i="1"/>
  <c r="I646" i="1"/>
  <c r="H646" i="1"/>
  <c r="H611" i="1" s="1"/>
  <c r="H525" i="1" s="1"/>
  <c r="G646" i="1"/>
  <c r="F646" i="1"/>
  <c r="E646" i="1"/>
  <c r="H645" i="1"/>
  <c r="G645" i="1"/>
  <c r="F645" i="1"/>
  <c r="E645" i="1"/>
  <c r="H613" i="1"/>
  <c r="H527" i="1" s="1"/>
  <c r="E613" i="1"/>
  <c r="E527" i="1" s="1"/>
  <c r="I612" i="1"/>
  <c r="I526" i="1" s="1"/>
  <c r="G612" i="1"/>
  <c r="G526" i="1" s="1"/>
  <c r="C603" i="1"/>
  <c r="C602" i="1"/>
  <c r="C601" i="1"/>
  <c r="C600" i="1"/>
  <c r="C599" i="1"/>
  <c r="C598" i="1"/>
  <c r="I597" i="1"/>
  <c r="I595" i="1" s="1"/>
  <c r="I593" i="1" s="1"/>
  <c r="I591" i="1" s="1"/>
  <c r="I589" i="1" s="1"/>
  <c r="I587" i="1" s="1"/>
  <c r="H597" i="1"/>
  <c r="H595" i="1" s="1"/>
  <c r="G597" i="1"/>
  <c r="G595" i="1" s="1"/>
  <c r="F597" i="1"/>
  <c r="F595" i="1" s="1"/>
  <c r="F593" i="1" s="1"/>
  <c r="F591" i="1" s="1"/>
  <c r="F589" i="1" s="1"/>
  <c r="F587" i="1" s="1"/>
  <c r="E597" i="1"/>
  <c r="E595" i="1" s="1"/>
  <c r="D597" i="1"/>
  <c r="D595" i="1" s="1"/>
  <c r="I596" i="1"/>
  <c r="I594" i="1" s="1"/>
  <c r="I592" i="1" s="1"/>
  <c r="I590" i="1" s="1"/>
  <c r="I588" i="1" s="1"/>
  <c r="I586" i="1" s="1"/>
  <c r="H596" i="1"/>
  <c r="H594" i="1" s="1"/>
  <c r="H592" i="1" s="1"/>
  <c r="H590" i="1" s="1"/>
  <c r="H588" i="1" s="1"/>
  <c r="H586" i="1" s="1"/>
  <c r="G596" i="1"/>
  <c r="G594" i="1" s="1"/>
  <c r="G592" i="1" s="1"/>
  <c r="G590" i="1" s="1"/>
  <c r="G588" i="1" s="1"/>
  <c r="G586" i="1" s="1"/>
  <c r="F596" i="1"/>
  <c r="E596" i="1"/>
  <c r="E594" i="1" s="1"/>
  <c r="E592" i="1" s="1"/>
  <c r="E590" i="1" s="1"/>
  <c r="E588" i="1" s="1"/>
  <c r="E586" i="1" s="1"/>
  <c r="D596" i="1"/>
  <c r="F594" i="1"/>
  <c r="D594" i="1"/>
  <c r="F592" i="1"/>
  <c r="F590" i="1" s="1"/>
  <c r="F588" i="1" s="1"/>
  <c r="F586" i="1" s="1"/>
  <c r="C584" i="1"/>
  <c r="C583" i="1"/>
  <c r="I582" i="1"/>
  <c r="I581" i="1"/>
  <c r="I579" i="1" s="1"/>
  <c r="C581" i="1"/>
  <c r="H580" i="1"/>
  <c r="H578" i="1" s="1"/>
  <c r="H576" i="1" s="1"/>
  <c r="H574" i="1" s="1"/>
  <c r="H572" i="1" s="1"/>
  <c r="G580" i="1"/>
  <c r="G578" i="1" s="1"/>
  <c r="G576" i="1" s="1"/>
  <c r="F580" i="1"/>
  <c r="F578" i="1" s="1"/>
  <c r="F576" i="1" s="1"/>
  <c r="F574" i="1" s="1"/>
  <c r="F572" i="1" s="1"/>
  <c r="E580" i="1"/>
  <c r="D580" i="1"/>
  <c r="D578" i="1" s="1"/>
  <c r="D576" i="1" s="1"/>
  <c r="H579" i="1"/>
  <c r="G579" i="1"/>
  <c r="F579" i="1"/>
  <c r="F577" i="1" s="1"/>
  <c r="F575" i="1" s="1"/>
  <c r="F573" i="1" s="1"/>
  <c r="F571" i="1" s="1"/>
  <c r="E579" i="1"/>
  <c r="E577" i="1" s="1"/>
  <c r="E575" i="1" s="1"/>
  <c r="E573" i="1" s="1"/>
  <c r="E571" i="1" s="1"/>
  <c r="D579" i="1"/>
  <c r="E578" i="1"/>
  <c r="E576" i="1" s="1"/>
  <c r="E574" i="1" s="1"/>
  <c r="E572" i="1" s="1"/>
  <c r="G577" i="1"/>
  <c r="G575" i="1" s="1"/>
  <c r="G573" i="1" s="1"/>
  <c r="G571" i="1" s="1"/>
  <c r="G574" i="1"/>
  <c r="G572" i="1" s="1"/>
  <c r="F568" i="1"/>
  <c r="I557" i="1"/>
  <c r="I75" i="1" s="1"/>
  <c r="G557" i="1"/>
  <c r="G75" i="1" s="1"/>
  <c r="F517" i="1"/>
  <c r="E517" i="1"/>
  <c r="C517" i="1"/>
  <c r="F516" i="1"/>
  <c r="E516" i="1"/>
  <c r="C516" i="1"/>
  <c r="C515" i="1"/>
  <c r="C514" i="1"/>
  <c r="E513" i="1"/>
  <c r="C513" i="1"/>
  <c r="E512" i="1"/>
  <c r="C511" i="1"/>
  <c r="C510" i="1"/>
  <c r="E509" i="1"/>
  <c r="C509" i="1"/>
  <c r="E508" i="1"/>
  <c r="C508" i="1"/>
  <c r="C507" i="1"/>
  <c r="C506" i="1"/>
  <c r="F505" i="1"/>
  <c r="C505" i="1" s="1"/>
  <c r="E505" i="1"/>
  <c r="F504" i="1"/>
  <c r="E504" i="1"/>
  <c r="C504" i="1" s="1"/>
  <c r="F503" i="1"/>
  <c r="F502" i="1"/>
  <c r="C502" i="1"/>
  <c r="F501" i="1"/>
  <c r="C501" i="1" s="1"/>
  <c r="F500" i="1"/>
  <c r="C500" i="1"/>
  <c r="G499" i="1"/>
  <c r="E499" i="1"/>
  <c r="G498" i="1"/>
  <c r="G496" i="1" s="1"/>
  <c r="G494" i="1" s="1"/>
  <c r="G492" i="1" s="1"/>
  <c r="E498" i="1"/>
  <c r="C498" i="1"/>
  <c r="I497" i="1"/>
  <c r="H497" i="1"/>
  <c r="H495" i="1" s="1"/>
  <c r="H493" i="1" s="1"/>
  <c r="E497" i="1"/>
  <c r="E495" i="1" s="1"/>
  <c r="D497" i="1"/>
  <c r="D495" i="1" s="1"/>
  <c r="D491" i="1" s="1"/>
  <c r="I496" i="1"/>
  <c r="I494" i="1" s="1"/>
  <c r="I492" i="1" s="1"/>
  <c r="H496" i="1"/>
  <c r="H494" i="1" s="1"/>
  <c r="H492" i="1" s="1"/>
  <c r="F496" i="1"/>
  <c r="F494" i="1" s="1"/>
  <c r="F490" i="1" s="1"/>
  <c r="D496" i="1"/>
  <c r="D494" i="1" s="1"/>
  <c r="I495" i="1"/>
  <c r="I493" i="1" s="1"/>
  <c r="F492" i="1"/>
  <c r="I491" i="1"/>
  <c r="I483" i="1" s="1"/>
  <c r="I481" i="1" s="1"/>
  <c r="H491" i="1"/>
  <c r="I490" i="1"/>
  <c r="H490" i="1"/>
  <c r="G490" i="1"/>
  <c r="I489" i="1"/>
  <c r="C489" i="1"/>
  <c r="I488" i="1"/>
  <c r="D488" i="1"/>
  <c r="C487" i="1"/>
  <c r="I486" i="1"/>
  <c r="H486" i="1"/>
  <c r="H484" i="1" s="1"/>
  <c r="H2706" i="1" s="1"/>
  <c r="G486" i="1"/>
  <c r="G484" i="1" s="1"/>
  <c r="F486" i="1"/>
  <c r="F484" i="1" s="1"/>
  <c r="E486" i="1"/>
  <c r="E484" i="1" s="1"/>
  <c r="D486" i="1"/>
  <c r="D484" i="1" s="1"/>
  <c r="I485" i="1"/>
  <c r="H485" i="1"/>
  <c r="G485" i="1"/>
  <c r="G2707" i="1" s="1"/>
  <c r="F485" i="1"/>
  <c r="E485" i="1"/>
  <c r="D485" i="1"/>
  <c r="I484" i="1"/>
  <c r="I363" i="1" s="1"/>
  <c r="H482" i="1"/>
  <c r="H480" i="1" s="1"/>
  <c r="F482" i="1"/>
  <c r="F480" i="1" s="1"/>
  <c r="F478" i="1"/>
  <c r="E478" i="1"/>
  <c r="C478" i="1" s="1"/>
  <c r="F477" i="1"/>
  <c r="E477" i="1"/>
  <c r="I476" i="1"/>
  <c r="I474" i="1" s="1"/>
  <c r="I472" i="1" s="1"/>
  <c r="H476" i="1"/>
  <c r="H474" i="1" s="1"/>
  <c r="H472" i="1" s="1"/>
  <c r="H470" i="1" s="1"/>
  <c r="G476" i="1"/>
  <c r="G474" i="1" s="1"/>
  <c r="F476" i="1"/>
  <c r="F474" i="1" s="1"/>
  <c r="F472" i="1" s="1"/>
  <c r="F470" i="1" s="1"/>
  <c r="E476" i="1"/>
  <c r="E474" i="1" s="1"/>
  <c r="E472" i="1" s="1"/>
  <c r="E470" i="1" s="1"/>
  <c r="D476" i="1"/>
  <c r="I475" i="1"/>
  <c r="I473" i="1" s="1"/>
  <c r="I471" i="1" s="1"/>
  <c r="I469" i="1" s="1"/>
  <c r="H475" i="1"/>
  <c r="G475" i="1"/>
  <c r="G473" i="1" s="1"/>
  <c r="E475" i="1"/>
  <c r="D475" i="1"/>
  <c r="H473" i="1"/>
  <c r="E473" i="1"/>
  <c r="D473" i="1"/>
  <c r="D471" i="1" s="1"/>
  <c r="G472" i="1"/>
  <c r="G470" i="1" s="1"/>
  <c r="H471" i="1"/>
  <c r="H469" i="1" s="1"/>
  <c r="H467" i="1" s="1"/>
  <c r="E471" i="1"/>
  <c r="I470" i="1"/>
  <c r="I468" i="1" s="1"/>
  <c r="E469" i="1"/>
  <c r="E467" i="1" s="1"/>
  <c r="D469" i="1"/>
  <c r="D467" i="1"/>
  <c r="C466" i="1"/>
  <c r="C465" i="1"/>
  <c r="I464" i="1"/>
  <c r="H464" i="1"/>
  <c r="G464" i="1"/>
  <c r="F464" i="1"/>
  <c r="E464" i="1"/>
  <c r="E462" i="1" s="1"/>
  <c r="D464" i="1"/>
  <c r="I463" i="1"/>
  <c r="H463" i="1"/>
  <c r="G463" i="1"/>
  <c r="F463" i="1"/>
  <c r="E463" i="1"/>
  <c r="E461" i="1" s="1"/>
  <c r="E459" i="1" s="1"/>
  <c r="E457" i="1" s="1"/>
  <c r="D463" i="1"/>
  <c r="D461" i="1" s="1"/>
  <c r="I462" i="1"/>
  <c r="I460" i="1" s="1"/>
  <c r="H462" i="1"/>
  <c r="H460" i="1" s="1"/>
  <c r="H458" i="1" s="1"/>
  <c r="G462" i="1"/>
  <c r="G460" i="1" s="1"/>
  <c r="G458" i="1" s="1"/>
  <c r="F462" i="1"/>
  <c r="D462" i="1"/>
  <c r="I461" i="1"/>
  <c r="H461" i="1"/>
  <c r="H459" i="1" s="1"/>
  <c r="H457" i="1" s="1"/>
  <c r="F461" i="1"/>
  <c r="F459" i="1" s="1"/>
  <c r="F457" i="1" s="1"/>
  <c r="F447" i="1" s="1"/>
  <c r="F460" i="1"/>
  <c r="F458" i="1" s="1"/>
  <c r="E460" i="1"/>
  <c r="E458" i="1" s="1"/>
  <c r="D460" i="1"/>
  <c r="D459" i="1"/>
  <c r="D457" i="1" s="1"/>
  <c r="I458" i="1"/>
  <c r="I448" i="1" s="1"/>
  <c r="I446" i="1" s="1"/>
  <c r="C456" i="1"/>
  <c r="C455" i="1"/>
  <c r="C454" i="1"/>
  <c r="C453" i="1"/>
  <c r="I452" i="1"/>
  <c r="H452" i="1"/>
  <c r="G452" i="1"/>
  <c r="G450" i="1" s="1"/>
  <c r="F452" i="1"/>
  <c r="E452" i="1"/>
  <c r="D452" i="1"/>
  <c r="D450" i="1" s="1"/>
  <c r="I451" i="1"/>
  <c r="I449" i="1" s="1"/>
  <c r="H451" i="1"/>
  <c r="H449" i="1" s="1"/>
  <c r="H2683" i="1" s="1"/>
  <c r="G451" i="1"/>
  <c r="G449" i="1" s="1"/>
  <c r="F451" i="1"/>
  <c r="E451" i="1"/>
  <c r="D451" i="1"/>
  <c r="D449" i="1" s="1"/>
  <c r="D2683" i="1" s="1"/>
  <c r="I450" i="1"/>
  <c r="I2684" i="1" s="1"/>
  <c r="H450" i="1"/>
  <c r="F450" i="1"/>
  <c r="F449" i="1"/>
  <c r="F2683" i="1" s="1"/>
  <c r="E449" i="1"/>
  <c r="E2683" i="1" s="1"/>
  <c r="H447" i="1"/>
  <c r="H445" i="1"/>
  <c r="F443" i="1"/>
  <c r="E443" i="1"/>
  <c r="F442" i="1"/>
  <c r="E442" i="1"/>
  <c r="C442" i="1"/>
  <c r="F441" i="1"/>
  <c r="F439" i="1" s="1"/>
  <c r="F437" i="1" s="1"/>
  <c r="F440" i="1"/>
  <c r="C440" i="1" s="1"/>
  <c r="I439" i="1"/>
  <c r="I437" i="1" s="1"/>
  <c r="H439" i="1"/>
  <c r="H437" i="1" s="1"/>
  <c r="H435" i="1" s="1"/>
  <c r="H433" i="1" s="1"/>
  <c r="G439" i="1"/>
  <c r="D439" i="1"/>
  <c r="D437" i="1" s="1"/>
  <c r="D435" i="1" s="1"/>
  <c r="I438" i="1"/>
  <c r="H438" i="1"/>
  <c r="G438" i="1"/>
  <c r="F438" i="1"/>
  <c r="E438" i="1"/>
  <c r="D438" i="1"/>
  <c r="D436" i="1" s="1"/>
  <c r="G437" i="1"/>
  <c r="G435" i="1" s="1"/>
  <c r="I436" i="1"/>
  <c r="H436" i="1"/>
  <c r="G436" i="1"/>
  <c r="G434" i="1" s="1"/>
  <c r="G432" i="1" s="1"/>
  <c r="F436" i="1"/>
  <c r="E436" i="1"/>
  <c r="E434" i="1" s="1"/>
  <c r="E432" i="1" s="1"/>
  <c r="C436" i="1"/>
  <c r="I435" i="1"/>
  <c r="I433" i="1" s="1"/>
  <c r="I434" i="1"/>
  <c r="I432" i="1" s="1"/>
  <c r="I430" i="1" s="1"/>
  <c r="I428" i="1" s="1"/>
  <c r="H434" i="1"/>
  <c r="H432" i="1" s="1"/>
  <c r="H430" i="1" s="1"/>
  <c r="H428" i="1" s="1"/>
  <c r="F434" i="1"/>
  <c r="F432" i="1" s="1"/>
  <c r="F430" i="1" s="1"/>
  <c r="F428" i="1" s="1"/>
  <c r="D434" i="1"/>
  <c r="G433" i="1"/>
  <c r="G431" i="1" s="1"/>
  <c r="G429" i="1" s="1"/>
  <c r="D433" i="1"/>
  <c r="D431" i="1" s="1"/>
  <c r="D429" i="1" s="1"/>
  <c r="C426" i="1"/>
  <c r="C425" i="1"/>
  <c r="C424" i="1"/>
  <c r="C423" i="1"/>
  <c r="I422" i="1"/>
  <c r="H422" i="1"/>
  <c r="G422" i="1"/>
  <c r="F422" i="1"/>
  <c r="F410" i="1" s="1"/>
  <c r="F408" i="1" s="1"/>
  <c r="E422" i="1"/>
  <c r="C422" i="1" s="1"/>
  <c r="D422" i="1"/>
  <c r="I421" i="1"/>
  <c r="H421" i="1"/>
  <c r="G421" i="1"/>
  <c r="F421" i="1"/>
  <c r="E421" i="1"/>
  <c r="D421" i="1"/>
  <c r="C420" i="1"/>
  <c r="C419" i="1"/>
  <c r="I418" i="1"/>
  <c r="H418" i="1"/>
  <c r="G418" i="1"/>
  <c r="F418" i="1"/>
  <c r="E418" i="1"/>
  <c r="D418" i="1"/>
  <c r="I417" i="1"/>
  <c r="I409" i="1" s="1"/>
  <c r="I407" i="1" s="1"/>
  <c r="I405" i="1" s="1"/>
  <c r="I403" i="1" s="1"/>
  <c r="I401" i="1" s="1"/>
  <c r="H417" i="1"/>
  <c r="G417" i="1"/>
  <c r="F417" i="1"/>
  <c r="E417" i="1"/>
  <c r="D417" i="1"/>
  <c r="C416" i="1"/>
  <c r="C415" i="1"/>
  <c r="C414" i="1"/>
  <c r="C413" i="1"/>
  <c r="I412" i="1"/>
  <c r="H412" i="1"/>
  <c r="G412" i="1"/>
  <c r="F412" i="1"/>
  <c r="E412" i="1"/>
  <c r="D412" i="1"/>
  <c r="D410" i="1" s="1"/>
  <c r="I411" i="1"/>
  <c r="H411" i="1"/>
  <c r="G411" i="1"/>
  <c r="F411" i="1"/>
  <c r="E411" i="1"/>
  <c r="E409" i="1" s="1"/>
  <c r="D411" i="1"/>
  <c r="G410" i="1"/>
  <c r="G409" i="1"/>
  <c r="D408" i="1"/>
  <c r="D406" i="1" s="1"/>
  <c r="D404" i="1" s="1"/>
  <c r="G407" i="1"/>
  <c r="G405" i="1" s="1"/>
  <c r="G403" i="1" s="1"/>
  <c r="G401" i="1" s="1"/>
  <c r="F406" i="1"/>
  <c r="F404" i="1" s="1"/>
  <c r="F402" i="1" s="1"/>
  <c r="C399" i="1"/>
  <c r="C398" i="1"/>
  <c r="I397" i="1"/>
  <c r="H397" i="1"/>
  <c r="G397" i="1"/>
  <c r="F397" i="1"/>
  <c r="E397" i="1"/>
  <c r="E395" i="1" s="1"/>
  <c r="D397" i="1"/>
  <c r="D395" i="1" s="1"/>
  <c r="I396" i="1"/>
  <c r="I394" i="1" s="1"/>
  <c r="I392" i="1" s="1"/>
  <c r="I384" i="1" s="1"/>
  <c r="I382" i="1" s="1"/>
  <c r="H396" i="1"/>
  <c r="G396" i="1"/>
  <c r="F396" i="1"/>
  <c r="E396" i="1"/>
  <c r="D396" i="1"/>
  <c r="D394" i="1" s="1"/>
  <c r="I395" i="1"/>
  <c r="I393" i="1" s="1"/>
  <c r="F395" i="1"/>
  <c r="G394" i="1"/>
  <c r="G392" i="1" s="1"/>
  <c r="G384" i="1" s="1"/>
  <c r="G382" i="1" s="1"/>
  <c r="F394" i="1"/>
  <c r="F393" i="1"/>
  <c r="F385" i="1" s="1"/>
  <c r="E393" i="1"/>
  <c r="F392" i="1"/>
  <c r="D392" i="1"/>
  <c r="C391" i="1"/>
  <c r="C390" i="1"/>
  <c r="C389" i="1"/>
  <c r="C388" i="1"/>
  <c r="I387" i="1"/>
  <c r="H387" i="1"/>
  <c r="G387" i="1"/>
  <c r="F387" i="1"/>
  <c r="E387" i="1"/>
  <c r="D387" i="1"/>
  <c r="I386" i="1"/>
  <c r="H386" i="1"/>
  <c r="G386" i="1"/>
  <c r="F386" i="1"/>
  <c r="F384" i="1" s="1"/>
  <c r="F382" i="1" s="1"/>
  <c r="E386" i="1"/>
  <c r="D386" i="1"/>
  <c r="F383" i="1"/>
  <c r="I372" i="1"/>
  <c r="I370" i="1" s="1"/>
  <c r="I368" i="1" s="1"/>
  <c r="G366" i="1"/>
  <c r="H365" i="1"/>
  <c r="F365" i="1"/>
  <c r="G364" i="1"/>
  <c r="H363" i="1"/>
  <c r="C356" i="1"/>
  <c r="C355" i="1"/>
  <c r="C354" i="1"/>
  <c r="C353" i="1"/>
  <c r="C352" i="1"/>
  <c r="C351" i="1"/>
  <c r="C350" i="1"/>
  <c r="C349" i="1"/>
  <c r="F348" i="1"/>
  <c r="C348" i="1"/>
  <c r="F347" i="1"/>
  <c r="C347" i="1" s="1"/>
  <c r="C346" i="1"/>
  <c r="C345" i="1"/>
  <c r="I344" i="1"/>
  <c r="H344" i="1"/>
  <c r="G344" i="1"/>
  <c r="F344" i="1"/>
  <c r="E344" i="1"/>
  <c r="E2732" i="1" s="1"/>
  <c r="D344" i="1"/>
  <c r="D2732" i="1" s="1"/>
  <c r="I343" i="1"/>
  <c r="H343" i="1"/>
  <c r="H2731" i="1" s="1"/>
  <c r="G343" i="1"/>
  <c r="F343" i="1"/>
  <c r="F341" i="1" s="1"/>
  <c r="E343" i="1"/>
  <c r="D343" i="1"/>
  <c r="D342" i="1"/>
  <c r="H341" i="1"/>
  <c r="C340" i="1"/>
  <c r="C339" i="1"/>
  <c r="C338" i="1"/>
  <c r="C337" i="1"/>
  <c r="G336" i="1"/>
  <c r="D336" i="1"/>
  <c r="C336" i="1" s="1"/>
  <c r="G335" i="1"/>
  <c r="D335" i="1"/>
  <c r="C335" i="1"/>
  <c r="G334" i="1"/>
  <c r="C334" i="1"/>
  <c r="G333" i="1"/>
  <c r="C333" i="1"/>
  <c r="G332" i="1"/>
  <c r="C332" i="1"/>
  <c r="G331" i="1"/>
  <c r="C331" i="1" s="1"/>
  <c r="G330" i="1"/>
  <c r="C330" i="1"/>
  <c r="G329" i="1"/>
  <c r="C329" i="1"/>
  <c r="C328" i="1"/>
  <c r="C327" i="1"/>
  <c r="F326" i="1"/>
  <c r="D326" i="1"/>
  <c r="C326" i="1"/>
  <c r="F325" i="1"/>
  <c r="C325" i="1" s="1"/>
  <c r="D325" i="1"/>
  <c r="D324" i="1"/>
  <c r="C324" i="1"/>
  <c r="D323" i="1"/>
  <c r="C323" i="1"/>
  <c r="G322" i="1"/>
  <c r="D322" i="1"/>
  <c r="C322" i="1"/>
  <c r="G321" i="1"/>
  <c r="D321" i="1"/>
  <c r="C321" i="1"/>
  <c r="G320" i="1"/>
  <c r="D320" i="1"/>
  <c r="C320" i="1"/>
  <c r="G319" i="1"/>
  <c r="C319" i="1" s="1"/>
  <c r="D319" i="1"/>
  <c r="F318" i="1"/>
  <c r="D318" i="1"/>
  <c r="C318" i="1"/>
  <c r="F317" i="1"/>
  <c r="D317" i="1"/>
  <c r="C317" i="1" s="1"/>
  <c r="E316" i="1"/>
  <c r="D316" i="1"/>
  <c r="C316" i="1"/>
  <c r="E315" i="1"/>
  <c r="C315" i="1" s="1"/>
  <c r="D315" i="1"/>
  <c r="D314" i="1"/>
  <c r="C314" i="1" s="1"/>
  <c r="D313" i="1"/>
  <c r="C313" i="1"/>
  <c r="E312" i="1"/>
  <c r="C312" i="1"/>
  <c r="E311" i="1"/>
  <c r="C311" i="1"/>
  <c r="E310" i="1"/>
  <c r="E272" i="1" s="1"/>
  <c r="E270" i="1" s="1"/>
  <c r="E268" i="1" s="1"/>
  <c r="C310" i="1"/>
  <c r="E309" i="1"/>
  <c r="F308" i="1"/>
  <c r="D308" i="1"/>
  <c r="C308" i="1" s="1"/>
  <c r="F307" i="1"/>
  <c r="D307" i="1"/>
  <c r="C307" i="1" s="1"/>
  <c r="F306" i="1"/>
  <c r="D306" i="1"/>
  <c r="C306" i="1"/>
  <c r="F305" i="1"/>
  <c r="D305" i="1"/>
  <c r="C305" i="1" s="1"/>
  <c r="D304" i="1"/>
  <c r="C304" i="1" s="1"/>
  <c r="D303" i="1"/>
  <c r="C303" i="1"/>
  <c r="F302" i="1"/>
  <c r="C302" i="1"/>
  <c r="F301" i="1"/>
  <c r="C301" i="1"/>
  <c r="F300" i="1"/>
  <c r="C300" i="1"/>
  <c r="F299" i="1"/>
  <c r="C299" i="1"/>
  <c r="D298" i="1"/>
  <c r="C298" i="1"/>
  <c r="D297" i="1"/>
  <c r="C297" i="1" s="1"/>
  <c r="F296" i="1"/>
  <c r="D296" i="1"/>
  <c r="F295" i="1"/>
  <c r="D295" i="1"/>
  <c r="C295" i="1" s="1"/>
  <c r="D294" i="1"/>
  <c r="C294" i="1"/>
  <c r="D293" i="1"/>
  <c r="C293" i="1" s="1"/>
  <c r="D292" i="1"/>
  <c r="C292" i="1"/>
  <c r="D291" i="1"/>
  <c r="C291" i="1" s="1"/>
  <c r="D290" i="1"/>
  <c r="C290" i="1"/>
  <c r="D289" i="1"/>
  <c r="C289" i="1"/>
  <c r="D288" i="1"/>
  <c r="C288" i="1"/>
  <c r="D287" i="1"/>
  <c r="C287" i="1"/>
  <c r="F286" i="1"/>
  <c r="D286" i="1"/>
  <c r="F285" i="1"/>
  <c r="D285" i="1"/>
  <c r="D284" i="1"/>
  <c r="C284" i="1"/>
  <c r="D283" i="1"/>
  <c r="C283" i="1" s="1"/>
  <c r="D282" i="1"/>
  <c r="D281" i="1" s="1"/>
  <c r="C281" i="1" s="1"/>
  <c r="C282" i="1"/>
  <c r="H280" i="1"/>
  <c r="H272" i="1" s="1"/>
  <c r="H270" i="1" s="1"/>
  <c r="H268" i="1" s="1"/>
  <c r="D280" i="1"/>
  <c r="H279" i="1"/>
  <c r="I278" i="1"/>
  <c r="D278" i="1"/>
  <c r="C278" i="1" s="1"/>
  <c r="I277" i="1"/>
  <c r="D277" i="1"/>
  <c r="C277" i="1"/>
  <c r="D276" i="1"/>
  <c r="I274" i="1"/>
  <c r="I272" i="1" s="1"/>
  <c r="I270" i="1" s="1"/>
  <c r="I268" i="1" s="1"/>
  <c r="D274" i="1"/>
  <c r="I273" i="1"/>
  <c r="I271" i="1"/>
  <c r="H271" i="1"/>
  <c r="I269" i="1"/>
  <c r="I267" i="1"/>
  <c r="I266" i="1"/>
  <c r="I262" i="1" s="1"/>
  <c r="D266" i="1"/>
  <c r="I265" i="1"/>
  <c r="D265" i="1"/>
  <c r="C265" i="1" s="1"/>
  <c r="C264" i="1"/>
  <c r="C263" i="1"/>
  <c r="H262" i="1"/>
  <c r="G262" i="1"/>
  <c r="G2730" i="1" s="1"/>
  <c r="F262" i="1"/>
  <c r="F2730" i="1" s="1"/>
  <c r="E262" i="1"/>
  <c r="E2730" i="1" s="1"/>
  <c r="E2728" i="1" s="1"/>
  <c r="D262" i="1"/>
  <c r="I261" i="1"/>
  <c r="H261" i="1"/>
  <c r="G261" i="1"/>
  <c r="G2729" i="1" s="1"/>
  <c r="F261" i="1"/>
  <c r="F2729" i="1" s="1"/>
  <c r="E261" i="1"/>
  <c r="E2729" i="1" s="1"/>
  <c r="D261" i="1"/>
  <c r="D2729" i="1" s="1"/>
  <c r="C261" i="1"/>
  <c r="C259" i="1" s="1"/>
  <c r="F259" i="1"/>
  <c r="E259" i="1"/>
  <c r="F258" i="1"/>
  <c r="F254" i="1" s="1"/>
  <c r="F2709" i="1" s="1"/>
  <c r="D258" i="1"/>
  <c r="F257" i="1"/>
  <c r="F253" i="1" s="1"/>
  <c r="D257" i="1"/>
  <c r="C257" i="1" s="1"/>
  <c r="D256" i="1"/>
  <c r="C256" i="1" s="1"/>
  <c r="D255" i="1"/>
  <c r="D253" i="1" s="1"/>
  <c r="C255" i="1"/>
  <c r="I254" i="1"/>
  <c r="H254" i="1"/>
  <c r="H2709" i="1" s="1"/>
  <c r="G254" i="1"/>
  <c r="E254" i="1"/>
  <c r="E2709" i="1" s="1"/>
  <c r="D254" i="1"/>
  <c r="D2709" i="1" s="1"/>
  <c r="I253" i="1"/>
  <c r="I2708" i="1" s="1"/>
  <c r="H253" i="1"/>
  <c r="G253" i="1"/>
  <c r="E253" i="1"/>
  <c r="F246" i="1"/>
  <c r="F244" i="1" s="1"/>
  <c r="C246" i="1"/>
  <c r="F245" i="1"/>
  <c r="I244" i="1"/>
  <c r="I240" i="1" s="1"/>
  <c r="I2699" i="1" s="1"/>
  <c r="H244" i="1"/>
  <c r="G244" i="1"/>
  <c r="E244" i="1"/>
  <c r="E240" i="1" s="1"/>
  <c r="E2699" i="1" s="1"/>
  <c r="D244" i="1"/>
  <c r="I243" i="1"/>
  <c r="H243" i="1"/>
  <c r="G243" i="1"/>
  <c r="E243" i="1"/>
  <c r="D243" i="1"/>
  <c r="E242" i="1"/>
  <c r="D242" i="1"/>
  <c r="I241" i="1"/>
  <c r="H241" i="1"/>
  <c r="E241" i="1"/>
  <c r="D241" i="1"/>
  <c r="D240" i="1"/>
  <c r="I239" i="1"/>
  <c r="I2698" i="1" s="1"/>
  <c r="H239" i="1"/>
  <c r="H2698" i="1" s="1"/>
  <c r="D239" i="1"/>
  <c r="D2698" i="1" s="1"/>
  <c r="I238" i="1"/>
  <c r="I236" i="1" s="1"/>
  <c r="I2697" i="1" s="1"/>
  <c r="D238" i="1"/>
  <c r="C238" i="1"/>
  <c r="I237" i="1"/>
  <c r="I235" i="1" s="1"/>
  <c r="H237" i="1"/>
  <c r="G237" i="1"/>
  <c r="F237" i="1"/>
  <c r="F235" i="1" s="1"/>
  <c r="H236" i="1"/>
  <c r="H2697" i="1" s="1"/>
  <c r="G236" i="1"/>
  <c r="F236" i="1"/>
  <c r="F2697" i="1" s="1"/>
  <c r="E236" i="1"/>
  <c r="H235" i="1"/>
  <c r="G235" i="1"/>
  <c r="E235" i="1"/>
  <c r="D229" i="1"/>
  <c r="C229" i="1"/>
  <c r="D228" i="1"/>
  <c r="C228" i="1"/>
  <c r="D227" i="1"/>
  <c r="D226" i="1"/>
  <c r="C226" i="1"/>
  <c r="I225" i="1"/>
  <c r="D225" i="1"/>
  <c r="C225" i="1"/>
  <c r="I224" i="1"/>
  <c r="I214" i="1" s="1"/>
  <c r="I212" i="1" s="1"/>
  <c r="D224" i="1"/>
  <c r="C224" i="1"/>
  <c r="D223" i="1"/>
  <c r="C223" i="1"/>
  <c r="D222" i="1"/>
  <c r="C222" i="1" s="1"/>
  <c r="D221" i="1"/>
  <c r="C221" i="1" s="1"/>
  <c r="D220" i="1"/>
  <c r="C220" i="1" s="1"/>
  <c r="D219" i="1"/>
  <c r="C219" i="1"/>
  <c r="D218" i="1"/>
  <c r="C218" i="1"/>
  <c r="D217" i="1"/>
  <c r="C217" i="1"/>
  <c r="D216" i="1"/>
  <c r="I215" i="1"/>
  <c r="I213" i="1" s="1"/>
  <c r="H215" i="1"/>
  <c r="G215" i="1"/>
  <c r="F215" i="1"/>
  <c r="E215" i="1"/>
  <c r="E213" i="1" s="1"/>
  <c r="H214" i="1"/>
  <c r="H212" i="1" s="1"/>
  <c r="G214" i="1"/>
  <c r="G212" i="1" s="1"/>
  <c r="F214" i="1"/>
  <c r="F212" i="1" s="1"/>
  <c r="E214" i="1"/>
  <c r="H213" i="1"/>
  <c r="G213" i="1"/>
  <c r="F213" i="1"/>
  <c r="F2682" i="1" s="1"/>
  <c r="E212" i="1"/>
  <c r="F211" i="1"/>
  <c r="F209" i="1" s="1"/>
  <c r="E211" i="1"/>
  <c r="E209" i="1" s="1"/>
  <c r="I210" i="1"/>
  <c r="I208" i="1"/>
  <c r="E206" i="1"/>
  <c r="C206" i="1" s="1"/>
  <c r="C204" i="1" s="1"/>
  <c r="D206" i="1"/>
  <c r="E205" i="1"/>
  <c r="D205" i="1"/>
  <c r="D203" i="1" s="1"/>
  <c r="C205" i="1"/>
  <c r="C203" i="1" s="1"/>
  <c r="I204" i="1"/>
  <c r="H204" i="1"/>
  <c r="H194" i="1" s="1"/>
  <c r="G204" i="1"/>
  <c r="G194" i="1" s="1"/>
  <c r="F204" i="1"/>
  <c r="E204" i="1"/>
  <c r="D204" i="1"/>
  <c r="I203" i="1"/>
  <c r="H203" i="1"/>
  <c r="H193" i="1" s="1"/>
  <c r="G203" i="1"/>
  <c r="F203" i="1"/>
  <c r="E203" i="1"/>
  <c r="C202" i="1"/>
  <c r="C201" i="1"/>
  <c r="D200" i="1"/>
  <c r="C200" i="1"/>
  <c r="D199" i="1"/>
  <c r="C199" i="1"/>
  <c r="I198" i="1"/>
  <c r="E198" i="1"/>
  <c r="E196" i="1" s="1"/>
  <c r="E194" i="1" s="1"/>
  <c r="D198" i="1"/>
  <c r="D196" i="1" s="1"/>
  <c r="I197" i="1"/>
  <c r="I195" i="1" s="1"/>
  <c r="I193" i="1" s="1"/>
  <c r="E197" i="1"/>
  <c r="C197" i="1" s="1"/>
  <c r="D197" i="1"/>
  <c r="H196" i="1"/>
  <c r="G196" i="1"/>
  <c r="F196" i="1"/>
  <c r="H195" i="1"/>
  <c r="G195" i="1"/>
  <c r="G193" i="1" s="1"/>
  <c r="F195" i="1"/>
  <c r="F193" i="1" s="1"/>
  <c r="E195" i="1"/>
  <c r="D195" i="1"/>
  <c r="D193" i="1" s="1"/>
  <c r="F194" i="1"/>
  <c r="D194" i="1"/>
  <c r="D192" i="1" s="1"/>
  <c r="D190" i="1" s="1"/>
  <c r="I188" i="1"/>
  <c r="I186" i="1" s="1"/>
  <c r="D188" i="1"/>
  <c r="C188" i="1" s="1"/>
  <c r="I187" i="1"/>
  <c r="I185" i="1" s="1"/>
  <c r="D187" i="1"/>
  <c r="D185" i="1" s="1"/>
  <c r="D183" i="1" s="1"/>
  <c r="C187" i="1"/>
  <c r="H186" i="1"/>
  <c r="H184" i="1" s="1"/>
  <c r="G186" i="1"/>
  <c r="F186" i="1"/>
  <c r="E186" i="1"/>
  <c r="D186" i="1"/>
  <c r="H185" i="1"/>
  <c r="H183" i="1" s="1"/>
  <c r="H102" i="1" s="1"/>
  <c r="G185" i="1"/>
  <c r="G183" i="1" s="1"/>
  <c r="F185" i="1"/>
  <c r="F183" i="1" s="1"/>
  <c r="E185" i="1"/>
  <c r="E183" i="1" s="1"/>
  <c r="I184" i="1"/>
  <c r="F184" i="1"/>
  <c r="E184" i="1"/>
  <c r="E103" i="1" s="1"/>
  <c r="D184" i="1"/>
  <c r="I177" i="1"/>
  <c r="I176" i="1"/>
  <c r="C176" i="1"/>
  <c r="D175" i="1"/>
  <c r="C175" i="1"/>
  <c r="D174" i="1"/>
  <c r="D173" i="1"/>
  <c r="C173" i="1"/>
  <c r="D172" i="1"/>
  <c r="C172" i="1"/>
  <c r="D171" i="1"/>
  <c r="C171" i="1"/>
  <c r="D170" i="1"/>
  <c r="C170" i="1" s="1"/>
  <c r="I169" i="1"/>
  <c r="C169" i="1"/>
  <c r="I168" i="1"/>
  <c r="D167" i="1"/>
  <c r="C167" i="1"/>
  <c r="D166" i="1"/>
  <c r="C166" i="1" s="1"/>
  <c r="C165" i="1"/>
  <c r="C164" i="1"/>
  <c r="D163" i="1"/>
  <c r="C163" i="1" s="1"/>
  <c r="D162" i="1"/>
  <c r="C162" i="1"/>
  <c r="D161" i="1"/>
  <c r="C161" i="1" s="1"/>
  <c r="D160" i="1"/>
  <c r="C160" i="1" s="1"/>
  <c r="D159" i="1"/>
  <c r="C159" i="1" s="1"/>
  <c r="D158" i="1"/>
  <c r="C158" i="1" s="1"/>
  <c r="H157" i="1"/>
  <c r="H2621" i="1" s="1"/>
  <c r="H2619" i="1" s="1"/>
  <c r="G157" i="1"/>
  <c r="G2621" i="1" s="1"/>
  <c r="G2619" i="1" s="1"/>
  <c r="F157" i="1"/>
  <c r="F2621" i="1" s="1"/>
  <c r="F2619" i="1" s="1"/>
  <c r="E157" i="1"/>
  <c r="H156" i="1"/>
  <c r="H2620" i="1" s="1"/>
  <c r="H2618" i="1" s="1"/>
  <c r="G156" i="1"/>
  <c r="F156" i="1"/>
  <c r="E156" i="1"/>
  <c r="H155" i="1"/>
  <c r="G155" i="1"/>
  <c r="F155" i="1"/>
  <c r="H154" i="1"/>
  <c r="C153" i="1"/>
  <c r="C152" i="1"/>
  <c r="F151" i="1"/>
  <c r="D151" i="1"/>
  <c r="C151" i="1" s="1"/>
  <c r="F150" i="1"/>
  <c r="F146" i="1" s="1"/>
  <c r="D150" i="1"/>
  <c r="C150" i="1" s="1"/>
  <c r="I149" i="1"/>
  <c r="D149" i="1"/>
  <c r="I148" i="1"/>
  <c r="D148" i="1"/>
  <c r="H147" i="1"/>
  <c r="G147" i="1"/>
  <c r="F147" i="1"/>
  <c r="F145" i="1" s="1"/>
  <c r="F143" i="1" s="1"/>
  <c r="E147" i="1"/>
  <c r="I146" i="1"/>
  <c r="H146" i="1"/>
  <c r="H144" i="1" s="1"/>
  <c r="H142" i="1" s="1"/>
  <c r="G146" i="1"/>
  <c r="E146" i="1"/>
  <c r="E144" i="1" s="1"/>
  <c r="H145" i="1"/>
  <c r="H143" i="1" s="1"/>
  <c r="G145" i="1"/>
  <c r="G143" i="1" s="1"/>
  <c r="E145" i="1"/>
  <c r="E143" i="1"/>
  <c r="E142" i="1"/>
  <c r="C141" i="1"/>
  <c r="C140" i="1"/>
  <c r="I139" i="1"/>
  <c r="H139" i="1"/>
  <c r="H87" i="1" s="1"/>
  <c r="G139" i="1"/>
  <c r="F139" i="1"/>
  <c r="E139" i="1"/>
  <c r="D139" i="1"/>
  <c r="I138" i="1"/>
  <c r="I2614" i="1" s="1"/>
  <c r="H138" i="1"/>
  <c r="G138" i="1"/>
  <c r="F138" i="1"/>
  <c r="E138" i="1"/>
  <c r="D138" i="1"/>
  <c r="D137" i="1"/>
  <c r="C137" i="1" s="1"/>
  <c r="D136" i="1"/>
  <c r="C136" i="1" s="1"/>
  <c r="D135" i="1"/>
  <c r="C135" i="1"/>
  <c r="D134" i="1"/>
  <c r="C134" i="1" s="1"/>
  <c r="D133" i="1"/>
  <c r="C133" i="1"/>
  <c r="D132" i="1"/>
  <c r="C132" i="1" s="1"/>
  <c r="G131" i="1"/>
  <c r="D131" i="1"/>
  <c r="G130" i="1"/>
  <c r="D130" i="1"/>
  <c r="C130" i="1" s="1"/>
  <c r="D129" i="1"/>
  <c r="C129" i="1" s="1"/>
  <c r="D128" i="1"/>
  <c r="C128" i="1"/>
  <c r="D127" i="1"/>
  <c r="C127" i="1"/>
  <c r="D126" i="1"/>
  <c r="D125" i="1"/>
  <c r="C125" i="1" s="1"/>
  <c r="D124" i="1"/>
  <c r="C124" i="1" s="1"/>
  <c r="D123" i="1"/>
  <c r="C123" i="1"/>
  <c r="D122" i="1"/>
  <c r="C122" i="1" s="1"/>
  <c r="D121" i="1"/>
  <c r="C121" i="1" s="1"/>
  <c r="I120" i="1"/>
  <c r="D120" i="1"/>
  <c r="D119" i="1"/>
  <c r="C119" i="1" s="1"/>
  <c r="I118" i="1"/>
  <c r="D118" i="1"/>
  <c r="C118" i="1" s="1"/>
  <c r="I117" i="1"/>
  <c r="H117" i="1"/>
  <c r="F117" i="1"/>
  <c r="F2613" i="1" s="1"/>
  <c r="E117" i="1"/>
  <c r="H116" i="1"/>
  <c r="G116" i="1"/>
  <c r="F116" i="1"/>
  <c r="F2612" i="1" s="1"/>
  <c r="E116" i="1"/>
  <c r="E2612" i="1" s="1"/>
  <c r="D109" i="1"/>
  <c r="D107" i="1"/>
  <c r="D105" i="1" s="1"/>
  <c r="F103" i="1"/>
  <c r="E99" i="1"/>
  <c r="D99" i="1"/>
  <c r="D55" i="1" s="1"/>
  <c r="H98" i="1"/>
  <c r="G97" i="1"/>
  <c r="F97" i="1"/>
  <c r="E93" i="1"/>
  <c r="E91" i="1" s="1"/>
  <c r="E89" i="1" s="1"/>
  <c r="E87" i="1"/>
  <c r="D87" i="1"/>
  <c r="I86" i="1"/>
  <c r="H86" i="1"/>
  <c r="E86" i="1"/>
  <c r="I85" i="1"/>
  <c r="H85" i="1"/>
  <c r="F85" i="1"/>
  <c r="F84" i="1"/>
  <c r="I83" i="1"/>
  <c r="H83" i="1"/>
  <c r="F83" i="1"/>
  <c r="E82" i="1"/>
  <c r="F74" i="1"/>
  <c r="E55" i="1"/>
  <c r="H54" i="1"/>
  <c r="F53" i="1"/>
  <c r="D637" i="1" l="1"/>
  <c r="D553" i="1" s="1"/>
  <c r="D71" i="1" s="1"/>
  <c r="C1314" i="1"/>
  <c r="H192" i="1"/>
  <c r="H190" i="1" s="1"/>
  <c r="H109" i="1"/>
  <c r="H107" i="1" s="1"/>
  <c r="H105" i="1" s="1"/>
  <c r="H2690" i="1"/>
  <c r="H2688" i="1" s="1"/>
  <c r="H468" i="1"/>
  <c r="C2584" i="1"/>
  <c r="D2582" i="1"/>
  <c r="I385" i="1"/>
  <c r="I383" i="1" s="1"/>
  <c r="I366" i="1"/>
  <c r="E1197" i="1"/>
  <c r="E1195" i="1" s="1"/>
  <c r="E1193" i="1" s="1"/>
  <c r="C1581" i="1"/>
  <c r="D1579" i="1"/>
  <c r="D1577" i="1" s="1"/>
  <c r="D1575" i="1" s="1"/>
  <c r="D1573" i="1" s="1"/>
  <c r="C2192" i="1"/>
  <c r="D2190" i="1"/>
  <c r="D2188" i="1" s="1"/>
  <c r="D2186" i="1" s="1"/>
  <c r="F2172" i="1"/>
  <c r="F538" i="1" s="1"/>
  <c r="F48" i="1" s="1"/>
  <c r="F2189" i="1"/>
  <c r="F2187" i="1" s="1"/>
  <c r="F2185" i="1" s="1"/>
  <c r="D2153" i="1"/>
  <c r="D2146" i="1"/>
  <c r="D2144" i="1" s="1"/>
  <c r="D2142" i="1" s="1"/>
  <c r="D2140" i="1" s="1"/>
  <c r="C2291" i="1"/>
  <c r="E2289" i="1"/>
  <c r="E2287" i="1" s="1"/>
  <c r="I2730" i="1"/>
  <c r="I2728" i="1" s="1"/>
  <c r="I260" i="1"/>
  <c r="H361" i="1"/>
  <c r="D493" i="1"/>
  <c r="E2153" i="1"/>
  <c r="E2151" i="1" s="1"/>
  <c r="E2149" i="1" s="1"/>
  <c r="E2146" i="1"/>
  <c r="E2144" i="1" s="1"/>
  <c r="E2142" i="1" s="1"/>
  <c r="E2140" i="1" s="1"/>
  <c r="F181" i="1"/>
  <c r="F179" i="1" s="1"/>
  <c r="F102" i="1"/>
  <c r="D385" i="1"/>
  <c r="D383" i="1" s="1"/>
  <c r="D366" i="1"/>
  <c r="D362" i="1" s="1"/>
  <c r="H2696" i="1"/>
  <c r="H233" i="1"/>
  <c r="H231" i="1" s="1"/>
  <c r="H82" i="1"/>
  <c r="I1362" i="1"/>
  <c r="I1360" i="1" s="1"/>
  <c r="I1352" i="1" s="1"/>
  <c r="I1350" i="1" s="1"/>
  <c r="H1753" i="1"/>
  <c r="H723" i="1"/>
  <c r="H721" i="1" s="1"/>
  <c r="F32" i="1"/>
  <c r="I92" i="1"/>
  <c r="I90" i="1" s="1"/>
  <c r="I88" i="1" s="1"/>
  <c r="I144" i="1"/>
  <c r="I142" i="1" s="1"/>
  <c r="H2684" i="1"/>
  <c r="H448" i="1"/>
  <c r="F1421" i="1"/>
  <c r="F1419" i="1" s="1"/>
  <c r="F1417" i="1" s="1"/>
  <c r="H33" i="1"/>
  <c r="I2710" i="1"/>
  <c r="H2613" i="1"/>
  <c r="H115" i="1"/>
  <c r="H113" i="1" s="1"/>
  <c r="D492" i="1"/>
  <c r="D490" i="1"/>
  <c r="D371" i="1"/>
  <c r="D369" i="1" s="1"/>
  <c r="D367" i="1" s="1"/>
  <c r="F1186" i="1"/>
  <c r="E365" i="1"/>
  <c r="E34" i="1" s="1"/>
  <c r="G408" i="1"/>
  <c r="G406" i="1" s="1"/>
  <c r="G404" i="1" s="1"/>
  <c r="G402" i="1" s="1"/>
  <c r="G380" i="1"/>
  <c r="G378" i="1" s="1"/>
  <c r="G376" i="1" s="1"/>
  <c r="G374" i="1" s="1"/>
  <c r="G2270" i="1"/>
  <c r="G2268" i="1" s="1"/>
  <c r="G2266" i="1" s="1"/>
  <c r="G2264" i="1" s="1"/>
  <c r="G2262" i="1" s="1"/>
  <c r="D236" i="1"/>
  <c r="D237" i="1"/>
  <c r="C237" i="1" s="1"/>
  <c r="C683" i="1"/>
  <c r="H1386" i="1"/>
  <c r="H1362" i="1" s="1"/>
  <c r="H1360" i="1" s="1"/>
  <c r="H1352" i="1" s="1"/>
  <c r="D2435" i="1"/>
  <c r="C2437" i="1"/>
  <c r="C2551" i="1"/>
  <c r="I2709" i="1"/>
  <c r="H644" i="1"/>
  <c r="H642" i="1" s="1"/>
  <c r="F1363" i="1"/>
  <c r="F1361" i="1" s="1"/>
  <c r="F1353" i="1" s="1"/>
  <c r="C1409" i="1"/>
  <c r="E1407" i="1"/>
  <c r="C1407" i="1" s="1"/>
  <c r="D2253" i="1"/>
  <c r="D2172" i="1" s="1"/>
  <c r="C2255" i="1"/>
  <c r="D275" i="1"/>
  <c r="C275" i="1" s="1"/>
  <c r="C276" i="1"/>
  <c r="C647" i="1"/>
  <c r="D645" i="1"/>
  <c r="D643" i="1" s="1"/>
  <c r="F637" i="1"/>
  <c r="F553" i="1" s="1"/>
  <c r="F71" i="1" s="1"/>
  <c r="C1649" i="1"/>
  <c r="E1611" i="1"/>
  <c r="E1609" i="1" s="1"/>
  <c r="C1728" i="1"/>
  <c r="I1724" i="1"/>
  <c r="I1608" i="1" s="1"/>
  <c r="I1606" i="1" s="1"/>
  <c r="I1604" i="1" s="1"/>
  <c r="I1602" i="1" s="1"/>
  <c r="I1600" i="1" s="1"/>
  <c r="F191" i="1"/>
  <c r="F189" i="1" s="1"/>
  <c r="F108" i="1"/>
  <c r="F106" i="1" s="1"/>
  <c r="F104" i="1" s="1"/>
  <c r="G2668" i="1"/>
  <c r="G611" i="1"/>
  <c r="C1330" i="1"/>
  <c r="D1328" i="1"/>
  <c r="D639" i="1" s="1"/>
  <c r="I1609" i="1"/>
  <c r="I1607" i="1" s="1"/>
  <c r="I1605" i="1" s="1"/>
  <c r="I1603" i="1" s="1"/>
  <c r="I1601" i="1" s="1"/>
  <c r="C2231" i="1"/>
  <c r="G2428" i="1"/>
  <c r="G191" i="1"/>
  <c r="G189" i="1" s="1"/>
  <c r="G181" i="1" s="1"/>
  <c r="G179" i="1" s="1"/>
  <c r="G108" i="1"/>
  <c r="G106" i="1" s="1"/>
  <c r="G104" i="1" s="1"/>
  <c r="C441" i="1"/>
  <c r="H2707" i="1"/>
  <c r="H364" i="1"/>
  <c r="H483" i="1"/>
  <c r="H481" i="1" s="1"/>
  <c r="D1591" i="1"/>
  <c r="D1589" i="1" s="1"/>
  <c r="D1587" i="1" s="1"/>
  <c r="C2371" i="1"/>
  <c r="C1595" i="1"/>
  <c r="E1593" i="1"/>
  <c r="E1591" i="1" s="1"/>
  <c r="E1589" i="1" s="1"/>
  <c r="E1587" i="1" s="1"/>
  <c r="E1585" i="1" s="1"/>
  <c r="F2732" i="1"/>
  <c r="F342" i="1"/>
  <c r="F99" i="1"/>
  <c r="H371" i="1"/>
  <c r="H369" i="1" s="1"/>
  <c r="H367" i="1" s="1"/>
  <c r="H394" i="1"/>
  <c r="H392" i="1" s="1"/>
  <c r="H2616" i="1" s="1"/>
  <c r="H1217" i="1"/>
  <c r="H1215" i="1" s="1"/>
  <c r="H1213" i="1" s="1"/>
  <c r="E2667" i="1"/>
  <c r="C2667" i="1" s="1"/>
  <c r="E610" i="1"/>
  <c r="E524" i="1" s="1"/>
  <c r="F638" i="1"/>
  <c r="F2061" i="1"/>
  <c r="F2059" i="1" s="1"/>
  <c r="F2053" i="1" s="1"/>
  <c r="F2051" i="1" s="1"/>
  <c r="D191" i="1"/>
  <c r="D189" i="1" s="1"/>
  <c r="D108" i="1"/>
  <c r="D106" i="1" s="1"/>
  <c r="D104" i="1" s="1"/>
  <c r="E2707" i="1"/>
  <c r="C2707" i="1" s="1"/>
  <c r="E364" i="1"/>
  <c r="C364" i="1" s="1"/>
  <c r="C1727" i="1"/>
  <c r="I1725" i="1"/>
  <c r="C1725" i="1" s="1"/>
  <c r="E410" i="1"/>
  <c r="E408" i="1" s="1"/>
  <c r="E406" i="1" s="1"/>
  <c r="E404" i="1" s="1"/>
  <c r="E402" i="1" s="1"/>
  <c r="I2615" i="1"/>
  <c r="I87" i="1"/>
  <c r="I35" i="1" s="1"/>
  <c r="G102" i="1"/>
  <c r="E2681" i="1"/>
  <c r="E210" i="1"/>
  <c r="E208" i="1" s="1"/>
  <c r="G241" i="1"/>
  <c r="G239" i="1"/>
  <c r="D2289" i="1"/>
  <c r="D2287" i="1" s="1"/>
  <c r="C759" i="1"/>
  <c r="D757" i="1"/>
  <c r="E1834" i="1"/>
  <c r="E1832" i="1" s="1"/>
  <c r="E1830" i="1" s="1"/>
  <c r="E1828" i="1" s="1"/>
  <c r="E1826" i="1" s="1"/>
  <c r="I108" i="1"/>
  <c r="I106" i="1" s="1"/>
  <c r="I104" i="1" s="1"/>
  <c r="I191" i="1"/>
  <c r="I189" i="1" s="1"/>
  <c r="G2682" i="1"/>
  <c r="G211" i="1"/>
  <c r="G209" i="1" s="1"/>
  <c r="C397" i="1"/>
  <c r="G395" i="1"/>
  <c r="G393" i="1" s="1"/>
  <c r="C503" i="1"/>
  <c r="F497" i="1"/>
  <c r="F495" i="1" s="1"/>
  <c r="E620" i="1"/>
  <c r="E534" i="1" s="1"/>
  <c r="E44" i="1" s="1"/>
  <c r="F894" i="1"/>
  <c r="F892" i="1" s="1"/>
  <c r="H2682" i="1"/>
  <c r="H211" i="1"/>
  <c r="H209" i="1" s="1"/>
  <c r="I2729" i="1"/>
  <c r="I259" i="1"/>
  <c r="H372" i="1"/>
  <c r="H370" i="1" s="1"/>
  <c r="H368" i="1" s="1"/>
  <c r="H395" i="1"/>
  <c r="H393" i="1" s="1"/>
  <c r="C393" i="1" s="1"/>
  <c r="D447" i="1"/>
  <c r="D445" i="1" s="1"/>
  <c r="C1323" i="1"/>
  <c r="G1754" i="1"/>
  <c r="I2706" i="1"/>
  <c r="I2704" i="1" s="1"/>
  <c r="I2702" i="1" s="1"/>
  <c r="I482" i="1"/>
  <c r="I480" i="1" s="1"/>
  <c r="G2564" i="1"/>
  <c r="G2562" i="1" s="1"/>
  <c r="G2560" i="1" s="1"/>
  <c r="G2181" i="1"/>
  <c r="G2179" i="1" s="1"/>
  <c r="G2177" i="1" s="1"/>
  <c r="G2175" i="1" s="1"/>
  <c r="F2731" i="1"/>
  <c r="F2727" i="1" s="1"/>
  <c r="F98" i="1"/>
  <c r="F54" i="1" s="1"/>
  <c r="D2707" i="1"/>
  <c r="D364" i="1"/>
  <c r="D483" i="1"/>
  <c r="D481" i="1" s="1"/>
  <c r="D1217" i="1"/>
  <c r="C195" i="1"/>
  <c r="E193" i="1"/>
  <c r="H2732" i="1"/>
  <c r="H99" i="1"/>
  <c r="H55" i="1" s="1"/>
  <c r="D393" i="1"/>
  <c r="C177" i="1"/>
  <c r="I157" i="1"/>
  <c r="D103" i="1"/>
  <c r="D101" i="1" s="1"/>
  <c r="D182" i="1"/>
  <c r="D180" i="1" s="1"/>
  <c r="C1797" i="1"/>
  <c r="H1834" i="1"/>
  <c r="H1832" i="1" s="1"/>
  <c r="H1830" i="1" s="1"/>
  <c r="H1828" i="1" s="1"/>
  <c r="H1826" i="1" s="1"/>
  <c r="F192" i="1"/>
  <c r="F190" i="1" s="1"/>
  <c r="F182" i="1" s="1"/>
  <c r="F180" i="1" s="1"/>
  <c r="F109" i="1"/>
  <c r="F107" i="1" s="1"/>
  <c r="F105" i="1" s="1"/>
  <c r="F101" i="1" s="1"/>
  <c r="D2180" i="1"/>
  <c r="D2178" i="1" s="1"/>
  <c r="D2176" i="1" s="1"/>
  <c r="D2174" i="1" s="1"/>
  <c r="D2563" i="1"/>
  <c r="D2561" i="1" s="1"/>
  <c r="D2559" i="1" s="1"/>
  <c r="E1774" i="1"/>
  <c r="E1772" i="1" s="1"/>
  <c r="E1770" i="1" s="1"/>
  <c r="E1768" i="1" s="1"/>
  <c r="E1754" i="1" s="1"/>
  <c r="E2656" i="1"/>
  <c r="E102" i="1"/>
  <c r="D2145" i="1"/>
  <c r="D2143" i="1" s="1"/>
  <c r="D2141" i="1" s="1"/>
  <c r="D2152" i="1"/>
  <c r="D2150" i="1" s="1"/>
  <c r="D2148" i="1" s="1"/>
  <c r="C309" i="1"/>
  <c r="E271" i="1"/>
  <c r="C387" i="1"/>
  <c r="E385" i="1"/>
  <c r="E383" i="1" s="1"/>
  <c r="F897" i="1"/>
  <c r="F2145" i="1"/>
  <c r="F2143" i="1" s="1"/>
  <c r="F2141" i="1" s="1"/>
  <c r="F2139" i="1" s="1"/>
  <c r="F2152" i="1"/>
  <c r="F2150" i="1" s="1"/>
  <c r="F2148" i="1" s="1"/>
  <c r="F871" i="1"/>
  <c r="F2657" i="1" s="1"/>
  <c r="G897" i="1"/>
  <c r="G895" i="1" s="1"/>
  <c r="G893" i="1" s="1"/>
  <c r="C1089" i="1"/>
  <c r="I1218" i="1"/>
  <c r="I1216" i="1" s="1"/>
  <c r="I1214" i="1" s="1"/>
  <c r="C1408" i="1"/>
  <c r="E1406" i="1"/>
  <c r="I1488" i="1"/>
  <c r="I1486" i="1" s="1"/>
  <c r="I1484" i="1" s="1"/>
  <c r="I1482" i="1" s="1"/>
  <c r="I1480" i="1" s="1"/>
  <c r="E2021" i="1"/>
  <c r="E2019" i="1" s="1"/>
  <c r="E2017" i="1" s="1"/>
  <c r="E2015" i="1" s="1"/>
  <c r="I2681" i="1"/>
  <c r="I2679" i="1" s="1"/>
  <c r="G385" i="1"/>
  <c r="G383" i="1" s="1"/>
  <c r="G871" i="1"/>
  <c r="C1775" i="1"/>
  <c r="D1773" i="1"/>
  <c r="D1771" i="1" s="1"/>
  <c r="D1769" i="1" s="1"/>
  <c r="D1767" i="1" s="1"/>
  <c r="C2574" i="1"/>
  <c r="E2731" i="1"/>
  <c r="E2727" i="1" s="1"/>
  <c r="E98" i="1"/>
  <c r="E54" i="1" s="1"/>
  <c r="E341" i="1"/>
  <c r="H871" i="1"/>
  <c r="H627" i="1" s="1"/>
  <c r="E1147" i="1"/>
  <c r="C1147" i="1" s="1"/>
  <c r="C2056" i="1"/>
  <c r="G1464" i="1"/>
  <c r="G638" i="1"/>
  <c r="G1422" i="1"/>
  <c r="G1420" i="1" s="1"/>
  <c r="G1418" i="1" s="1"/>
  <c r="G1416" i="1" s="1"/>
  <c r="G1350" i="1" s="1"/>
  <c r="C1449" i="1"/>
  <c r="D1447" i="1"/>
  <c r="F1774" i="1"/>
  <c r="F1772" i="1" s="1"/>
  <c r="F1770" i="1" s="1"/>
  <c r="F1768" i="1" s="1"/>
  <c r="H2729" i="1"/>
  <c r="H2727" i="1" s="1"/>
  <c r="H259" i="1"/>
  <c r="G2732" i="1"/>
  <c r="G2728" i="1" s="1"/>
  <c r="G342" i="1"/>
  <c r="I431" i="1"/>
  <c r="I429" i="1" s="1"/>
  <c r="G637" i="1"/>
  <c r="G553" i="1" s="1"/>
  <c r="G71" i="1" s="1"/>
  <c r="D2064" i="1"/>
  <c r="C2064" i="1" s="1"/>
  <c r="C2725" i="1"/>
  <c r="D2723" i="1"/>
  <c r="D2721" i="1" s="1"/>
  <c r="E114" i="1"/>
  <c r="C149" i="1"/>
  <c r="I147" i="1"/>
  <c r="I2732" i="1"/>
  <c r="C2732" i="1" s="1"/>
  <c r="I342" i="1"/>
  <c r="I99" i="1"/>
  <c r="C877" i="1"/>
  <c r="I1217" i="1"/>
  <c r="I634" i="1" s="1"/>
  <c r="C1425" i="1"/>
  <c r="D1423" i="1"/>
  <c r="G1421" i="1"/>
  <c r="G1419" i="1" s="1"/>
  <c r="G1417" i="1" s="1"/>
  <c r="G1351" i="1" s="1"/>
  <c r="F1834" i="1"/>
  <c r="F1832" i="1" s="1"/>
  <c r="F1830" i="1" s="1"/>
  <c r="F1828" i="1" s="1"/>
  <c r="F1826" i="1" s="1"/>
  <c r="C1995" i="1"/>
  <c r="F2227" i="1"/>
  <c r="F2225" i="1" s="1"/>
  <c r="F2223" i="1" s="1"/>
  <c r="F2171" i="1"/>
  <c r="F2169" i="1" s="1"/>
  <c r="E2370" i="1"/>
  <c r="E2183" i="1" s="1"/>
  <c r="E557" i="1" s="1"/>
  <c r="E75" i="1" s="1"/>
  <c r="G53" i="1"/>
  <c r="G2696" i="1"/>
  <c r="G82" i="1"/>
  <c r="G240" i="1"/>
  <c r="G242" i="1"/>
  <c r="F371" i="1"/>
  <c r="F369" i="1" s="1"/>
  <c r="F367" i="1" s="1"/>
  <c r="C831" i="1"/>
  <c r="C1220" i="1"/>
  <c r="C1291" i="1"/>
  <c r="C1438" i="1"/>
  <c r="C2535" i="1"/>
  <c r="E2549" i="1"/>
  <c r="E2431" i="1" s="1"/>
  <c r="E2429" i="1" s="1"/>
  <c r="G99" i="1"/>
  <c r="G55" i="1" s="1"/>
  <c r="F240" i="1"/>
  <c r="F242" i="1"/>
  <c r="G657" i="1"/>
  <c r="G655" i="1" s="1"/>
  <c r="C747" i="1"/>
  <c r="F774" i="1"/>
  <c r="F623" i="1" s="1"/>
  <c r="C776" i="1"/>
  <c r="C1614" i="1"/>
  <c r="D1610" i="1"/>
  <c r="C1724" i="1"/>
  <c r="E2290" i="1"/>
  <c r="E2288" i="1" s="1"/>
  <c r="H2054" i="1"/>
  <c r="H2052" i="1" s="1"/>
  <c r="G2435" i="1"/>
  <c r="G2170" i="1" s="1"/>
  <c r="G2168" i="1" s="1"/>
  <c r="G2166" i="1" s="1"/>
  <c r="G2164" i="1" s="1"/>
  <c r="C411" i="1"/>
  <c r="D409" i="1"/>
  <c r="C409" i="1" s="1"/>
  <c r="H623" i="1"/>
  <c r="G621" i="1"/>
  <c r="G535" i="1" s="1"/>
  <c r="G45" i="1" s="1"/>
  <c r="C939" i="1"/>
  <c r="I1386" i="1"/>
  <c r="E1577" i="1"/>
  <c r="E1575" i="1" s="1"/>
  <c r="E1573" i="1" s="1"/>
  <c r="E1571" i="1" s="1"/>
  <c r="H1609" i="1"/>
  <c r="H1607" i="1" s="1"/>
  <c r="H1605" i="1" s="1"/>
  <c r="H1603" i="1" s="1"/>
  <c r="H1601" i="1" s="1"/>
  <c r="E2697" i="1"/>
  <c r="E83" i="1"/>
  <c r="E234" i="1"/>
  <c r="E232" i="1" s="1"/>
  <c r="F243" i="1"/>
  <c r="C245" i="1"/>
  <c r="H1157" i="1"/>
  <c r="D1486" i="1"/>
  <c r="D1484" i="1" s="1"/>
  <c r="C2373" i="1"/>
  <c r="I2371" i="1"/>
  <c r="I2369" i="1" s="1"/>
  <c r="I2182" i="1" s="1"/>
  <c r="I556" i="1" s="1"/>
  <c r="I74" i="1" s="1"/>
  <c r="F409" i="1"/>
  <c r="F407" i="1" s="1"/>
  <c r="F405" i="1" s="1"/>
  <c r="F403" i="1" s="1"/>
  <c r="F401" i="1" s="1"/>
  <c r="F657" i="1"/>
  <c r="F655" i="1" s="1"/>
  <c r="F643" i="1" s="1"/>
  <c r="F641" i="1" s="1"/>
  <c r="H1218" i="1"/>
  <c r="H1216" i="1" s="1"/>
  <c r="H1214" i="1" s="1"/>
  <c r="H1212" i="1" s="1"/>
  <c r="C2334" i="1"/>
  <c r="C2504" i="1"/>
  <c r="F2615" i="1"/>
  <c r="F87" i="1"/>
  <c r="C286" i="1"/>
  <c r="H409" i="1"/>
  <c r="C438" i="1"/>
  <c r="G643" i="1"/>
  <c r="G641" i="1" s="1"/>
  <c r="C1379" i="1"/>
  <c r="E1610" i="1"/>
  <c r="E1608" i="1" s="1"/>
  <c r="D1686" i="1"/>
  <c r="C1686" i="1" s="1"/>
  <c r="C676" i="1"/>
  <c r="E660" i="1"/>
  <c r="C660" i="1" s="1"/>
  <c r="F272" i="1"/>
  <c r="F270" i="1" s="1"/>
  <c r="F268" i="1" s="1"/>
  <c r="H610" i="1"/>
  <c r="D1097" i="1"/>
  <c r="C1097" i="1" s="1"/>
  <c r="D1095" i="1"/>
  <c r="D1093" i="1"/>
  <c r="D1101" i="1"/>
  <c r="C1101" i="1" s="1"/>
  <c r="H1195" i="1"/>
  <c r="H1193" i="1" s="1"/>
  <c r="H31" i="1"/>
  <c r="G271" i="1"/>
  <c r="G269" i="1" s="1"/>
  <c r="G267" i="1" s="1"/>
  <c r="C476" i="1"/>
  <c r="D474" i="1"/>
  <c r="D725" i="1"/>
  <c r="D723" i="1" s="1"/>
  <c r="C727" i="1"/>
  <c r="I623" i="1"/>
  <c r="G1608" i="1"/>
  <c r="G1606" i="1" s="1"/>
  <c r="G1604" i="1" s="1"/>
  <c r="G1602" i="1" s="1"/>
  <c r="G1600" i="1" s="1"/>
  <c r="F2270" i="1"/>
  <c r="C2042" i="1"/>
  <c r="C2344" i="1"/>
  <c r="G1774" i="1"/>
  <c r="G1772" i="1" s="1"/>
  <c r="G1770" i="1" s="1"/>
  <c r="G1768" i="1" s="1"/>
  <c r="I2172" i="1"/>
  <c r="I538" i="1" s="1"/>
  <c r="I48" i="1" s="1"/>
  <c r="F2614" i="1"/>
  <c r="F86" i="1"/>
  <c r="F34" i="1" s="1"/>
  <c r="D2730" i="1"/>
  <c r="D260" i="1"/>
  <c r="H757" i="1"/>
  <c r="H620" i="1" s="1"/>
  <c r="H534" i="1" s="1"/>
  <c r="H44" i="1" s="1"/>
  <c r="I1196" i="1"/>
  <c r="I1194" i="1" s="1"/>
  <c r="C1208" i="1"/>
  <c r="D1292" i="1"/>
  <c r="C1292" i="1" s="1"/>
  <c r="F1328" i="1"/>
  <c r="F1216" i="1" s="1"/>
  <c r="F1214" i="1" s="1"/>
  <c r="F1212" i="1" s="1"/>
  <c r="C2230" i="1"/>
  <c r="C2530" i="1"/>
  <c r="G2614" i="1"/>
  <c r="G86" i="1"/>
  <c r="C386" i="1"/>
  <c r="D365" i="1"/>
  <c r="D384" i="1"/>
  <c r="D382" i="1" s="1"/>
  <c r="G623" i="1"/>
  <c r="I757" i="1"/>
  <c r="I745" i="1" s="1"/>
  <c r="I743" i="1" s="1"/>
  <c r="G1328" i="1"/>
  <c r="G639" i="1" s="1"/>
  <c r="I1797" i="1"/>
  <c r="I1773" i="1" s="1"/>
  <c r="I1771" i="1" s="1"/>
  <c r="I1769" i="1" s="1"/>
  <c r="I1767" i="1" s="1"/>
  <c r="I1753" i="1" s="1"/>
  <c r="I2023" i="1"/>
  <c r="C2023" i="1" s="1"/>
  <c r="C2067" i="1"/>
  <c r="D2065" i="1"/>
  <c r="D2063" i="1" s="1"/>
  <c r="C1109" i="1"/>
  <c r="C2234" i="1"/>
  <c r="G2172" i="1"/>
  <c r="H2245" i="1"/>
  <c r="H2243" i="1" s="1"/>
  <c r="H2241" i="1" s="1"/>
  <c r="F2289" i="1"/>
  <c r="F2287" i="1" s="1"/>
  <c r="F2285" i="1" s="1"/>
  <c r="F2283" i="1" s="1"/>
  <c r="F2281" i="1" s="1"/>
  <c r="F2708" i="1"/>
  <c r="F2620" i="1"/>
  <c r="F2618" i="1" s="1"/>
  <c r="F154" i="1"/>
  <c r="I637" i="1"/>
  <c r="I553" i="1" s="1"/>
  <c r="I71" i="1" s="1"/>
  <c r="G2620" i="1"/>
  <c r="G2618" i="1" s="1"/>
  <c r="G96" i="1"/>
  <c r="G154" i="1"/>
  <c r="E2682" i="1"/>
  <c r="D2684" i="1"/>
  <c r="C450" i="1"/>
  <c r="F2706" i="1"/>
  <c r="F363" i="1"/>
  <c r="F361" i="1" s="1"/>
  <c r="D1313" i="1"/>
  <c r="D636" i="1" s="1"/>
  <c r="D552" i="1" s="1"/>
  <c r="D70" i="1" s="1"/>
  <c r="F1608" i="1"/>
  <c r="I2065" i="1"/>
  <c r="I2063" i="1" s="1"/>
  <c r="I2061" i="1" s="1"/>
  <c r="I2059" i="1" s="1"/>
  <c r="I2053" i="1" s="1"/>
  <c r="I2051" i="1" s="1"/>
  <c r="D2173" i="1"/>
  <c r="C2366" i="1"/>
  <c r="C2507" i="1"/>
  <c r="F2565" i="1"/>
  <c r="C464" i="1"/>
  <c r="C671" i="1"/>
  <c r="D659" i="1"/>
  <c r="D657" i="1" s="1"/>
  <c r="G870" i="1"/>
  <c r="G626" i="1" s="1"/>
  <c r="I896" i="1"/>
  <c r="I894" i="1" s="1"/>
  <c r="I892" i="1" s="1"/>
  <c r="D1206" i="1"/>
  <c r="D1196" i="1" s="1"/>
  <c r="D1194" i="1" s="1"/>
  <c r="D1186" i="1" s="1"/>
  <c r="E1773" i="1"/>
  <c r="E1771" i="1" s="1"/>
  <c r="E1769" i="1" s="1"/>
  <c r="E1767" i="1" s="1"/>
  <c r="G2226" i="1"/>
  <c r="G2224" i="1" s="1"/>
  <c r="G2222" i="1" s="1"/>
  <c r="I410" i="1"/>
  <c r="I2707" i="1"/>
  <c r="I364" i="1"/>
  <c r="I362" i="1" s="1"/>
  <c r="C648" i="1"/>
  <c r="E2620" i="1"/>
  <c r="E2618" i="1" s="1"/>
  <c r="E154" i="1"/>
  <c r="H269" i="1"/>
  <c r="H267" i="1" s="1"/>
  <c r="H92" i="1"/>
  <c r="D2706" i="1"/>
  <c r="D363" i="1"/>
  <c r="D361" i="1" s="1"/>
  <c r="C1656" i="1"/>
  <c r="E96" i="1"/>
  <c r="D273" i="1"/>
  <c r="C273" i="1" s="1"/>
  <c r="C274" i="1"/>
  <c r="H880" i="1"/>
  <c r="H2658" i="1" s="1"/>
  <c r="E636" i="1"/>
  <c r="E552" i="1" s="1"/>
  <c r="E70" i="1" s="1"/>
  <c r="E2173" i="1"/>
  <c r="E539" i="1" s="1"/>
  <c r="E49" i="1" s="1"/>
  <c r="I2404" i="1"/>
  <c r="I2402" i="1" s="1"/>
  <c r="I2400" i="1" s="1"/>
  <c r="I2398" i="1" s="1"/>
  <c r="I2396" i="1" s="1"/>
  <c r="F96" i="1"/>
  <c r="G2612" i="1"/>
  <c r="I242" i="1"/>
  <c r="I252" i="1"/>
  <c r="I880" i="1"/>
  <c r="I2658" i="1" s="1"/>
  <c r="C1383" i="1"/>
  <c r="D2021" i="1"/>
  <c r="D2019" i="1" s="1"/>
  <c r="D2017" i="1" s="1"/>
  <c r="D2015" i="1" s="1"/>
  <c r="C2047" i="1"/>
  <c r="C2260" i="1"/>
  <c r="F2256" i="1"/>
  <c r="F2254" i="1" s="1"/>
  <c r="F2246" i="1" s="1"/>
  <c r="F2244" i="1" s="1"/>
  <c r="F2242" i="1" s="1"/>
  <c r="I2271" i="1"/>
  <c r="I2269" i="1" s="1"/>
  <c r="I2267" i="1" s="1"/>
  <c r="I2265" i="1" s="1"/>
  <c r="I2263" i="1" s="1"/>
  <c r="H96" i="1"/>
  <c r="H2612" i="1"/>
  <c r="H2610" i="1" s="1"/>
  <c r="H2608" i="1" s="1"/>
  <c r="E2696" i="1"/>
  <c r="I2682" i="1"/>
  <c r="I211" i="1"/>
  <c r="I209" i="1" s="1"/>
  <c r="C243" i="1"/>
  <c r="E239" i="1"/>
  <c r="E2698" i="1" s="1"/>
  <c r="G272" i="1"/>
  <c r="H870" i="1"/>
  <c r="H626" i="1" s="1"/>
  <c r="C883" i="1"/>
  <c r="E881" i="1"/>
  <c r="E2659" i="1" s="1"/>
  <c r="D897" i="1"/>
  <c r="D895" i="1" s="1"/>
  <c r="F2021" i="1"/>
  <c r="F1478" i="1" s="1"/>
  <c r="F1476" i="1" s="1"/>
  <c r="F1474" i="1" s="1"/>
  <c r="F1472" i="1" s="1"/>
  <c r="E2065" i="1"/>
  <c r="E2063" i="1" s="1"/>
  <c r="C2063" i="1" s="1"/>
  <c r="C488" i="1"/>
  <c r="C1346" i="1"/>
  <c r="C1740" i="1"/>
  <c r="G2171" i="1"/>
  <c r="G2169" i="1" s="1"/>
  <c r="G2167" i="1" s="1"/>
  <c r="G2165" i="1" s="1"/>
  <c r="C2217" i="1"/>
  <c r="C2043" i="1"/>
  <c r="C2343" i="1"/>
  <c r="D758" i="1"/>
  <c r="D746" i="1" s="1"/>
  <c r="D856" i="1"/>
  <c r="D854" i="1" s="1"/>
  <c r="D852" i="1" s="1"/>
  <c r="C1370" i="1"/>
  <c r="F2404" i="1"/>
  <c r="F2402" i="1" s="1"/>
  <c r="F2400" i="1" s="1"/>
  <c r="F2398" i="1" s="1"/>
  <c r="F2396" i="1" s="1"/>
  <c r="I722" i="1"/>
  <c r="I720" i="1" s="1"/>
  <c r="E745" i="1"/>
  <c r="E743" i="1" s="1"/>
  <c r="F856" i="1"/>
  <c r="F854" i="1" s="1"/>
  <c r="F852" i="1" s="1"/>
  <c r="C888" i="1"/>
  <c r="I2290" i="1"/>
  <c r="I2288" i="1" s="1"/>
  <c r="I2286" i="1" s="1"/>
  <c r="I2284" i="1" s="1"/>
  <c r="I2282" i="1" s="1"/>
  <c r="C2604" i="1"/>
  <c r="D2602" i="1"/>
  <c r="D2600" i="1" s="1"/>
  <c r="C1719" i="1"/>
  <c r="D1835" i="1"/>
  <c r="D1833" i="1" s="1"/>
  <c r="D1831" i="1" s="1"/>
  <c r="C1970" i="1"/>
  <c r="E260" i="1"/>
  <c r="G1195" i="1"/>
  <c r="G1193" i="1" s="1"/>
  <c r="C1382" i="1"/>
  <c r="C1611" i="1"/>
  <c r="E1835" i="1"/>
  <c r="E1833" i="1" s="1"/>
  <c r="E1831" i="1" s="1"/>
  <c r="E1829" i="1" s="1"/>
  <c r="E1827" i="1" s="1"/>
  <c r="F260" i="1"/>
  <c r="G260" i="1"/>
  <c r="F2684" i="1"/>
  <c r="F2680" i="1" s="1"/>
  <c r="F366" i="1"/>
  <c r="G658" i="1"/>
  <c r="G656" i="1" s="1"/>
  <c r="G644" i="1" s="1"/>
  <c r="G642" i="1" s="1"/>
  <c r="G789" i="1"/>
  <c r="G787" i="1" s="1"/>
  <c r="G785" i="1" s="1"/>
  <c r="G783" i="1" s="1"/>
  <c r="G781" i="1" s="1"/>
  <c r="C1115" i="1"/>
  <c r="H1353" i="1"/>
  <c r="H1351" i="1" s="1"/>
  <c r="C1706" i="1"/>
  <c r="E2022" i="1"/>
  <c r="E2020" i="1" s="1"/>
  <c r="E2018" i="1" s="1"/>
  <c r="E2016" i="1" s="1"/>
  <c r="E2014" i="1" s="1"/>
  <c r="C2032" i="1"/>
  <c r="F2370" i="1"/>
  <c r="F2183" i="1" s="1"/>
  <c r="F557" i="1" s="1"/>
  <c r="F75" i="1" s="1"/>
  <c r="F2566" i="1"/>
  <c r="F2181" i="1" s="1"/>
  <c r="F2179" i="1" s="1"/>
  <c r="F2177" i="1" s="1"/>
  <c r="F2175" i="1" s="1"/>
  <c r="C452" i="1"/>
  <c r="E450" i="1"/>
  <c r="C2529" i="1"/>
  <c r="D2614" i="1"/>
  <c r="C2614" i="1" s="1"/>
  <c r="D86" i="1"/>
  <c r="C86" i="1" s="1"/>
  <c r="G144" i="1"/>
  <c r="G142" i="1" s="1"/>
  <c r="G92" i="1"/>
  <c r="G90" i="1" s="1"/>
  <c r="G88" i="1" s="1"/>
  <c r="G2708" i="1"/>
  <c r="G251" i="1"/>
  <c r="F2728" i="1"/>
  <c r="C296" i="1"/>
  <c r="D372" i="1"/>
  <c r="D370" i="1" s="1"/>
  <c r="D368" i="1" s="1"/>
  <c r="F746" i="1"/>
  <c r="F744" i="1" s="1"/>
  <c r="C862" i="1"/>
  <c r="C1093" i="1"/>
  <c r="F1157" i="1"/>
  <c r="F895" i="1" s="1"/>
  <c r="F893" i="1" s="1"/>
  <c r="F869" i="1" s="1"/>
  <c r="F867" i="1" s="1"/>
  <c r="G2020" i="1"/>
  <c r="G2018" i="1" s="1"/>
  <c r="G2016" i="1" s="1"/>
  <c r="G2014" i="1" s="1"/>
  <c r="H2435" i="1"/>
  <c r="H2433" i="1" s="1"/>
  <c r="H2431" i="1" s="1"/>
  <c r="H2429" i="1" s="1"/>
  <c r="H2427" i="1" s="1"/>
  <c r="C878" i="1"/>
  <c r="D876" i="1"/>
  <c r="C876" i="1" s="1"/>
  <c r="C1820" i="1"/>
  <c r="G2145" i="1"/>
  <c r="G2143" i="1" s="1"/>
  <c r="G2141" i="1" s="1"/>
  <c r="G2139" i="1" s="1"/>
  <c r="G2152" i="1"/>
  <c r="G2150" i="1" s="1"/>
  <c r="G2148" i="1" s="1"/>
  <c r="E2614" i="1"/>
  <c r="H2708" i="1"/>
  <c r="G2684" i="1"/>
  <c r="G448" i="1"/>
  <c r="C1094" i="1"/>
  <c r="D1363" i="1"/>
  <c r="D1361" i="1" s="1"/>
  <c r="D1353" i="1" s="1"/>
  <c r="I1423" i="1"/>
  <c r="I1421" i="1" s="1"/>
  <c r="I1419" i="1" s="1"/>
  <c r="I1417" i="1" s="1"/>
  <c r="E2227" i="1"/>
  <c r="E2225" i="1" s="1"/>
  <c r="E2223" i="1" s="1"/>
  <c r="C2229" i="1"/>
  <c r="H2289" i="1"/>
  <c r="H2549" i="1"/>
  <c r="H2172" i="1" s="1"/>
  <c r="H538" i="1" s="1"/>
  <c r="H48" i="1" s="1"/>
  <c r="G2731" i="1"/>
  <c r="G98" i="1"/>
  <c r="G54" i="1" s="1"/>
  <c r="C421" i="1"/>
  <c r="C434" i="1"/>
  <c r="D432" i="1"/>
  <c r="D430" i="1" s="1"/>
  <c r="D428" i="1" s="1"/>
  <c r="C462" i="1"/>
  <c r="C734" i="1"/>
  <c r="C1378" i="1"/>
  <c r="E1753" i="1"/>
  <c r="G2021" i="1"/>
  <c r="G2019" i="1" s="1"/>
  <c r="G2017" i="1" s="1"/>
  <c r="G2015" i="1" s="1"/>
  <c r="I2066" i="1"/>
  <c r="I2064" i="1" s="1"/>
  <c r="H2436" i="1"/>
  <c r="H2171" i="1" s="1"/>
  <c r="H2169" i="1" s="1"/>
  <c r="G2709" i="1"/>
  <c r="C2709" i="1" s="1"/>
  <c r="E638" i="1"/>
  <c r="C768" i="1"/>
  <c r="F880" i="1"/>
  <c r="F2658" i="1" s="1"/>
  <c r="C1179" i="1"/>
  <c r="C1224" i="1"/>
  <c r="E1364" i="1"/>
  <c r="C1399" i="1"/>
  <c r="H1773" i="1"/>
  <c r="H1771" i="1" s="1"/>
  <c r="H1769" i="1" s="1"/>
  <c r="H1767" i="1" s="1"/>
  <c r="C2236" i="1"/>
  <c r="C2273" i="1"/>
  <c r="I2436" i="1"/>
  <c r="C418" i="1"/>
  <c r="E690" i="1"/>
  <c r="C1248" i="1"/>
  <c r="I1754" i="1"/>
  <c r="D1834" i="1"/>
  <c r="D1832" i="1" s="1"/>
  <c r="C1981" i="1"/>
  <c r="C2009" i="1"/>
  <c r="I1489" i="1"/>
  <c r="I1487" i="1" s="1"/>
  <c r="I1485" i="1" s="1"/>
  <c r="I1483" i="1" s="1"/>
  <c r="I1481" i="1" s="1"/>
  <c r="C2525" i="1"/>
  <c r="C2713" i="1"/>
  <c r="C266" i="1"/>
  <c r="H622" i="1"/>
  <c r="D1092" i="1"/>
  <c r="C1092" i="1" s="1"/>
  <c r="D1098" i="1"/>
  <c r="C1098" i="1" s="1"/>
  <c r="H1156" i="1"/>
  <c r="H894" i="1" s="1"/>
  <c r="H892" i="1" s="1"/>
  <c r="C1506" i="1"/>
  <c r="C2721" i="1"/>
  <c r="C2407" i="1"/>
  <c r="F2436" i="1"/>
  <c r="F2434" i="1" s="1"/>
  <c r="F2432" i="1" s="1"/>
  <c r="F2430" i="1" s="1"/>
  <c r="G2697" i="1"/>
  <c r="G83" i="1"/>
  <c r="G31" i="1" s="1"/>
  <c r="C258" i="1"/>
  <c r="D2731" i="1"/>
  <c r="D98" i="1"/>
  <c r="F610" i="1"/>
  <c r="F524" i="1" s="1"/>
  <c r="E880" i="1"/>
  <c r="C1189" i="1"/>
  <c r="H1196" i="1"/>
  <c r="H1194" i="1" s="1"/>
  <c r="H2670" i="1" s="1"/>
  <c r="H2666" i="1" s="1"/>
  <c r="C1316" i="1"/>
  <c r="C2302" i="1"/>
  <c r="C2546" i="1"/>
  <c r="C2556" i="1"/>
  <c r="H384" i="1"/>
  <c r="H382" i="1" s="1"/>
  <c r="G896" i="1"/>
  <c r="G894" i="1" s="1"/>
  <c r="G892" i="1" s="1"/>
  <c r="C1580" i="1"/>
  <c r="C2351" i="1"/>
  <c r="H2369" i="1"/>
  <c r="H2182" i="1" s="1"/>
  <c r="H556" i="1" s="1"/>
  <c r="H74" i="1" s="1"/>
  <c r="C2508" i="1"/>
  <c r="F2707" i="1"/>
  <c r="F364" i="1"/>
  <c r="D147" i="1"/>
  <c r="D658" i="1"/>
  <c r="D855" i="1"/>
  <c r="E871" i="1"/>
  <c r="E2657" i="1" s="1"/>
  <c r="D881" i="1"/>
  <c r="D2659" i="1" s="1"/>
  <c r="E981" i="1"/>
  <c r="C981" i="1" s="1"/>
  <c r="I1327" i="1"/>
  <c r="I638" i="1" s="1"/>
  <c r="F1773" i="1"/>
  <c r="F1771" i="1" s="1"/>
  <c r="F1769" i="1" s="1"/>
  <c r="F1767" i="1" s="1"/>
  <c r="F1753" i="1" s="1"/>
  <c r="I622" i="1"/>
  <c r="H638" i="1"/>
  <c r="C1432" i="1"/>
  <c r="G1835" i="1"/>
  <c r="G1833" i="1" s="1"/>
  <c r="G1831" i="1" s="1"/>
  <c r="G1829" i="1" s="1"/>
  <c r="G1827" i="1" s="1"/>
  <c r="C2301" i="1"/>
  <c r="C2046" i="1"/>
  <c r="C2365" i="1"/>
  <c r="C2277" i="1"/>
  <c r="C2352" i="1"/>
  <c r="I789" i="1"/>
  <c r="G856" i="1"/>
  <c r="G854" i="1" s="1"/>
  <c r="G852" i="1" s="1"/>
  <c r="I871" i="1"/>
  <c r="I627" i="1" s="1"/>
  <c r="C1345" i="1"/>
  <c r="C2250" i="1"/>
  <c r="H2550" i="1"/>
  <c r="D2615" i="1"/>
  <c r="G745" i="1"/>
  <c r="G743" i="1" s="1"/>
  <c r="H856" i="1"/>
  <c r="H854" i="1" s="1"/>
  <c r="H852" i="1" s="1"/>
  <c r="C2218" i="1"/>
  <c r="I2550" i="1"/>
  <c r="I2173" i="1" s="1"/>
  <c r="I539" i="1" s="1"/>
  <c r="I49" i="1" s="1"/>
  <c r="E2615" i="1"/>
  <c r="G2727" i="1"/>
  <c r="C596" i="1"/>
  <c r="C1134" i="1"/>
  <c r="I1157" i="1"/>
  <c r="C1223" i="1"/>
  <c r="C2573" i="1"/>
  <c r="C99" i="1"/>
  <c r="I55" i="1"/>
  <c r="G2616" i="1"/>
  <c r="G2610" i="1" s="1"/>
  <c r="G2608" i="1" s="1"/>
  <c r="G114" i="1"/>
  <c r="G112" i="1" s="1"/>
  <c r="C186" i="1"/>
  <c r="G184" i="1"/>
  <c r="C184" i="1" s="1"/>
  <c r="C198" i="1"/>
  <c r="I196" i="1"/>
  <c r="I194" i="1" s="1"/>
  <c r="I2696" i="1"/>
  <c r="I233" i="1"/>
  <c r="I231" i="1" s="1"/>
  <c r="I82" i="1"/>
  <c r="C244" i="1"/>
  <c r="H240" i="1"/>
  <c r="H2699" i="1" s="1"/>
  <c r="H2695" i="1" s="1"/>
  <c r="H2693" i="1" s="1"/>
  <c r="H242" i="1"/>
  <c r="H93" i="1"/>
  <c r="E447" i="1"/>
  <c r="I467" i="1"/>
  <c r="E2706" i="1"/>
  <c r="E363" i="1"/>
  <c r="E623" i="1"/>
  <c r="C690" i="1"/>
  <c r="D622" i="1"/>
  <c r="C773" i="1"/>
  <c r="G2615" i="1"/>
  <c r="G87" i="1"/>
  <c r="F144" i="1"/>
  <c r="F142" i="1" s="1"/>
  <c r="E2621" i="1"/>
  <c r="E2619" i="1" s="1"/>
  <c r="E155" i="1"/>
  <c r="E97" i="1"/>
  <c r="C193" i="1"/>
  <c r="H108" i="1"/>
  <c r="H191" i="1"/>
  <c r="H189" i="1" s="1"/>
  <c r="E252" i="1"/>
  <c r="C412" i="1"/>
  <c r="H410" i="1"/>
  <c r="C463" i="1"/>
  <c r="G461" i="1"/>
  <c r="E372" i="1"/>
  <c r="E491" i="1"/>
  <c r="E493" i="1"/>
  <c r="E723" i="1"/>
  <c r="E721" i="1" s="1"/>
  <c r="F723" i="1"/>
  <c r="F721" i="1" s="1"/>
  <c r="F635" i="1"/>
  <c r="F2641" i="1"/>
  <c r="F2639" i="1" s="1"/>
  <c r="F2637" i="1" s="1"/>
  <c r="F782" i="1"/>
  <c r="F780" i="1" s="1"/>
  <c r="C872" i="1"/>
  <c r="E2658" i="1"/>
  <c r="E628" i="1"/>
  <c r="E544" i="1" s="1"/>
  <c r="D896" i="1"/>
  <c r="D634" i="1" s="1"/>
  <c r="C898" i="1"/>
  <c r="C1159" i="1"/>
  <c r="E1157" i="1"/>
  <c r="D1195" i="1"/>
  <c r="C1197" i="1"/>
  <c r="D2246" i="1"/>
  <c r="C2248" i="1"/>
  <c r="D2170" i="1"/>
  <c r="D2433" i="1"/>
  <c r="C451" i="1"/>
  <c r="C486" i="1"/>
  <c r="I639" i="1"/>
  <c r="G593" i="1"/>
  <c r="G591" i="1" s="1"/>
  <c r="G589" i="1" s="1"/>
  <c r="G587" i="1" s="1"/>
  <c r="G569" i="1"/>
  <c r="D656" i="1"/>
  <c r="I849" i="1"/>
  <c r="I847" i="1" s="1"/>
  <c r="E2613" i="1"/>
  <c r="E115" i="1"/>
  <c r="E85" i="1"/>
  <c r="D146" i="1"/>
  <c r="C148" i="1"/>
  <c r="D214" i="1"/>
  <c r="C216" i="1"/>
  <c r="F2696" i="1"/>
  <c r="F82" i="1"/>
  <c r="E2708" i="1"/>
  <c r="E84" i="1"/>
  <c r="D2708" i="1"/>
  <c r="C253" i="1"/>
  <c r="H366" i="1"/>
  <c r="F435" i="1"/>
  <c r="F433" i="1" s="1"/>
  <c r="F380" i="1"/>
  <c r="G471" i="1"/>
  <c r="G469" i="1" s="1"/>
  <c r="G379" i="1"/>
  <c r="D482" i="1"/>
  <c r="D592" i="1"/>
  <c r="D568" i="1"/>
  <c r="C594" i="1"/>
  <c r="E593" i="1"/>
  <c r="E591" i="1" s="1"/>
  <c r="E589" i="1" s="1"/>
  <c r="E587" i="1" s="1"/>
  <c r="E569" i="1"/>
  <c r="I2627" i="1"/>
  <c r="I2625" i="1" s="1"/>
  <c r="I2623" i="1" s="1"/>
  <c r="I718" i="1"/>
  <c r="I716" i="1" s="1"/>
  <c r="G746" i="1"/>
  <c r="G744" i="1" s="1"/>
  <c r="H746" i="1"/>
  <c r="H744" i="1" s="1"/>
  <c r="G849" i="1"/>
  <c r="G847" i="1" s="1"/>
  <c r="I2659" i="1"/>
  <c r="I629" i="1"/>
  <c r="I545" i="1" s="1"/>
  <c r="I61" i="1" s="1"/>
  <c r="C1002" i="1"/>
  <c r="E980" i="1"/>
  <c r="C980" i="1" s="1"/>
  <c r="D2560" i="1"/>
  <c r="H621" i="1"/>
  <c r="H535" i="1" s="1"/>
  <c r="H45" i="1" s="1"/>
  <c r="H639" i="1"/>
  <c r="C830" i="1"/>
  <c r="C882" i="1"/>
  <c r="H895" i="1"/>
  <c r="H893" i="1" s="1"/>
  <c r="I897" i="1"/>
  <c r="I635" i="1" s="1"/>
  <c r="H2710" i="1"/>
  <c r="H2704" i="1" s="1"/>
  <c r="H2702" i="1" s="1"/>
  <c r="H2714" i="1"/>
  <c r="H251" i="1"/>
  <c r="H249" i="1" s="1"/>
  <c r="C443" i="1"/>
  <c r="E439" i="1"/>
  <c r="C477" i="1"/>
  <c r="F475" i="1"/>
  <c r="D593" i="1"/>
  <c r="C595" i="1"/>
  <c r="G2628" i="1"/>
  <c r="G2626" i="1" s="1"/>
  <c r="G2624" i="1" s="1"/>
  <c r="G719" i="1"/>
  <c r="G717" i="1" s="1"/>
  <c r="F849" i="1"/>
  <c r="F847" i="1" s="1"/>
  <c r="H2659" i="1"/>
  <c r="H629" i="1"/>
  <c r="H545" i="1" s="1"/>
  <c r="H61" i="1" s="1"/>
  <c r="C889" i="1"/>
  <c r="F94" i="1"/>
  <c r="F52" i="1"/>
  <c r="F50" i="1" s="1"/>
  <c r="C227" i="1"/>
  <c r="D215" i="1"/>
  <c r="E430" i="1"/>
  <c r="F468" i="1"/>
  <c r="D574" i="1"/>
  <c r="E741" i="1"/>
  <c r="E739" i="1" s="1"/>
  <c r="F742" i="1"/>
  <c r="F740" i="1" s="1"/>
  <c r="G2641" i="1"/>
  <c r="G2639" i="1" s="1"/>
  <c r="G2637" i="1" s="1"/>
  <c r="G782" i="1"/>
  <c r="G780" i="1" s="1"/>
  <c r="D853" i="1"/>
  <c r="F627" i="1"/>
  <c r="C1178" i="1"/>
  <c r="D1156" i="1"/>
  <c r="C1156" i="1" s="1"/>
  <c r="D1327" i="1"/>
  <c r="C1329" i="1"/>
  <c r="G881" i="1"/>
  <c r="H577" i="1"/>
  <c r="H575" i="1" s="1"/>
  <c r="H573" i="1" s="1"/>
  <c r="H571" i="1" s="1"/>
  <c r="H568" i="1"/>
  <c r="E621" i="1"/>
  <c r="E535" i="1" s="1"/>
  <c r="E45" i="1" s="1"/>
  <c r="C684" i="1"/>
  <c r="C732" i="1"/>
  <c r="C750" i="1"/>
  <c r="E748" i="1"/>
  <c r="E746" i="1" s="1"/>
  <c r="E744" i="1" s="1"/>
  <c r="D623" i="1"/>
  <c r="I787" i="1"/>
  <c r="I785" i="1" s="1"/>
  <c r="D850" i="1"/>
  <c r="H30" i="1"/>
  <c r="I156" i="1"/>
  <c r="C168" i="1"/>
  <c r="D102" i="1"/>
  <c r="G2698" i="1"/>
  <c r="G2694" i="1" s="1"/>
  <c r="G2692" i="1" s="1"/>
  <c r="G233" i="1"/>
  <c r="G231" i="1" s="1"/>
  <c r="D279" i="1"/>
  <c r="D272" i="1"/>
  <c r="C280" i="1"/>
  <c r="F2686" i="1"/>
  <c r="F448" i="1"/>
  <c r="F446" i="1" s="1"/>
  <c r="I116" i="1"/>
  <c r="C120" i="1"/>
  <c r="I2731" i="1"/>
  <c r="I341" i="1"/>
  <c r="I98" i="1"/>
  <c r="I54" i="1" s="1"/>
  <c r="C499" i="1"/>
  <c r="G497" i="1"/>
  <c r="D74" i="1"/>
  <c r="F566" i="1"/>
  <c r="F564" i="1" s="1"/>
  <c r="F562" i="1" s="1"/>
  <c r="F560" i="1" s="1"/>
  <c r="I610" i="1"/>
  <c r="I524" i="1" s="1"/>
  <c r="I643" i="1"/>
  <c r="I641" i="1" s="1"/>
  <c r="D655" i="1"/>
  <c r="H722" i="1"/>
  <c r="H720" i="1" s="1"/>
  <c r="H634" i="1"/>
  <c r="C733" i="1"/>
  <c r="C767" i="1"/>
  <c r="F757" i="1"/>
  <c r="F620" i="1" s="1"/>
  <c r="F534" i="1" s="1"/>
  <c r="F44" i="1" s="1"/>
  <c r="H2649" i="1"/>
  <c r="H2647" i="1" s="1"/>
  <c r="H2645" i="1" s="1"/>
  <c r="H849" i="1"/>
  <c r="H847" i="1" s="1"/>
  <c r="C859" i="1"/>
  <c r="E857" i="1"/>
  <c r="I626" i="1"/>
  <c r="I868" i="1"/>
  <c r="I866" i="1" s="1"/>
  <c r="H2669" i="1"/>
  <c r="H2665" i="1" s="1"/>
  <c r="H1185" i="1"/>
  <c r="D1559" i="1"/>
  <c r="C1561" i="1"/>
  <c r="G1609" i="1"/>
  <c r="C1657" i="1"/>
  <c r="C1741" i="1"/>
  <c r="D1609" i="1"/>
  <c r="I2021" i="1"/>
  <c r="C2035" i="1"/>
  <c r="G622" i="1"/>
  <c r="I746" i="1"/>
  <c r="I744" i="1" s="1"/>
  <c r="C1095" i="1"/>
  <c r="C126" i="1"/>
  <c r="D116" i="1"/>
  <c r="C174" i="1"/>
  <c r="D156" i="1"/>
  <c r="G109" i="1"/>
  <c r="G192" i="1"/>
  <c r="G190" i="1" s="1"/>
  <c r="H2681" i="1"/>
  <c r="H210" i="1"/>
  <c r="H208" i="1" s="1"/>
  <c r="H84" i="1"/>
  <c r="H2711" i="1"/>
  <c r="H2705" i="1" s="1"/>
  <c r="H2703" i="1" s="1"/>
  <c r="H2715" i="1"/>
  <c r="H252" i="1"/>
  <c r="C285" i="1"/>
  <c r="F271" i="1"/>
  <c r="F269" i="1" s="1"/>
  <c r="F267" i="1" s="1"/>
  <c r="E496" i="1"/>
  <c r="C512" i="1"/>
  <c r="G722" i="1"/>
  <c r="G720" i="1" s="1"/>
  <c r="G634" i="1"/>
  <c r="I618" i="1"/>
  <c r="I850" i="1"/>
  <c r="I848" i="1" s="1"/>
  <c r="C417" i="1"/>
  <c r="I620" i="1"/>
  <c r="I534" i="1" s="1"/>
  <c r="I44" i="1" s="1"/>
  <c r="D745" i="1"/>
  <c r="C185" i="1"/>
  <c r="I183" i="1"/>
  <c r="E468" i="1"/>
  <c r="I644" i="1"/>
  <c r="I642" i="1" s="1"/>
  <c r="I611" i="1"/>
  <c r="I525" i="1" s="1"/>
  <c r="I33" i="1" s="1"/>
  <c r="F722" i="1"/>
  <c r="F720" i="1" s="1"/>
  <c r="F634" i="1"/>
  <c r="D621" i="1"/>
  <c r="C758" i="1"/>
  <c r="H783" i="1"/>
  <c r="H781" i="1" s="1"/>
  <c r="E790" i="1"/>
  <c r="E788" i="1" s="1"/>
  <c r="E786" i="1" s="1"/>
  <c r="E784" i="1" s="1"/>
  <c r="C812" i="1"/>
  <c r="H2650" i="1"/>
  <c r="H2648" i="1" s="1"/>
  <c r="H2646" i="1" s="1"/>
  <c r="H850" i="1"/>
  <c r="H848" i="1" s="1"/>
  <c r="C803" i="1"/>
  <c r="C131" i="1"/>
  <c r="G117" i="1"/>
  <c r="I2657" i="1"/>
  <c r="I103" i="1"/>
  <c r="C396" i="1"/>
  <c r="E394" i="1"/>
  <c r="D402" i="1"/>
  <c r="E379" i="1"/>
  <c r="E407" i="1"/>
  <c r="I2683" i="1"/>
  <c r="I365" i="1"/>
  <c r="D458" i="1"/>
  <c r="C460" i="1"/>
  <c r="I580" i="1"/>
  <c r="C580" i="1" s="1"/>
  <c r="C569" i="1" s="1"/>
  <c r="C567" i="1" s="1"/>
  <c r="C565" i="1" s="1"/>
  <c r="C582" i="1"/>
  <c r="C613" i="1"/>
  <c r="D527" i="1"/>
  <c r="C527" i="1" s="1"/>
  <c r="E722" i="1"/>
  <c r="E720" i="1" s="1"/>
  <c r="G2634" i="1"/>
  <c r="G2632" i="1" s="1"/>
  <c r="G2630" i="1" s="1"/>
  <c r="G741" i="1"/>
  <c r="G739" i="1" s="1"/>
  <c r="D785" i="1"/>
  <c r="F626" i="1"/>
  <c r="F868" i="1"/>
  <c r="F866" i="1" s="1"/>
  <c r="E2404" i="1"/>
  <c r="C2422" i="1"/>
  <c r="C579" i="1"/>
  <c r="C568" i="1" s="1"/>
  <c r="C566" i="1" s="1"/>
  <c r="C564" i="1" s="1"/>
  <c r="G2706" i="1"/>
  <c r="G482" i="1"/>
  <c r="G480" i="1" s="1"/>
  <c r="G363" i="1"/>
  <c r="I577" i="1"/>
  <c r="I575" i="1" s="1"/>
  <c r="I573" i="1" s="1"/>
  <c r="I571" i="1" s="1"/>
  <c r="I568" i="1"/>
  <c r="D722" i="1"/>
  <c r="C724" i="1"/>
  <c r="I723" i="1"/>
  <c r="I721" i="1" s="1"/>
  <c r="I782" i="1"/>
  <c r="I780" i="1" s="1"/>
  <c r="F2650" i="1"/>
  <c r="F2648" i="1" s="1"/>
  <c r="F2646" i="1" s="1"/>
  <c r="F850" i="1"/>
  <c r="F848" i="1" s="1"/>
  <c r="I543" i="1"/>
  <c r="I2616" i="1"/>
  <c r="F745" i="1"/>
  <c r="F743" i="1" s="1"/>
  <c r="C1049" i="1"/>
  <c r="D54" i="1"/>
  <c r="C194" i="1"/>
  <c r="E192" i="1"/>
  <c r="E190" i="1" s="1"/>
  <c r="E109" i="1"/>
  <c r="G2681" i="1"/>
  <c r="G210" i="1"/>
  <c r="G208" i="1" s="1"/>
  <c r="G84" i="1"/>
  <c r="G2683" i="1"/>
  <c r="C2683" i="1" s="1"/>
  <c r="G365" i="1"/>
  <c r="G34" i="1" s="1"/>
  <c r="C449" i="1"/>
  <c r="H114" i="1"/>
  <c r="H112" i="1" s="1"/>
  <c r="H182" i="1"/>
  <c r="H180" i="1" s="1"/>
  <c r="H103" i="1"/>
  <c r="F2681" i="1"/>
  <c r="F210" i="1"/>
  <c r="F208" i="1" s="1"/>
  <c r="H2730" i="1"/>
  <c r="H2728" i="1" s="1"/>
  <c r="H97" i="1"/>
  <c r="H260" i="1"/>
  <c r="G430" i="1"/>
  <c r="G428" i="1" s="1"/>
  <c r="H431" i="1"/>
  <c r="H429" i="1" s="1"/>
  <c r="I459" i="1"/>
  <c r="I457" i="1" s="1"/>
  <c r="I2685" i="1" s="1"/>
  <c r="I371" i="1"/>
  <c r="H593" i="1"/>
  <c r="H591" i="1" s="1"/>
  <c r="H589" i="1" s="1"/>
  <c r="H587" i="1" s="1"/>
  <c r="H569" i="1"/>
  <c r="H71" i="1"/>
  <c r="H612" i="1"/>
  <c r="H526" i="1" s="1"/>
  <c r="H34" i="1" s="1"/>
  <c r="H643" i="1"/>
  <c r="H641" i="1" s="1"/>
  <c r="H2628" i="1"/>
  <c r="H2626" i="1" s="1"/>
  <c r="H2624" i="1" s="1"/>
  <c r="H719" i="1"/>
  <c r="H717" i="1" s="1"/>
  <c r="G869" i="1"/>
  <c r="G867" i="1" s="1"/>
  <c r="G627" i="1"/>
  <c r="D2139" i="1"/>
  <c r="E182" i="1"/>
  <c r="C196" i="1"/>
  <c r="I379" i="1"/>
  <c r="F618" i="1"/>
  <c r="H788" i="1"/>
  <c r="H786" i="1" s="1"/>
  <c r="H784" i="1" s="1"/>
  <c r="C1135" i="1"/>
  <c r="H1350" i="1"/>
  <c r="D1364" i="1"/>
  <c r="C1366" i="1"/>
  <c r="H1835" i="1"/>
  <c r="H1833" i="1" s="1"/>
  <c r="H1831" i="1" s="1"/>
  <c r="H1829" i="1" s="1"/>
  <c r="H1827" i="1" s="1"/>
  <c r="C1985" i="1"/>
  <c r="D2187" i="1"/>
  <c r="H2254" i="1"/>
  <c r="H2246" i="1" s="1"/>
  <c r="H2244" i="1" s="1"/>
  <c r="H2242" i="1" s="1"/>
  <c r="C2292" i="1"/>
  <c r="H2290" i="1"/>
  <c r="D2290" i="1"/>
  <c r="C2360" i="1"/>
  <c r="D2436" i="1"/>
  <c r="C2526" i="1"/>
  <c r="H2614" i="1"/>
  <c r="I2727" i="1"/>
  <c r="C343" i="1"/>
  <c r="D577" i="1"/>
  <c r="C646" i="1"/>
  <c r="D788" i="1"/>
  <c r="E858" i="1"/>
  <c r="D880" i="1"/>
  <c r="C899" i="1"/>
  <c r="D1090" i="1"/>
  <c r="C1090" i="1" s="1"/>
  <c r="C1200" i="1"/>
  <c r="C1219" i="1"/>
  <c r="C1564" i="1"/>
  <c r="C1566" i="1"/>
  <c r="C1798" i="1"/>
  <c r="C2438" i="1"/>
  <c r="C2503" i="1"/>
  <c r="C1367" i="1"/>
  <c r="I1365" i="1"/>
  <c r="C1388" i="1"/>
  <c r="F1386" i="1"/>
  <c r="D1556" i="1"/>
  <c r="H1463" i="1"/>
  <c r="C2055" i="1"/>
  <c r="H2053" i="1"/>
  <c r="H2051" i="1" s="1"/>
  <c r="G2061" i="1"/>
  <c r="G2059" i="1" s="1"/>
  <c r="G2053" i="1" s="1"/>
  <c r="G2051" i="1" s="1"/>
  <c r="G1469" i="1"/>
  <c r="G1467" i="1" s="1"/>
  <c r="G1465" i="1" s="1"/>
  <c r="G1461" i="1" s="1"/>
  <c r="H2190" i="1"/>
  <c r="H2188" i="1" s="1"/>
  <c r="H2186" i="1" s="1"/>
  <c r="E2695" i="1"/>
  <c r="E2693" i="1" s="1"/>
  <c r="C254" i="1"/>
  <c r="D341" i="1"/>
  <c r="D569" i="1"/>
  <c r="G610" i="1"/>
  <c r="G524" i="1" s="1"/>
  <c r="D619" i="1"/>
  <c r="F629" i="1"/>
  <c r="F545" i="1" s="1"/>
  <c r="F61" i="1" s="1"/>
  <c r="C726" i="1"/>
  <c r="C775" i="1"/>
  <c r="F791" i="1"/>
  <c r="F789" i="1" s="1"/>
  <c r="F787" i="1" s="1"/>
  <c r="F785" i="1" s="1"/>
  <c r="E861" i="1"/>
  <c r="C861" i="1" s="1"/>
  <c r="C874" i="1"/>
  <c r="E938" i="1"/>
  <c r="C938" i="1" s="1"/>
  <c r="E1088" i="1"/>
  <c r="C1088" i="1" s="1"/>
  <c r="G1218" i="1"/>
  <c r="H1478" i="1"/>
  <c r="H1476" i="1" s="1"/>
  <c r="H1474" i="1" s="1"/>
  <c r="H1472" i="1" s="1"/>
  <c r="D2699" i="1"/>
  <c r="F2144" i="1"/>
  <c r="I2613" i="1"/>
  <c r="H342" i="1"/>
  <c r="D612" i="1"/>
  <c r="E791" i="1"/>
  <c r="D1096" i="1"/>
  <c r="C1096" i="1" s="1"/>
  <c r="D1100" i="1"/>
  <c r="C1100" i="1" s="1"/>
  <c r="C1205" i="1"/>
  <c r="H1469" i="1"/>
  <c r="H1467" i="1" s="1"/>
  <c r="H1465" i="1" s="1"/>
  <c r="D1571" i="1"/>
  <c r="F1607" i="1"/>
  <c r="F1605" i="1" s="1"/>
  <c r="F1603" i="1" s="1"/>
  <c r="F1601" i="1" s="1"/>
  <c r="C1707" i="1"/>
  <c r="C1207" i="1"/>
  <c r="F1205" i="1"/>
  <c r="F1195" i="1" s="1"/>
  <c r="F1193" i="1" s="1"/>
  <c r="E1365" i="1"/>
  <c r="E1363" i="1" s="1"/>
  <c r="C1371" i="1"/>
  <c r="D1759" i="1"/>
  <c r="C1761" i="1"/>
  <c r="I2022" i="1"/>
  <c r="C2026" i="1"/>
  <c r="D2061" i="1"/>
  <c r="G2656" i="1"/>
  <c r="C485" i="1"/>
  <c r="C749" i="1"/>
  <c r="D1386" i="1"/>
  <c r="C1402" i="1"/>
  <c r="G1487" i="1"/>
  <c r="G1485" i="1" s="1"/>
  <c r="G1483" i="1" s="1"/>
  <c r="G1481" i="1" s="1"/>
  <c r="F1470" i="1"/>
  <c r="F1468" i="1" s="1"/>
  <c r="F1466" i="1" s="1"/>
  <c r="F1462" i="1" s="1"/>
  <c r="F1577" i="1"/>
  <c r="I2062" i="1"/>
  <c r="I2060" i="1" s="1"/>
  <c r="I2054" i="1" s="1"/>
  <c r="I2052" i="1" s="1"/>
  <c r="I1470" i="1"/>
  <c r="I1468" i="1" s="1"/>
  <c r="I1466" i="1" s="1"/>
  <c r="I1462" i="1" s="1"/>
  <c r="I2289" i="1"/>
  <c r="C2321" i="1"/>
  <c r="D2403" i="1"/>
  <c r="C2405" i="1"/>
  <c r="I2435" i="1"/>
  <c r="I2433" i="1" s="1"/>
  <c r="I2431" i="1" s="1"/>
  <c r="I2429" i="1" s="1"/>
  <c r="I2427" i="1" s="1"/>
  <c r="C2539" i="1"/>
  <c r="C2583" i="1"/>
  <c r="G2581" i="1"/>
  <c r="G2579" i="1" s="1"/>
  <c r="G2577" i="1" s="1"/>
  <c r="G2575" i="1" s="1"/>
  <c r="F2656" i="1"/>
  <c r="I2694" i="1"/>
  <c r="I2692" i="1" s="1"/>
  <c r="I251" i="1"/>
  <c r="G259" i="1"/>
  <c r="C650" i="1"/>
  <c r="G1834" i="1"/>
  <c r="G1832" i="1" s="1"/>
  <c r="G1830" i="1" s="1"/>
  <c r="G1828" i="1" s="1"/>
  <c r="F2670" i="1"/>
  <c r="C2717" i="1"/>
  <c r="D2727" i="1"/>
  <c r="C2729" i="1"/>
  <c r="C1403" i="1"/>
  <c r="I1387" i="1"/>
  <c r="C1387" i="1" s="1"/>
  <c r="C1439" i="1"/>
  <c r="E1437" i="1"/>
  <c r="D1585" i="1"/>
  <c r="C1585" i="1" s="1"/>
  <c r="C1587" i="1"/>
  <c r="E1606" i="1"/>
  <c r="E1604" i="1" s="1"/>
  <c r="E1602" i="1" s="1"/>
  <c r="E1600" i="1" s="1"/>
  <c r="E1477" i="1"/>
  <c r="E1475" i="1" s="1"/>
  <c r="E1473" i="1" s="1"/>
  <c r="E1471" i="1" s="1"/>
  <c r="D2020" i="1"/>
  <c r="C2034" i="1"/>
  <c r="C2228" i="1"/>
  <c r="E2226" i="1"/>
  <c r="G2289" i="1"/>
  <c r="G2287" i="1" s="1"/>
  <c r="G2285" i="1" s="1"/>
  <c r="G2283" i="1" s="1"/>
  <c r="G2281" i="1" s="1"/>
  <c r="C2333" i="1"/>
  <c r="F2564" i="1"/>
  <c r="F2562" i="1" s="1"/>
  <c r="F2560" i="1" s="1"/>
  <c r="C138" i="1"/>
  <c r="H2615" i="1"/>
  <c r="H2694" i="1"/>
  <c r="H2692" i="1" s="1"/>
  <c r="E342" i="1"/>
  <c r="C344" i="1"/>
  <c r="G568" i="1"/>
  <c r="G618" i="1"/>
  <c r="F658" i="1"/>
  <c r="F656" i="1" s="1"/>
  <c r="F644" i="1" s="1"/>
  <c r="F642" i="1" s="1"/>
  <c r="C1003" i="1"/>
  <c r="E1146" i="1"/>
  <c r="C1146" i="1" s="1"/>
  <c r="E2669" i="1"/>
  <c r="E2665" i="1" s="1"/>
  <c r="F1754" i="1"/>
  <c r="C2190" i="1"/>
  <c r="C2536" i="1"/>
  <c r="C2716" i="1"/>
  <c r="I2714" i="1"/>
  <c r="I2711" i="1"/>
  <c r="I2705" i="1" s="1"/>
  <c r="I2703" i="1" s="1"/>
  <c r="C1452" i="1"/>
  <c r="E1450" i="1"/>
  <c r="D1485" i="1"/>
  <c r="H2018" i="1"/>
  <c r="H2016" i="1" s="1"/>
  <c r="H2014" i="1" s="1"/>
  <c r="H1477" i="1"/>
  <c r="H1475" i="1" s="1"/>
  <c r="H1473" i="1" s="1"/>
  <c r="H1471" i="1" s="1"/>
  <c r="E2062" i="1"/>
  <c r="E2060" i="1" s="1"/>
  <c r="E2054" i="1" s="1"/>
  <c r="E2052" i="1" s="1"/>
  <c r="D2227" i="1"/>
  <c r="C2235" i="1"/>
  <c r="C2249" i="1"/>
  <c r="I2247" i="1"/>
  <c r="D2269" i="1"/>
  <c r="C2271" i="1"/>
  <c r="D2285" i="1"/>
  <c r="I2171" i="1"/>
  <c r="I2169" i="1" s="1"/>
  <c r="I2167" i="1" s="1"/>
  <c r="I2165" i="1" s="1"/>
  <c r="I2434" i="1"/>
  <c r="I2432" i="1" s="1"/>
  <c r="I2430" i="1" s="1"/>
  <c r="I2428" i="1" s="1"/>
  <c r="G2180" i="1"/>
  <c r="G2178" i="1" s="1"/>
  <c r="G2176" i="1" s="1"/>
  <c r="G2174" i="1" s="1"/>
  <c r="G2563" i="1"/>
  <c r="G2561" i="1" s="1"/>
  <c r="G2559" i="1" s="1"/>
  <c r="F115" i="1"/>
  <c r="F113" i="1" s="1"/>
  <c r="D117" i="1"/>
  <c r="D157" i="1"/>
  <c r="D259" i="1"/>
  <c r="G468" i="1"/>
  <c r="G446" i="1" s="1"/>
  <c r="E568" i="1"/>
  <c r="F611" i="1"/>
  <c r="F525" i="1" s="1"/>
  <c r="F33" i="1" s="1"/>
  <c r="G628" i="1"/>
  <c r="G544" i="1" s="1"/>
  <c r="G60" i="1" s="1"/>
  <c r="E689" i="1"/>
  <c r="D873" i="1"/>
  <c r="C2316" i="1"/>
  <c r="C2590" i="1"/>
  <c r="E1218" i="1"/>
  <c r="C1310" i="1"/>
  <c r="H1470" i="1"/>
  <c r="H1468" i="1" s="1"/>
  <c r="H1466" i="1" s="1"/>
  <c r="H1462" i="1" s="1"/>
  <c r="H1562" i="1"/>
  <c r="D1774" i="1"/>
  <c r="C1776" i="1"/>
  <c r="E2145" i="1"/>
  <c r="E2152" i="1"/>
  <c r="C2272" i="1"/>
  <c r="I2270" i="1"/>
  <c r="I2268" i="1" s="1"/>
  <c r="I2266" i="1" s="1"/>
  <c r="I2264" i="1" s="1"/>
  <c r="I2262" i="1" s="1"/>
  <c r="D2370" i="1"/>
  <c r="C2372" i="1"/>
  <c r="C2601" i="1"/>
  <c r="E2599" i="1"/>
  <c r="E2694" i="1"/>
  <c r="E2692" i="1" s="1"/>
  <c r="F2666" i="1"/>
  <c r="C1303" i="1"/>
  <c r="F1362" i="1"/>
  <c r="F1360" i="1" s="1"/>
  <c r="F1352" i="1" s="1"/>
  <c r="F1350" i="1" s="1"/>
  <c r="C2186" i="1"/>
  <c r="C2706" i="1"/>
  <c r="C1190" i="1"/>
  <c r="E1188" i="1"/>
  <c r="C1188" i="1" s="1"/>
  <c r="C1198" i="1"/>
  <c r="G1196" i="1"/>
  <c r="G1194" i="1" s="1"/>
  <c r="F1406" i="1"/>
  <c r="C1412" i="1"/>
  <c r="D1594" i="1"/>
  <c r="C1596" i="1"/>
  <c r="D1762" i="1"/>
  <c r="C1764" i="1"/>
  <c r="D2062" i="1"/>
  <c r="E2245" i="1"/>
  <c r="E2243" i="1" s="1"/>
  <c r="E2172" i="1"/>
  <c r="C2253" i="1"/>
  <c r="H2370" i="1"/>
  <c r="H2183" i="1" s="1"/>
  <c r="H557" i="1" s="1"/>
  <c r="H75" i="1" s="1"/>
  <c r="C2378" i="1"/>
  <c r="C2718" i="1"/>
  <c r="E2716" i="1"/>
  <c r="I2695" i="1"/>
  <c r="I2693" i="1" s="1"/>
  <c r="C1108" i="1"/>
  <c r="C1153" i="1"/>
  <c r="C1206" i="1"/>
  <c r="C1932" i="1"/>
  <c r="C1958" i="1"/>
  <c r="C2154" i="1"/>
  <c r="C2550" i="1"/>
  <c r="C2565" i="1"/>
  <c r="D2728" i="1"/>
  <c r="C2730" i="1"/>
  <c r="G1185" i="1"/>
  <c r="G1183" i="1" s="1"/>
  <c r="G2669" i="1"/>
  <c r="G2665" i="1" s="1"/>
  <c r="C1464" i="1"/>
  <c r="I1832" i="1"/>
  <c r="I1830" i="1" s="1"/>
  <c r="I1828" i="1" s="1"/>
  <c r="E2270" i="1"/>
  <c r="E2170" i="1" s="1"/>
  <c r="E2168" i="1" s="1"/>
  <c r="C2276" i="1"/>
  <c r="E2369" i="1"/>
  <c r="E2182" i="1" s="1"/>
  <c r="C2387" i="1"/>
  <c r="D2396" i="1"/>
  <c r="E2563" i="1"/>
  <c r="C139" i="1"/>
  <c r="I234" i="1"/>
  <c r="I232" i="1" s="1"/>
  <c r="G341" i="1"/>
  <c r="G249" i="1" s="1"/>
  <c r="C484" i="1"/>
  <c r="C597" i="1"/>
  <c r="C735" i="1"/>
  <c r="C748" i="1"/>
  <c r="C760" i="1"/>
  <c r="C1315" i="1"/>
  <c r="F1313" i="1"/>
  <c r="F636" i="1" s="1"/>
  <c r="C1426" i="1"/>
  <c r="E1424" i="1"/>
  <c r="D1445" i="1"/>
  <c r="C1447" i="1"/>
  <c r="G1773" i="1"/>
  <c r="G1771" i="1" s="1"/>
  <c r="G1769" i="1" s="1"/>
  <c r="G1767" i="1" s="1"/>
  <c r="G1753" i="1" s="1"/>
  <c r="C1811" i="1"/>
  <c r="E2189" i="1"/>
  <c r="E2187" i="1" s="1"/>
  <c r="E2185" i="1" s="1"/>
  <c r="E2434" i="1"/>
  <c r="E2432" i="1" s="1"/>
  <c r="E2430" i="1" s="1"/>
  <c r="E2428" i="1" s="1"/>
  <c r="E2171" i="1"/>
  <c r="E2169" i="1" s="1"/>
  <c r="C262" i="1"/>
  <c r="C260" i="1" s="1"/>
  <c r="H2689" i="1"/>
  <c r="H2687" i="1" s="1"/>
  <c r="F569" i="1"/>
  <c r="E659" i="1"/>
  <c r="C659" i="1" s="1"/>
  <c r="E1185" i="1"/>
  <c r="F1217" i="1"/>
  <c r="E1328" i="1"/>
  <c r="C1591" i="1"/>
  <c r="C2567" i="1"/>
  <c r="C1563" i="1"/>
  <c r="C1589" i="1"/>
  <c r="C2191" i="1"/>
  <c r="E1217" i="1"/>
  <c r="C2724" i="1"/>
  <c r="C1489" i="1"/>
  <c r="C1836" i="1"/>
  <c r="E2579" i="1"/>
  <c r="C2719" i="1"/>
  <c r="C1763" i="1"/>
  <c r="G2054" i="1"/>
  <c r="G2052" i="1" s="1"/>
  <c r="C1837" i="1"/>
  <c r="E1578" i="1"/>
  <c r="C1187" i="1"/>
  <c r="I1212" i="1" l="1"/>
  <c r="I2674" i="1"/>
  <c r="I2672" i="1" s="1"/>
  <c r="H1211" i="1"/>
  <c r="H2673" i="1"/>
  <c r="H2671" i="1" s="1"/>
  <c r="H2663" i="1"/>
  <c r="D1608" i="1"/>
  <c r="G2162" i="1"/>
  <c r="F2699" i="1"/>
  <c r="F2695" i="1" s="1"/>
  <c r="F2693" i="1" s="1"/>
  <c r="F234" i="1"/>
  <c r="F232" i="1" s="1"/>
  <c r="I2621" i="1"/>
  <c r="I2619" i="1" s="1"/>
  <c r="I97" i="1"/>
  <c r="I155" i="1"/>
  <c r="F493" i="1"/>
  <c r="F491" i="1"/>
  <c r="F483" i="1" s="1"/>
  <c r="F481" i="1" s="1"/>
  <c r="F2167" i="1"/>
  <c r="F2165" i="1" s="1"/>
  <c r="F2163" i="1" s="1"/>
  <c r="H359" i="1"/>
  <c r="I145" i="1"/>
  <c r="I143" i="1" s="1"/>
  <c r="I115" i="1" s="1"/>
  <c r="I113" i="1" s="1"/>
  <c r="I93" i="1"/>
  <c r="H628" i="1"/>
  <c r="H544" i="1" s="1"/>
  <c r="H60" i="1" s="1"/>
  <c r="H2170" i="1"/>
  <c r="H2168" i="1" s="1"/>
  <c r="H2166" i="1" s="1"/>
  <c r="H2164" i="1" s="1"/>
  <c r="H2162" i="1" s="1"/>
  <c r="C2566" i="1"/>
  <c r="D2697" i="1"/>
  <c r="C2697" i="1" s="1"/>
  <c r="D83" i="1"/>
  <c r="D31" i="1" s="1"/>
  <c r="C236" i="1"/>
  <c r="E2181" i="1"/>
  <c r="E2179" i="1" s="1"/>
  <c r="E2177" i="1" s="1"/>
  <c r="E2175" i="1" s="1"/>
  <c r="D610" i="1"/>
  <c r="D524" i="1" s="1"/>
  <c r="C524" i="1" s="1"/>
  <c r="C774" i="1"/>
  <c r="C2562" i="1"/>
  <c r="H2180" i="1"/>
  <c r="H2178" i="1" s="1"/>
  <c r="H2176" i="1" s="1"/>
  <c r="H2174" i="1" s="1"/>
  <c r="H2287" i="1"/>
  <c r="H2285" i="1" s="1"/>
  <c r="H2283" i="1" s="1"/>
  <c r="H2281" i="1" s="1"/>
  <c r="F2173" i="1"/>
  <c r="F539" i="1" s="1"/>
  <c r="F49" i="1" s="1"/>
  <c r="C2066" i="1"/>
  <c r="D379" i="1"/>
  <c r="D407" i="1"/>
  <c r="D405" i="1" s="1"/>
  <c r="D403" i="1" s="1"/>
  <c r="D401" i="1" s="1"/>
  <c r="H745" i="1"/>
  <c r="H743" i="1" s="1"/>
  <c r="G93" i="1"/>
  <c r="G91" i="1" s="1"/>
  <c r="G89" i="1" s="1"/>
  <c r="G270" i="1"/>
  <c r="G268" i="1" s="1"/>
  <c r="G252" i="1" s="1"/>
  <c r="G250" i="1" s="1"/>
  <c r="F1184" i="1"/>
  <c r="H80" i="1"/>
  <c r="F2635" i="1"/>
  <c r="F2633" i="1" s="1"/>
  <c r="F2631" i="1" s="1"/>
  <c r="F92" i="1"/>
  <c r="H379" i="1"/>
  <c r="H377" i="1" s="1"/>
  <c r="H375" i="1" s="1"/>
  <c r="H373" i="1" s="1"/>
  <c r="H407" i="1"/>
  <c r="H405" i="1" s="1"/>
  <c r="H403" i="1" s="1"/>
  <c r="H401" i="1" s="1"/>
  <c r="G2617" i="1"/>
  <c r="C2727" i="1"/>
  <c r="E233" i="1"/>
  <c r="E231" i="1" s="1"/>
  <c r="E1478" i="1"/>
  <c r="E1476" i="1" s="1"/>
  <c r="E1474" i="1" s="1"/>
  <c r="E1472" i="1" s="1"/>
  <c r="E1607" i="1"/>
  <c r="E1605" i="1" s="1"/>
  <c r="E1603" i="1" s="1"/>
  <c r="E1601" i="1" s="1"/>
  <c r="E627" i="1"/>
  <c r="C2021" i="1"/>
  <c r="C2256" i="1"/>
  <c r="E897" i="1"/>
  <c r="E895" i="1" s="1"/>
  <c r="E893" i="1" s="1"/>
  <c r="E869" i="1" s="1"/>
  <c r="E867" i="1" s="1"/>
  <c r="C645" i="1"/>
  <c r="C623" i="1"/>
  <c r="D870" i="1"/>
  <c r="D2656" i="1" s="1"/>
  <c r="C2656" i="1" s="1"/>
  <c r="D1184" i="1"/>
  <c r="F95" i="1"/>
  <c r="F55" i="1"/>
  <c r="F51" i="1" s="1"/>
  <c r="I2670" i="1"/>
  <c r="I2666" i="1" s="1"/>
  <c r="I1186" i="1"/>
  <c r="I1184" i="1" s="1"/>
  <c r="F1460" i="1"/>
  <c r="D1469" i="1"/>
  <c r="C474" i="1"/>
  <c r="D472" i="1"/>
  <c r="C1488" i="1"/>
  <c r="C395" i="1"/>
  <c r="D538" i="1"/>
  <c r="D48" i="1" s="1"/>
  <c r="H1183" i="1"/>
  <c r="G100" i="1"/>
  <c r="E2061" i="1"/>
  <c r="E2059" i="1" s="1"/>
  <c r="E2053" i="1" s="1"/>
  <c r="E2051" i="1" s="1"/>
  <c r="G2642" i="1"/>
  <c r="G2640" i="1" s="1"/>
  <c r="G2638" i="1" s="1"/>
  <c r="H869" i="1"/>
  <c r="H867" i="1" s="1"/>
  <c r="C2615" i="1"/>
  <c r="C2708" i="1"/>
  <c r="G538" i="1"/>
  <c r="G48" i="1" s="1"/>
  <c r="H2674" i="1"/>
  <c r="H2672" i="1" s="1"/>
  <c r="H2664" i="1" s="1"/>
  <c r="D235" i="1"/>
  <c r="D2696" i="1" s="1"/>
  <c r="F2019" i="1"/>
  <c r="F2017" i="1" s="1"/>
  <c r="F2690" i="1" s="1"/>
  <c r="F2688" i="1" s="1"/>
  <c r="F2678" i="1" s="1"/>
  <c r="C2560" i="1"/>
  <c r="H234" i="1"/>
  <c r="H232" i="1" s="1"/>
  <c r="E1470" i="1"/>
  <c r="E1468" i="1" s="1"/>
  <c r="E1466" i="1" s="1"/>
  <c r="E1462" i="1" s="1"/>
  <c r="E1460" i="1" s="1"/>
  <c r="G2660" i="1"/>
  <c r="C2189" i="1"/>
  <c r="C757" i="1"/>
  <c r="C2723" i="1"/>
  <c r="F2661" i="1"/>
  <c r="F2655" i="1" s="1"/>
  <c r="F2653" i="1" s="1"/>
  <c r="E2180" i="1"/>
  <c r="E2178" i="1" s="1"/>
  <c r="C2549" i="1"/>
  <c r="C366" i="1"/>
  <c r="C897" i="1"/>
  <c r="H635" i="1"/>
  <c r="E58" i="1"/>
  <c r="C1423" i="1"/>
  <c r="D1421" i="1"/>
  <c r="D1419" i="1" s="1"/>
  <c r="D1417" i="1" s="1"/>
  <c r="I1215" i="1"/>
  <c r="I1213" i="1" s="1"/>
  <c r="F35" i="1"/>
  <c r="I380" i="1"/>
  <c r="I378" i="1" s="1"/>
  <c r="I376" i="1" s="1"/>
  <c r="I374" i="1" s="1"/>
  <c r="I360" i="1" s="1"/>
  <c r="I408" i="1"/>
  <c r="I406" i="1" s="1"/>
  <c r="I404" i="1" s="1"/>
  <c r="I402" i="1" s="1"/>
  <c r="C2602" i="1"/>
  <c r="H1460" i="1"/>
  <c r="G2433" i="1"/>
  <c r="G2431" i="1" s="1"/>
  <c r="G2429" i="1" s="1"/>
  <c r="C2564" i="1"/>
  <c r="C191" i="1"/>
  <c r="D1351" i="1"/>
  <c r="E2684" i="1"/>
  <c r="C2684" i="1" s="1"/>
  <c r="E448" i="1"/>
  <c r="D380" i="1"/>
  <c r="D1218" i="1"/>
  <c r="D1216" i="1" s="1"/>
  <c r="D1214" i="1" s="1"/>
  <c r="D1212" i="1" s="1"/>
  <c r="C2582" i="1"/>
  <c r="D2580" i="1"/>
  <c r="C1328" i="1"/>
  <c r="H2434" i="1"/>
  <c r="H2432" i="1" s="1"/>
  <c r="H2430" i="1" s="1"/>
  <c r="H2428" i="1" s="1"/>
  <c r="F93" i="1"/>
  <c r="H2686" i="1"/>
  <c r="H2680" i="1" s="1"/>
  <c r="H2678" i="1" s="1"/>
  <c r="E1469" i="1"/>
  <c r="E1467" i="1" s="1"/>
  <c r="E1465" i="1" s="1"/>
  <c r="E1461" i="1" s="1"/>
  <c r="E1459" i="1" s="1"/>
  <c r="C1835" i="1"/>
  <c r="D629" i="1"/>
  <c r="D545" i="1" s="1"/>
  <c r="C242" i="1"/>
  <c r="F372" i="1"/>
  <c r="F370" i="1" s="1"/>
  <c r="F368" i="1" s="1"/>
  <c r="F362" i="1" s="1"/>
  <c r="F360" i="1" s="1"/>
  <c r="F239" i="1"/>
  <c r="F241" i="1"/>
  <c r="C241" i="1" s="1"/>
  <c r="E191" i="1"/>
  <c r="E189" i="1" s="1"/>
  <c r="E181" i="1" s="1"/>
  <c r="E179" i="1" s="1"/>
  <c r="E108" i="1"/>
  <c r="E106" i="1" s="1"/>
  <c r="E104" i="1" s="1"/>
  <c r="E100" i="1" s="1"/>
  <c r="F1351" i="1"/>
  <c r="I31" i="1"/>
  <c r="F639" i="1"/>
  <c r="F555" i="1" s="1"/>
  <c r="F73" i="1" s="1"/>
  <c r="H2656" i="1"/>
  <c r="H90" i="1"/>
  <c r="H88" i="1" s="1"/>
  <c r="H40" i="1"/>
  <c r="F628" i="1"/>
  <c r="F544" i="1" s="1"/>
  <c r="F60" i="1" s="1"/>
  <c r="C2153" i="1"/>
  <c r="D2151" i="1"/>
  <c r="H868" i="1"/>
  <c r="H866" i="1" s="1"/>
  <c r="G2650" i="1"/>
  <c r="G2648" i="1" s="1"/>
  <c r="G2646" i="1" s="1"/>
  <c r="G850" i="1"/>
  <c r="G848" i="1" s="1"/>
  <c r="H2657" i="1"/>
  <c r="C725" i="1"/>
  <c r="G2649" i="1"/>
  <c r="G2647" i="1" s="1"/>
  <c r="G2645" i="1" s="1"/>
  <c r="E113" i="1"/>
  <c r="G2699" i="1"/>
  <c r="G2695" i="1" s="1"/>
  <c r="G2693" i="1" s="1"/>
  <c r="G234" i="1"/>
  <c r="G232" i="1" s="1"/>
  <c r="C1593" i="1"/>
  <c r="E269" i="1"/>
  <c r="E267" i="1" s="1"/>
  <c r="E251" i="1" s="1"/>
  <c r="E249" i="1" s="1"/>
  <c r="E92" i="1"/>
  <c r="E90" i="1" s="1"/>
  <c r="E88" i="1" s="1"/>
  <c r="E80" i="1" s="1"/>
  <c r="E94" i="1"/>
  <c r="E52" i="1"/>
  <c r="E50" i="1" s="1"/>
  <c r="E2286" i="1"/>
  <c r="E2284" i="1" s="1"/>
  <c r="E2282" i="1" s="1"/>
  <c r="F2660" i="1"/>
  <c r="F2654" i="1" s="1"/>
  <c r="F2652" i="1" s="1"/>
  <c r="E446" i="1"/>
  <c r="F1469" i="1"/>
  <c r="F1467" i="1" s="1"/>
  <c r="F1465" i="1" s="1"/>
  <c r="F1461" i="1" s="1"/>
  <c r="F1459" i="1" s="1"/>
  <c r="G1826" i="1"/>
  <c r="F2268" i="1"/>
  <c r="F2266" i="1" s="1"/>
  <c r="F2170" i="1"/>
  <c r="F2168" i="1" s="1"/>
  <c r="F2166" i="1" s="1"/>
  <c r="F2164" i="1" s="1"/>
  <c r="F2162" i="1" s="1"/>
  <c r="H2685" i="1"/>
  <c r="C1487" i="1"/>
  <c r="E658" i="1"/>
  <c r="E656" i="1" s="1"/>
  <c r="E31" i="1"/>
  <c r="I2181" i="1"/>
  <c r="I2179" i="1" s="1"/>
  <c r="I2177" i="1" s="1"/>
  <c r="I2175" i="1" s="1"/>
  <c r="C2731" i="1"/>
  <c r="F31" i="1"/>
  <c r="G2163" i="1"/>
  <c r="C2728" i="1"/>
  <c r="E629" i="1"/>
  <c r="E545" i="1" s="1"/>
  <c r="E61" i="1" s="1"/>
  <c r="I895" i="1"/>
  <c r="I893" i="1" s="1"/>
  <c r="I869" i="1" s="1"/>
  <c r="I867" i="1" s="1"/>
  <c r="I2163" i="1"/>
  <c r="H385" i="1"/>
  <c r="H383" i="1" s="1"/>
  <c r="C432" i="1"/>
  <c r="C365" i="1"/>
  <c r="G2690" i="1"/>
  <c r="G2688" i="1" s="1"/>
  <c r="C342" i="1"/>
  <c r="F2428" i="1"/>
  <c r="E2167" i="1"/>
  <c r="E2165" i="1" s="1"/>
  <c r="I250" i="1"/>
  <c r="C2065" i="1"/>
  <c r="I1469" i="1"/>
  <c r="I1467" i="1" s="1"/>
  <c r="I1465" i="1" s="1"/>
  <c r="I1461" i="1" s="1"/>
  <c r="C1406" i="1"/>
  <c r="H1186" i="1"/>
  <c r="H1184" i="1" s="1"/>
  <c r="F2286" i="1"/>
  <c r="F2284" i="1" s="1"/>
  <c r="F2282" i="1" s="1"/>
  <c r="I2650" i="1"/>
  <c r="I2648" i="1" s="1"/>
  <c r="I2646" i="1" s="1"/>
  <c r="H619" i="1"/>
  <c r="D539" i="1"/>
  <c r="D49" i="1" s="1"/>
  <c r="E366" i="1"/>
  <c r="E35" i="1" s="1"/>
  <c r="C1486" i="1"/>
  <c r="C1194" i="1"/>
  <c r="I628" i="1"/>
  <c r="I544" i="1" s="1"/>
  <c r="I60" i="1" s="1"/>
  <c r="G868" i="1"/>
  <c r="G866" i="1" s="1"/>
  <c r="E1362" i="1"/>
  <c r="E1360" i="1" s="1"/>
  <c r="C1579" i="1"/>
  <c r="G51" i="1"/>
  <c r="G94" i="1"/>
  <c r="G52" i="1"/>
  <c r="G50" i="1" s="1"/>
  <c r="G525" i="1"/>
  <c r="G1470" i="1"/>
  <c r="G1468" i="1" s="1"/>
  <c r="G1466" i="1" s="1"/>
  <c r="G1462" i="1" s="1"/>
  <c r="H2679" i="1"/>
  <c r="C1157" i="1"/>
  <c r="C147" i="1"/>
  <c r="D145" i="1"/>
  <c r="C790" i="1"/>
  <c r="D2598" i="1"/>
  <c r="C2600" i="1"/>
  <c r="G2686" i="1"/>
  <c r="G2680" i="1" s="1"/>
  <c r="G2678" i="1" s="1"/>
  <c r="E639" i="1"/>
  <c r="C639" i="1" s="1"/>
  <c r="H94" i="1"/>
  <c r="H52" i="1"/>
  <c r="H50" i="1" s="1"/>
  <c r="E112" i="1"/>
  <c r="D234" i="1"/>
  <c r="C2146" i="1"/>
  <c r="E1216" i="1"/>
  <c r="E1214" i="1" s="1"/>
  <c r="H446" i="1"/>
  <c r="F2180" i="1"/>
  <c r="F2178" i="1" s="1"/>
  <c r="F2176" i="1" s="1"/>
  <c r="F2174" i="1" s="1"/>
  <c r="F2563" i="1"/>
  <c r="F2561" i="1" s="1"/>
  <c r="F2559" i="1" s="1"/>
  <c r="F2427" i="1" s="1"/>
  <c r="C1610" i="1"/>
  <c r="I2715" i="1"/>
  <c r="G619" i="1"/>
  <c r="D2245" i="1"/>
  <c r="D2243" i="1" s="1"/>
  <c r="D2241" i="1" s="1"/>
  <c r="F1606" i="1"/>
  <c r="F1604" i="1" s="1"/>
  <c r="F1602" i="1" s="1"/>
  <c r="F1600" i="1" s="1"/>
  <c r="F1477" i="1"/>
  <c r="F1475" i="1" s="1"/>
  <c r="F1473" i="1" s="1"/>
  <c r="F1471" i="1" s="1"/>
  <c r="G95" i="1"/>
  <c r="C2182" i="1"/>
  <c r="E556" i="1"/>
  <c r="D1443" i="1"/>
  <c r="C1443" i="1" s="1"/>
  <c r="C1445" i="1"/>
  <c r="C2247" i="1"/>
  <c r="I2245" i="1"/>
  <c r="I2170" i="1"/>
  <c r="I2168" i="1" s="1"/>
  <c r="I2166" i="1" s="1"/>
  <c r="I2164" i="1" s="1"/>
  <c r="E1421" i="1"/>
  <c r="C1437" i="1"/>
  <c r="E637" i="1"/>
  <c r="E180" i="1"/>
  <c r="D575" i="1"/>
  <c r="C577" i="1"/>
  <c r="D535" i="1"/>
  <c r="G1216" i="1"/>
  <c r="G1214" i="1" s="1"/>
  <c r="G635" i="1"/>
  <c r="D2434" i="1"/>
  <c r="C2436" i="1"/>
  <c r="F624" i="1"/>
  <c r="F542" i="1"/>
  <c r="C1217" i="1"/>
  <c r="E1215" i="1"/>
  <c r="E1213" i="1" s="1"/>
  <c r="D1760" i="1"/>
  <c r="C1762" i="1"/>
  <c r="G536" i="1"/>
  <c r="G46" i="1" s="1"/>
  <c r="G566" i="1"/>
  <c r="G564" i="1" s="1"/>
  <c r="G562" i="1" s="1"/>
  <c r="G560" i="1" s="1"/>
  <c r="C791" i="1"/>
  <c r="E789" i="1"/>
  <c r="C858" i="1"/>
  <c r="E856" i="1"/>
  <c r="I569" i="1"/>
  <c r="I578" i="1"/>
  <c r="D743" i="1"/>
  <c r="C745" i="1"/>
  <c r="F100" i="1"/>
  <c r="I542" i="1"/>
  <c r="H2627" i="1"/>
  <c r="H2625" i="1" s="1"/>
  <c r="H2623" i="1" s="1"/>
  <c r="H718" i="1"/>
  <c r="H716" i="1" s="1"/>
  <c r="G495" i="1"/>
  <c r="C497" i="1"/>
  <c r="D270" i="1"/>
  <c r="C272" i="1"/>
  <c r="D93" i="1"/>
  <c r="F91" i="1"/>
  <c r="F89" i="1" s="1"/>
  <c r="F81" i="1" s="1"/>
  <c r="I2642" i="1"/>
  <c r="I2640" i="1" s="1"/>
  <c r="I2638" i="1" s="1"/>
  <c r="I783" i="1"/>
  <c r="I781" i="1" s="1"/>
  <c r="C31" i="1"/>
  <c r="D2168" i="1"/>
  <c r="G459" i="1"/>
  <c r="G371" i="1"/>
  <c r="C461" i="1"/>
  <c r="C1365" i="1"/>
  <c r="H2173" i="1"/>
  <c r="E2686" i="1"/>
  <c r="C1834" i="1"/>
  <c r="C2581" i="1"/>
  <c r="F2617" i="1"/>
  <c r="F2611" i="1" s="1"/>
  <c r="F2609" i="1" s="1"/>
  <c r="C54" i="1"/>
  <c r="H250" i="1"/>
  <c r="C2226" i="1"/>
  <c r="E2224" i="1"/>
  <c r="C2563" i="1"/>
  <c r="E2561" i="1"/>
  <c r="C2061" i="1"/>
  <c r="D2059" i="1"/>
  <c r="I2656" i="1"/>
  <c r="I102" i="1"/>
  <c r="C102" i="1" s="1"/>
  <c r="I181" i="1"/>
  <c r="I179" i="1" s="1"/>
  <c r="G35" i="1"/>
  <c r="C87" i="1"/>
  <c r="D1592" i="1"/>
  <c r="C1594" i="1"/>
  <c r="F90" i="1"/>
  <c r="F88" i="1" s="1"/>
  <c r="F80" i="1" s="1"/>
  <c r="F78" i="1" s="1"/>
  <c r="F40" i="1"/>
  <c r="C2270" i="1"/>
  <c r="E2268" i="1"/>
  <c r="C2145" i="1"/>
  <c r="E2143" i="1"/>
  <c r="G616" i="1"/>
  <c r="G614" i="1" s="1"/>
  <c r="G608" i="1" s="1"/>
  <c r="G532" i="1"/>
  <c r="D2658" i="1"/>
  <c r="C2658" i="1" s="1"/>
  <c r="D628" i="1"/>
  <c r="C880" i="1"/>
  <c r="F532" i="1"/>
  <c r="G30" i="1"/>
  <c r="E782" i="1"/>
  <c r="E780" i="1" s="1"/>
  <c r="H550" i="1"/>
  <c r="H632" i="1"/>
  <c r="H630" i="1" s="1"/>
  <c r="F543" i="1"/>
  <c r="D590" i="1"/>
  <c r="C592" i="1"/>
  <c r="E32" i="1"/>
  <c r="D2431" i="1"/>
  <c r="C2433" i="1"/>
  <c r="E370" i="1"/>
  <c r="E41" i="1"/>
  <c r="E30" i="1"/>
  <c r="C363" i="1"/>
  <c r="H2167" i="1"/>
  <c r="H2165" i="1" s="1"/>
  <c r="F619" i="1"/>
  <c r="D35" i="1"/>
  <c r="C35" i="1" s="1"/>
  <c r="C2289" i="1"/>
  <c r="C1771" i="1"/>
  <c r="C1196" i="1"/>
  <c r="G2654" i="1"/>
  <c r="G2652" i="1" s="1"/>
  <c r="G2427" i="1"/>
  <c r="G2673" i="1"/>
  <c r="G2671" i="1" s="1"/>
  <c r="G2663" i="1" s="1"/>
  <c r="C240" i="1"/>
  <c r="D2621" i="1"/>
  <c r="D155" i="1"/>
  <c r="C157" i="1"/>
  <c r="C155" i="1" s="1"/>
  <c r="D97" i="1"/>
  <c r="D1482" i="1"/>
  <c r="C1484" i="1"/>
  <c r="D1483" i="1"/>
  <c r="C1485" i="1"/>
  <c r="C2599" i="1"/>
  <c r="E2597" i="1"/>
  <c r="I1478" i="1"/>
  <c r="I1476" i="1" s="1"/>
  <c r="I1474" i="1" s="1"/>
  <c r="I1472" i="1" s="1"/>
  <c r="I1460" i="1" s="1"/>
  <c r="I2019" i="1"/>
  <c r="I2017" i="1" s="1"/>
  <c r="G377" i="1"/>
  <c r="G375" i="1" s="1"/>
  <c r="G373" i="1" s="1"/>
  <c r="G66" i="1"/>
  <c r="H408" i="1"/>
  <c r="C410" i="1"/>
  <c r="H380" i="1"/>
  <c r="C2152" i="1"/>
  <c r="E2150" i="1"/>
  <c r="D232" i="1"/>
  <c r="C232" i="1" s="1"/>
  <c r="C234" i="1"/>
  <c r="F2669" i="1"/>
  <c r="F2665" i="1" s="1"/>
  <c r="F1185" i="1"/>
  <c r="D2185" i="1"/>
  <c r="C2185" i="1" s="1"/>
  <c r="C2187" i="1"/>
  <c r="C2404" i="1"/>
  <c r="E2402" i="1"/>
  <c r="E66" i="1"/>
  <c r="E377" i="1"/>
  <c r="F2710" i="1"/>
  <c r="F2704" i="1" s="1"/>
  <c r="F2702" i="1" s="1"/>
  <c r="F2714" i="1"/>
  <c r="F251" i="1"/>
  <c r="F249" i="1" s="1"/>
  <c r="D2612" i="1"/>
  <c r="C116" i="1"/>
  <c r="D848" i="1"/>
  <c r="H566" i="1"/>
  <c r="H564" i="1" s="1"/>
  <c r="H562" i="1" s="1"/>
  <c r="H560" i="1" s="1"/>
  <c r="D572" i="1"/>
  <c r="D566" i="1"/>
  <c r="D564" i="1" s="1"/>
  <c r="D562" i="1" s="1"/>
  <c r="D536" i="1"/>
  <c r="E60" i="1"/>
  <c r="E483" i="1"/>
  <c r="E95" i="1"/>
  <c r="E53" i="1"/>
  <c r="E51" i="1" s="1"/>
  <c r="I80" i="1"/>
  <c r="I30" i="1"/>
  <c r="G2714" i="1"/>
  <c r="F1215" i="1"/>
  <c r="F1213" i="1" s="1"/>
  <c r="F622" i="1"/>
  <c r="D2171" i="1"/>
  <c r="D1470" i="1"/>
  <c r="D537" i="1" s="1"/>
  <c r="C2245" i="1"/>
  <c r="C1773" i="1"/>
  <c r="C2435" i="1"/>
  <c r="I621" i="1"/>
  <c r="I535" i="1" s="1"/>
  <c r="I45" i="1" s="1"/>
  <c r="E1361" i="1"/>
  <c r="F783" i="1"/>
  <c r="F781" i="1" s="1"/>
  <c r="E107" i="1"/>
  <c r="I566" i="1"/>
  <c r="I564" i="1" s="1"/>
  <c r="I562" i="1" s="1"/>
  <c r="I560" i="1" s="1"/>
  <c r="G2613" i="1"/>
  <c r="G85" i="1"/>
  <c r="G115" i="1"/>
  <c r="G113" i="1" s="1"/>
  <c r="D893" i="1"/>
  <c r="C496" i="1"/>
  <c r="E494" i="1"/>
  <c r="I2620" i="1"/>
  <c r="I2618" i="1" s="1"/>
  <c r="I154" i="1"/>
  <c r="I96" i="1"/>
  <c r="H543" i="1"/>
  <c r="H59" i="1" s="1"/>
  <c r="E81" i="1"/>
  <c r="G537" i="1"/>
  <c r="G47" i="1" s="1"/>
  <c r="G567" i="1"/>
  <c r="G565" i="1" s="1"/>
  <c r="G563" i="1" s="1"/>
  <c r="G561" i="1" s="1"/>
  <c r="D894" i="1"/>
  <c r="C896" i="1"/>
  <c r="D2018" i="1"/>
  <c r="C1577" i="1"/>
  <c r="F1575" i="1"/>
  <c r="F2642" i="1" s="1"/>
  <c r="F2640" i="1" s="1"/>
  <c r="F2638" i="1" s="1"/>
  <c r="C1463" i="1"/>
  <c r="H1461" i="1"/>
  <c r="H1459" i="1" s="1"/>
  <c r="H524" i="1"/>
  <c r="H32" i="1" s="1"/>
  <c r="G543" i="1"/>
  <c r="C722" i="1"/>
  <c r="D720" i="1"/>
  <c r="E2627" i="1"/>
  <c r="E2625" i="1" s="1"/>
  <c r="E2623" i="1" s="1"/>
  <c r="E718" i="1"/>
  <c r="E716" i="1" s="1"/>
  <c r="E405" i="1"/>
  <c r="D2620" i="1"/>
  <c r="D96" i="1"/>
  <c r="D154" i="1"/>
  <c r="C156" i="1"/>
  <c r="C154" i="1" s="1"/>
  <c r="D1557" i="1"/>
  <c r="C1559" i="1"/>
  <c r="D1215" i="1"/>
  <c r="C1327" i="1"/>
  <c r="C439" i="1"/>
  <c r="E437" i="1"/>
  <c r="D144" i="1"/>
  <c r="C146" i="1"/>
  <c r="H66" i="1"/>
  <c r="H106" i="1"/>
  <c r="H104" i="1" s="1"/>
  <c r="H100" i="1" s="1"/>
  <c r="C2369" i="1"/>
  <c r="E2634" i="1"/>
  <c r="E2632" i="1" s="1"/>
  <c r="E2630" i="1" s="1"/>
  <c r="D2060" i="1"/>
  <c r="C2062" i="1"/>
  <c r="F537" i="1"/>
  <c r="F47" i="1" s="1"/>
  <c r="F567" i="1"/>
  <c r="F565" i="1" s="1"/>
  <c r="F563" i="1" s="1"/>
  <c r="F561" i="1" s="1"/>
  <c r="C1424" i="1"/>
  <c r="E1422" i="1"/>
  <c r="E2241" i="1"/>
  <c r="E1186" i="1"/>
  <c r="E2668" i="1"/>
  <c r="E611" i="1"/>
  <c r="C2370" i="1"/>
  <c r="D2183" i="1"/>
  <c r="D2225" i="1"/>
  <c r="C2227" i="1"/>
  <c r="D1757" i="1"/>
  <c r="C1759" i="1"/>
  <c r="H2641" i="1"/>
  <c r="H2639" i="1" s="1"/>
  <c r="H2637" i="1" s="1"/>
  <c r="H782" i="1"/>
  <c r="H780" i="1" s="1"/>
  <c r="H101" i="1"/>
  <c r="D550" i="1"/>
  <c r="D632" i="1"/>
  <c r="G542" i="1"/>
  <c r="F2627" i="1"/>
  <c r="F2625" i="1" s="1"/>
  <c r="F2623" i="1" s="1"/>
  <c r="F718" i="1"/>
  <c r="F716" i="1" s="1"/>
  <c r="G2627" i="1"/>
  <c r="G2625" i="1" s="1"/>
  <c r="G2623" i="1" s="1"/>
  <c r="G718" i="1"/>
  <c r="G716" i="1" s="1"/>
  <c r="G67" i="1"/>
  <c r="G107" i="1"/>
  <c r="G105" i="1" s="1"/>
  <c r="D641" i="1"/>
  <c r="E543" i="1"/>
  <c r="D213" i="1"/>
  <c r="D85" i="1" s="1"/>
  <c r="C215" i="1"/>
  <c r="E567" i="1"/>
  <c r="E565" i="1" s="1"/>
  <c r="E563" i="1" s="1"/>
  <c r="E561" i="1" s="1"/>
  <c r="E2628" i="1"/>
  <c r="E2626" i="1" s="1"/>
  <c r="E2624" i="1" s="1"/>
  <c r="E719" i="1"/>
  <c r="E717" i="1" s="1"/>
  <c r="H181" i="1"/>
  <c r="H179" i="1" s="1"/>
  <c r="C341" i="1"/>
  <c r="E2285" i="1"/>
  <c r="E2283" i="1" s="1"/>
  <c r="E2281" i="1" s="1"/>
  <c r="E896" i="1"/>
  <c r="C1578" i="1"/>
  <c r="E1576" i="1"/>
  <c r="D2613" i="1"/>
  <c r="C117" i="1"/>
  <c r="I40" i="1"/>
  <c r="I369" i="1"/>
  <c r="I367" i="1" s="1"/>
  <c r="C189" i="1"/>
  <c r="G80" i="1"/>
  <c r="G78" i="1" s="1"/>
  <c r="G32" i="1"/>
  <c r="I59" i="1"/>
  <c r="F550" i="1"/>
  <c r="F632" i="1"/>
  <c r="F630" i="1" s="1"/>
  <c r="G550" i="1"/>
  <c r="G632" i="1"/>
  <c r="G630" i="1" s="1"/>
  <c r="G624" i="1" s="1"/>
  <c r="G1607" i="1"/>
  <c r="G1605" i="1" s="1"/>
  <c r="G1603" i="1" s="1"/>
  <c r="G1601" i="1" s="1"/>
  <c r="G1478" i="1"/>
  <c r="I2612" i="1"/>
  <c r="I2610" i="1" s="1"/>
  <c r="I2608" i="1" s="1"/>
  <c r="I114" i="1"/>
  <c r="I112" i="1" s="1"/>
  <c r="I84" i="1"/>
  <c r="I32" i="1" s="1"/>
  <c r="C475" i="1"/>
  <c r="F473" i="1"/>
  <c r="H35" i="1"/>
  <c r="H362" i="1"/>
  <c r="D212" i="1"/>
  <c r="C214" i="1"/>
  <c r="H91" i="1"/>
  <c r="H89" i="1" s="1"/>
  <c r="H81" i="1" s="1"/>
  <c r="H41" i="1"/>
  <c r="F2685" i="1"/>
  <c r="I447" i="1"/>
  <c r="I445" i="1" s="1"/>
  <c r="D181" i="1"/>
  <c r="D638" i="1"/>
  <c r="I2649" i="1"/>
  <c r="I2647" i="1" s="1"/>
  <c r="I2645" i="1" s="1"/>
  <c r="E2715" i="1"/>
  <c r="C2022" i="1"/>
  <c r="I2020" i="1"/>
  <c r="C2020" i="1" s="1"/>
  <c r="C2017" i="1"/>
  <c r="F2015" i="1"/>
  <c r="H2288" i="1"/>
  <c r="H2286" i="1" s="1"/>
  <c r="H2284" i="1" s="1"/>
  <c r="H2282" i="1" s="1"/>
  <c r="H2181" i="1"/>
  <c r="H2179" i="1" s="1"/>
  <c r="H2177" i="1" s="1"/>
  <c r="H2175" i="1" s="1"/>
  <c r="I2628" i="1"/>
  <c r="I2626" i="1" s="1"/>
  <c r="I2624" i="1" s="1"/>
  <c r="I719" i="1"/>
  <c r="I717" i="1" s="1"/>
  <c r="I34" i="1"/>
  <c r="I361" i="1"/>
  <c r="I359" i="1" s="1"/>
  <c r="I616" i="1"/>
  <c r="I614" i="1" s="1"/>
  <c r="I608" i="1" s="1"/>
  <c r="I532" i="1"/>
  <c r="I2635" i="1"/>
  <c r="I2633" i="1" s="1"/>
  <c r="I2631" i="1" s="1"/>
  <c r="I742" i="1"/>
  <c r="I740" i="1" s="1"/>
  <c r="D591" i="1"/>
  <c r="C593" i="1"/>
  <c r="F2674" i="1"/>
  <c r="F2672" i="1" s="1"/>
  <c r="F2664" i="1" s="1"/>
  <c r="F431" i="1"/>
  <c r="F429" i="1" s="1"/>
  <c r="D1193" i="1"/>
  <c r="C1195" i="1"/>
  <c r="F719" i="1"/>
  <c r="F717" i="1" s="1"/>
  <c r="F2628" i="1"/>
  <c r="F2626" i="1" s="1"/>
  <c r="F2624" i="1" s="1"/>
  <c r="G2710" i="1"/>
  <c r="G2704" i="1" s="1"/>
  <c r="G2702" i="1" s="1"/>
  <c r="H618" i="1"/>
  <c r="H2677" i="1"/>
  <c r="C183" i="1"/>
  <c r="F552" i="1"/>
  <c r="C636" i="1"/>
  <c r="C2579" i="1"/>
  <c r="E2577" i="1"/>
  <c r="C2172" i="1"/>
  <c r="E538" i="1"/>
  <c r="E657" i="1"/>
  <c r="C1450" i="1"/>
  <c r="E1448" i="1"/>
  <c r="D567" i="1"/>
  <c r="D565" i="1" s="1"/>
  <c r="D563" i="1" s="1"/>
  <c r="D2288" i="1"/>
  <c r="C2290" i="1"/>
  <c r="D2181" i="1"/>
  <c r="I551" i="1"/>
  <c r="I633" i="1"/>
  <c r="I631" i="1" s="1"/>
  <c r="I625" i="1" s="1"/>
  <c r="D2642" i="1"/>
  <c r="D783" i="1"/>
  <c r="C458" i="1"/>
  <c r="D448" i="1"/>
  <c r="H2634" i="1"/>
  <c r="H2632" i="1" s="1"/>
  <c r="H2630" i="1" s="1"/>
  <c r="H741" i="1"/>
  <c r="H739" i="1" s="1"/>
  <c r="I2634" i="1"/>
  <c r="I2632" i="1" s="1"/>
  <c r="I2630" i="1" s="1"/>
  <c r="I741" i="1"/>
  <c r="I739" i="1" s="1"/>
  <c r="D100" i="1"/>
  <c r="E2635" i="1"/>
  <c r="E2633" i="1" s="1"/>
  <c r="E2631" i="1" s="1"/>
  <c r="E742" i="1"/>
  <c r="E740" i="1" s="1"/>
  <c r="G2659" i="1"/>
  <c r="C2659" i="1" s="1"/>
  <c r="G629" i="1"/>
  <c r="G545" i="1" s="1"/>
  <c r="G61" i="1" s="1"/>
  <c r="C881" i="1"/>
  <c r="G533" i="1"/>
  <c r="G617" i="1"/>
  <c r="G615" i="1" s="1"/>
  <c r="G609" i="1" s="1"/>
  <c r="F378" i="1"/>
  <c r="F376" i="1" s="1"/>
  <c r="F374" i="1" s="1"/>
  <c r="F67" i="1"/>
  <c r="F633" i="1"/>
  <c r="F631" i="1" s="1"/>
  <c r="F625" i="1" s="1"/>
  <c r="F551" i="1"/>
  <c r="E445" i="1"/>
  <c r="C1313" i="1"/>
  <c r="F2679" i="1"/>
  <c r="C1767" i="1"/>
  <c r="E250" i="1"/>
  <c r="G2670" i="1"/>
  <c r="G2666" i="1" s="1"/>
  <c r="G1186" i="1"/>
  <c r="C2144" i="1"/>
  <c r="F2142" i="1"/>
  <c r="F2634" i="1"/>
  <c r="F2632" i="1" s="1"/>
  <c r="F2630" i="1" s="1"/>
  <c r="F741" i="1"/>
  <c r="F739" i="1" s="1"/>
  <c r="G2635" i="1"/>
  <c r="G2633" i="1" s="1"/>
  <c r="G2631" i="1" s="1"/>
  <c r="G742" i="1"/>
  <c r="G740" i="1" s="1"/>
  <c r="G467" i="1"/>
  <c r="G2689" i="1"/>
  <c r="G2687" i="1" s="1"/>
  <c r="G2657" i="1"/>
  <c r="G182" i="1"/>
  <c r="G180" i="1" s="1"/>
  <c r="G103" i="1"/>
  <c r="C1769" i="1"/>
  <c r="E566" i="1"/>
  <c r="E564" i="1" s="1"/>
  <c r="E562" i="1" s="1"/>
  <c r="E560" i="1" s="1"/>
  <c r="C689" i="1"/>
  <c r="E622" i="1"/>
  <c r="D871" i="1"/>
  <c r="C873" i="1"/>
  <c r="C1562" i="1"/>
  <c r="H1560" i="1"/>
  <c r="H2635" i="1" s="1"/>
  <c r="H2633" i="1" s="1"/>
  <c r="H2631" i="1" s="1"/>
  <c r="D1362" i="1"/>
  <c r="C1364" i="1"/>
  <c r="C1218" i="1"/>
  <c r="I1363" i="1"/>
  <c r="I1361" i="1" s="1"/>
  <c r="I550" i="1"/>
  <c r="I632" i="1"/>
  <c r="I630" i="1" s="1"/>
  <c r="I624" i="1" s="1"/>
  <c r="H567" i="1"/>
  <c r="H565" i="1" s="1"/>
  <c r="H563" i="1" s="1"/>
  <c r="H561" i="1" s="1"/>
  <c r="H537" i="1"/>
  <c r="H47" i="1" s="1"/>
  <c r="D2267" i="1"/>
  <c r="C2269" i="1"/>
  <c r="I2287" i="1"/>
  <c r="I2285" i="1" s="1"/>
  <c r="I2180" i="1"/>
  <c r="I2178" i="1" s="1"/>
  <c r="I2176" i="1" s="1"/>
  <c r="I2174" i="1" s="1"/>
  <c r="D1607" i="1"/>
  <c r="C1609" i="1"/>
  <c r="D1478" i="1"/>
  <c r="D2244" i="1"/>
  <c r="C2246" i="1"/>
  <c r="C612" i="1"/>
  <c r="D526" i="1"/>
  <c r="D533" i="1"/>
  <c r="D617" i="1"/>
  <c r="D1829" i="1"/>
  <c r="C1831" i="1"/>
  <c r="H617" i="1"/>
  <c r="H615" i="1" s="1"/>
  <c r="H609" i="1" s="1"/>
  <c r="H533" i="1"/>
  <c r="F30" i="1"/>
  <c r="D1772" i="1"/>
  <c r="C1774" i="1"/>
  <c r="D2283" i="1"/>
  <c r="D1830" i="1"/>
  <c r="C1832" i="1"/>
  <c r="D2401" i="1"/>
  <c r="C2403" i="1"/>
  <c r="C1386" i="1"/>
  <c r="D620" i="1"/>
  <c r="D1467" i="1"/>
  <c r="D618" i="1"/>
  <c r="D786" i="1"/>
  <c r="C788" i="1"/>
  <c r="I377" i="1"/>
  <c r="I375" i="1" s="1"/>
  <c r="I373" i="1" s="1"/>
  <c r="I66" i="1"/>
  <c r="H95" i="1"/>
  <c r="H53" i="1"/>
  <c r="H51" i="1" s="1"/>
  <c r="C394" i="1"/>
  <c r="E392" i="1"/>
  <c r="H542" i="1"/>
  <c r="C857" i="1"/>
  <c r="E855" i="1"/>
  <c r="E618" i="1" s="1"/>
  <c r="C279" i="1"/>
  <c r="D271" i="1"/>
  <c r="D92" i="1" s="1"/>
  <c r="F252" i="1"/>
  <c r="F250" i="1" s="1"/>
  <c r="D851" i="1"/>
  <c r="C430" i="1"/>
  <c r="E428" i="1"/>
  <c r="C428" i="1" s="1"/>
  <c r="D744" i="1"/>
  <c r="C746" i="1"/>
  <c r="D721" i="1"/>
  <c r="C723" i="1"/>
  <c r="H742" i="1"/>
  <c r="H740" i="1" s="1"/>
  <c r="D480" i="1"/>
  <c r="F2616" i="1"/>
  <c r="F2610" i="1" s="1"/>
  <c r="F2608" i="1" s="1"/>
  <c r="F114" i="1"/>
  <c r="F112" i="1" s="1"/>
  <c r="I109" i="1"/>
  <c r="C109" i="1" s="1"/>
  <c r="I192" i="1"/>
  <c r="I190" i="1" s="1"/>
  <c r="E2166" i="1"/>
  <c r="E2164" i="1" s="1"/>
  <c r="G1477" i="1"/>
  <c r="C2254" i="1"/>
  <c r="I249" i="1"/>
  <c r="C2188" i="1"/>
  <c r="H2617" i="1"/>
  <c r="H2611" i="1" s="1"/>
  <c r="H2609" i="1" s="1"/>
  <c r="C1833" i="1"/>
  <c r="C98" i="1"/>
  <c r="H554" i="1"/>
  <c r="H72" i="1" s="1"/>
  <c r="H2642" i="1"/>
  <c r="H2640" i="1" s="1"/>
  <c r="H2638" i="1" s="1"/>
  <c r="C108" i="1"/>
  <c r="I619" i="1"/>
  <c r="D644" i="1"/>
  <c r="E78" i="1" l="1"/>
  <c r="I41" i="1"/>
  <c r="I91" i="1"/>
  <c r="I89" i="1" s="1"/>
  <c r="I81" i="1" s="1"/>
  <c r="D2578" i="1"/>
  <c r="C2580" i="1"/>
  <c r="D626" i="1"/>
  <c r="D1606" i="1"/>
  <c r="C1608" i="1"/>
  <c r="F2698" i="1"/>
  <c r="F233" i="1"/>
  <c r="F231" i="1" s="1"/>
  <c r="F79" i="1"/>
  <c r="D378" i="1"/>
  <c r="D376" i="1" s="1"/>
  <c r="D374" i="1" s="1"/>
  <c r="D360" i="1" s="1"/>
  <c r="D67" i="1"/>
  <c r="E1352" i="1"/>
  <c r="E2685" i="1"/>
  <c r="E2679" i="1" s="1"/>
  <c r="H2163" i="1"/>
  <c r="E2680" i="1"/>
  <c r="C83" i="1"/>
  <c r="C658" i="1"/>
  <c r="H78" i="1"/>
  <c r="C2598" i="1"/>
  <c r="D2596" i="1"/>
  <c r="C629" i="1"/>
  <c r="E644" i="1"/>
  <c r="E642" i="1" s="1"/>
  <c r="E2617" i="1"/>
  <c r="E2611" i="1" s="1"/>
  <c r="E2609" i="1" s="1"/>
  <c r="F41" i="1"/>
  <c r="C145" i="1"/>
  <c r="D143" i="1"/>
  <c r="G2611" i="1"/>
  <c r="G2609" i="1" s="1"/>
  <c r="E635" i="1"/>
  <c r="E633" i="1" s="1"/>
  <c r="E631" i="1" s="1"/>
  <c r="E625" i="1" s="1"/>
  <c r="F2711" i="1"/>
  <c r="F2705" i="1" s="1"/>
  <c r="F2703" i="1" s="1"/>
  <c r="C55" i="1"/>
  <c r="D2695" i="1"/>
  <c r="C656" i="1"/>
  <c r="I1211" i="1"/>
  <c r="I1183" i="1" s="1"/>
  <c r="I2673" i="1"/>
  <c r="I2671" i="1" s="1"/>
  <c r="I2663" i="1" s="1"/>
  <c r="D470" i="1"/>
  <c r="C472" i="1"/>
  <c r="D377" i="1"/>
  <c r="D375" i="1" s="1"/>
  <c r="D373" i="1" s="1"/>
  <c r="D359" i="1" s="1"/>
  <c r="D66" i="1"/>
  <c r="D635" i="1"/>
  <c r="C610" i="1"/>
  <c r="D1477" i="1"/>
  <c r="D1475" i="1" s="1"/>
  <c r="D1473" i="1" s="1"/>
  <c r="C239" i="1"/>
  <c r="C895" i="1"/>
  <c r="C407" i="1"/>
  <c r="F536" i="1"/>
  <c r="F46" i="1" s="1"/>
  <c r="C1469" i="1"/>
  <c r="I53" i="1"/>
  <c r="I51" i="1" s="1"/>
  <c r="I95" i="1"/>
  <c r="H607" i="1"/>
  <c r="F2715" i="1"/>
  <c r="C2019" i="1"/>
  <c r="C2699" i="1"/>
  <c r="H2660" i="1"/>
  <c r="H2654" i="1" s="1"/>
  <c r="H2652" i="1" s="1"/>
  <c r="C235" i="1"/>
  <c r="D233" i="1"/>
  <c r="C385" i="1"/>
  <c r="C383" i="1" s="1"/>
  <c r="F2264" i="1"/>
  <c r="F2262" i="1" s="1"/>
  <c r="F2649" i="1"/>
  <c r="F2647" i="1" s="1"/>
  <c r="F2645" i="1" s="1"/>
  <c r="E2163" i="1"/>
  <c r="E555" i="1"/>
  <c r="E73" i="1" s="1"/>
  <c r="I2162" i="1"/>
  <c r="D82" i="1"/>
  <c r="C82" i="1" s="1"/>
  <c r="H624" i="1"/>
  <c r="E2661" i="1"/>
  <c r="E2655" i="1" s="1"/>
  <c r="E2653" i="1" s="1"/>
  <c r="F554" i="1"/>
  <c r="F72" i="1" s="1"/>
  <c r="E554" i="1"/>
  <c r="E72" i="1" s="1"/>
  <c r="C870" i="1"/>
  <c r="H536" i="1"/>
  <c r="H46" i="1" s="1"/>
  <c r="C622" i="1"/>
  <c r="D2149" i="1"/>
  <c r="C2149" i="1" s="1"/>
  <c r="C2151" i="1"/>
  <c r="C1216" i="1"/>
  <c r="F616" i="1"/>
  <c r="F614" i="1" s="1"/>
  <c r="F608" i="1" s="1"/>
  <c r="F606" i="1" s="1"/>
  <c r="E537" i="1"/>
  <c r="E47" i="1" s="1"/>
  <c r="H551" i="1"/>
  <c r="H69" i="1" s="1"/>
  <c r="H633" i="1"/>
  <c r="H631" i="1" s="1"/>
  <c r="H625" i="1" s="1"/>
  <c r="I2664" i="1"/>
  <c r="D90" i="1"/>
  <c r="D40" i="1"/>
  <c r="C92" i="1"/>
  <c r="D47" i="1"/>
  <c r="E616" i="1"/>
  <c r="E614" i="1" s="1"/>
  <c r="E608" i="1" s="1"/>
  <c r="E532" i="1"/>
  <c r="I2283" i="1"/>
  <c r="I2281" i="1" s="1"/>
  <c r="I2660" i="1"/>
  <c r="D561" i="1"/>
  <c r="D33" i="1"/>
  <c r="C85" i="1"/>
  <c r="D1755" i="1"/>
  <c r="C1757" i="1"/>
  <c r="C1422" i="1"/>
  <c r="E1420" i="1"/>
  <c r="D1213" i="1"/>
  <c r="C1215" i="1"/>
  <c r="D892" i="1"/>
  <c r="D2693" i="1"/>
  <c r="C2693" i="1" s="1"/>
  <c r="C2695" i="1"/>
  <c r="C2597" i="1"/>
  <c r="E2595" i="1"/>
  <c r="C2595" i="1" s="1"/>
  <c r="C590" i="1"/>
  <c r="D588" i="1"/>
  <c r="C628" i="1"/>
  <c r="D544" i="1"/>
  <c r="D2432" i="1"/>
  <c r="C2434" i="1"/>
  <c r="D1360" i="1"/>
  <c r="D2685" i="1" s="1"/>
  <c r="C1362" i="1"/>
  <c r="D2286" i="1"/>
  <c r="C2288" i="1"/>
  <c r="F70" i="1"/>
  <c r="C70" i="1" s="1"/>
  <c r="C552" i="1"/>
  <c r="D2627" i="1"/>
  <c r="D718" i="1"/>
  <c r="C720" i="1"/>
  <c r="E375" i="1"/>
  <c r="F533" i="1"/>
  <c r="F617" i="1"/>
  <c r="F615" i="1" s="1"/>
  <c r="F609" i="1" s="1"/>
  <c r="F607" i="1" s="1"/>
  <c r="D1590" i="1"/>
  <c r="C1592" i="1"/>
  <c r="E1419" i="1"/>
  <c r="C1421" i="1"/>
  <c r="I555" i="1"/>
  <c r="I73" i="1" s="1"/>
  <c r="D2649" i="1"/>
  <c r="D849" i="1"/>
  <c r="G531" i="1"/>
  <c r="G529" i="1" s="1"/>
  <c r="G523" i="1" s="1"/>
  <c r="G43" i="1"/>
  <c r="E2176" i="1"/>
  <c r="C2178" i="1"/>
  <c r="C1186" i="1"/>
  <c r="D2016" i="1"/>
  <c r="C2224" i="1"/>
  <c r="E2222" i="1"/>
  <c r="C2222" i="1" s="1"/>
  <c r="C637" i="1"/>
  <c r="E553" i="1"/>
  <c r="E384" i="1"/>
  <c r="C392" i="1"/>
  <c r="D1476" i="1"/>
  <c r="C1478" i="1"/>
  <c r="I69" i="1"/>
  <c r="I549" i="1"/>
  <c r="I547" i="1" s="1"/>
  <c r="I541" i="1" s="1"/>
  <c r="C2577" i="1"/>
  <c r="E2575" i="1"/>
  <c r="C2575" i="1" s="1"/>
  <c r="E2666" i="1"/>
  <c r="C2668" i="1"/>
  <c r="C144" i="1"/>
  <c r="D142" i="1"/>
  <c r="D2429" i="1"/>
  <c r="C2431" i="1"/>
  <c r="D2166" i="1"/>
  <c r="C2168" i="1"/>
  <c r="C270" i="1"/>
  <c r="D268" i="1"/>
  <c r="I567" i="1"/>
  <c r="I565" i="1" s="1"/>
  <c r="I563" i="1" s="1"/>
  <c r="I561" i="1" s="1"/>
  <c r="I537" i="1"/>
  <c r="I47" i="1" s="1"/>
  <c r="C2180" i="1"/>
  <c r="H79" i="1"/>
  <c r="C192" i="1"/>
  <c r="G1476" i="1"/>
  <c r="G1474" i="1" s="1"/>
  <c r="G1472" i="1" s="1"/>
  <c r="G1460" i="1" s="1"/>
  <c r="G555" i="1"/>
  <c r="G73" i="1" s="1"/>
  <c r="D542" i="1"/>
  <c r="C626" i="1"/>
  <c r="G59" i="1"/>
  <c r="G101" i="1"/>
  <c r="C103" i="1"/>
  <c r="D2179" i="1"/>
  <c r="C2181" i="1"/>
  <c r="C437" i="1"/>
  <c r="E435" i="1"/>
  <c r="E380" i="1"/>
  <c r="C856" i="1"/>
  <c r="E854" i="1"/>
  <c r="D642" i="1"/>
  <c r="D2242" i="1"/>
  <c r="C2242" i="1" s="1"/>
  <c r="C2244" i="1"/>
  <c r="I1353" i="1"/>
  <c r="I1351" i="1" s="1"/>
  <c r="I2686" i="1"/>
  <c r="I2680" i="1" s="1"/>
  <c r="I2678" i="1" s="1"/>
  <c r="E525" i="1"/>
  <c r="C611" i="1"/>
  <c r="C405" i="1"/>
  <c r="E403" i="1"/>
  <c r="I52" i="1"/>
  <c r="I50" i="1" s="1"/>
  <c r="I94" i="1"/>
  <c r="E105" i="1"/>
  <c r="I2015" i="1"/>
  <c r="I1827" i="1" s="1"/>
  <c r="I2690" i="1"/>
  <c r="I2688" i="1" s="1"/>
  <c r="E2559" i="1"/>
  <c r="C2561" i="1"/>
  <c r="I576" i="1"/>
  <c r="C578" i="1"/>
  <c r="E1211" i="1"/>
  <c r="E1183" i="1" s="1"/>
  <c r="I606" i="1"/>
  <c r="H555" i="1"/>
  <c r="C2170" i="1"/>
  <c r="D2399" i="1"/>
  <c r="C2401" i="1"/>
  <c r="H531" i="1"/>
  <c r="H43" i="1"/>
  <c r="H39" i="1" s="1"/>
  <c r="D2669" i="1"/>
  <c r="C1193" i="1"/>
  <c r="D1185" i="1"/>
  <c r="D2619" i="1"/>
  <c r="C2619" i="1" s="1"/>
  <c r="C2621" i="1"/>
  <c r="C620" i="1"/>
  <c r="D534" i="1"/>
  <c r="D2635" i="1"/>
  <c r="D742" i="1"/>
  <c r="C744" i="1"/>
  <c r="H58" i="1"/>
  <c r="D1465" i="1"/>
  <c r="C1467" i="1"/>
  <c r="D1770" i="1"/>
  <c r="C1772" i="1"/>
  <c r="I68" i="1"/>
  <c r="F2140" i="1"/>
  <c r="C2140" i="1" s="1"/>
  <c r="C2142" i="1"/>
  <c r="D2640" i="1"/>
  <c r="E48" i="1"/>
  <c r="C48" i="1" s="1"/>
  <c r="C538" i="1"/>
  <c r="I42" i="1"/>
  <c r="I38" i="1" s="1"/>
  <c r="I36" i="1" s="1"/>
  <c r="I28" i="1" s="1"/>
  <c r="I530" i="1"/>
  <c r="I528" i="1" s="1"/>
  <c r="I522" i="1" s="1"/>
  <c r="I2018" i="1"/>
  <c r="I2016" i="1" s="1"/>
  <c r="I1477" i="1"/>
  <c r="C2696" i="1"/>
  <c r="D2694" i="1"/>
  <c r="E894" i="1"/>
  <c r="E892" i="1" s="1"/>
  <c r="E634" i="1"/>
  <c r="D2618" i="1"/>
  <c r="C2618" i="1" s="1"/>
  <c r="C2620" i="1"/>
  <c r="F1573" i="1"/>
  <c r="C1575" i="1"/>
  <c r="D53" i="1"/>
  <c r="D95" i="1"/>
  <c r="C97" i="1"/>
  <c r="C95" i="1" s="1"/>
  <c r="C2268" i="1"/>
  <c r="E2266" i="1"/>
  <c r="G457" i="1"/>
  <c r="C459" i="1"/>
  <c r="D91" i="1"/>
  <c r="D41" i="1"/>
  <c r="C93" i="1"/>
  <c r="D2634" i="1"/>
  <c r="D741" i="1"/>
  <c r="C743" i="1"/>
  <c r="D1758" i="1"/>
  <c r="C1760" i="1"/>
  <c r="D573" i="1"/>
  <c r="C575" i="1"/>
  <c r="E536" i="1"/>
  <c r="E46" i="1" s="1"/>
  <c r="I536" i="1"/>
  <c r="I46" i="1" s="1"/>
  <c r="D2681" i="1"/>
  <c r="C212" i="1"/>
  <c r="D210" i="1"/>
  <c r="F42" i="1"/>
  <c r="F540" i="1"/>
  <c r="F58" i="1"/>
  <c r="I107" i="1"/>
  <c r="I105" i="1" s="1"/>
  <c r="I101" i="1" s="1"/>
  <c r="I67" i="1"/>
  <c r="F549" i="1"/>
  <c r="F547" i="1" s="1"/>
  <c r="F541" i="1" s="1"/>
  <c r="F69" i="1"/>
  <c r="F65" i="1" s="1"/>
  <c r="F63" i="1" s="1"/>
  <c r="D781" i="1"/>
  <c r="C233" i="1"/>
  <c r="D231" i="1"/>
  <c r="C231" i="1" s="1"/>
  <c r="D68" i="1"/>
  <c r="C2183" i="1"/>
  <c r="D557" i="1"/>
  <c r="D2054" i="1"/>
  <c r="C2060" i="1"/>
  <c r="D94" i="1"/>
  <c r="C96" i="1"/>
  <c r="C94" i="1" s="1"/>
  <c r="D52" i="1"/>
  <c r="D560" i="1"/>
  <c r="C560" i="1" s="1"/>
  <c r="C562" i="1"/>
  <c r="C2612" i="1"/>
  <c r="D1480" i="1"/>
  <c r="C1480" i="1" s="1"/>
  <c r="C1482" i="1"/>
  <c r="E368" i="1"/>
  <c r="D2053" i="1"/>
  <c r="C2059" i="1"/>
  <c r="G40" i="1"/>
  <c r="G369" i="1"/>
  <c r="G367" i="1" s="1"/>
  <c r="G361" i="1" s="1"/>
  <c r="G359" i="1" s="1"/>
  <c r="E74" i="1"/>
  <c r="C74" i="1" s="1"/>
  <c r="C556" i="1"/>
  <c r="C2287" i="1"/>
  <c r="I617" i="1"/>
  <c r="I615" i="1" s="1"/>
  <c r="I609" i="1" s="1"/>
  <c r="I607" i="1" s="1"/>
  <c r="I533" i="1"/>
  <c r="E490" i="1"/>
  <c r="E492" i="1"/>
  <c r="C492" i="1" s="1"/>
  <c r="C494" i="1"/>
  <c r="E371" i="1"/>
  <c r="C2150" i="1"/>
  <c r="E2148" i="1"/>
  <c r="C2148" i="1" s="1"/>
  <c r="D616" i="1"/>
  <c r="C618" i="1"/>
  <c r="D532" i="1"/>
  <c r="C526" i="1"/>
  <c r="D34" i="1"/>
  <c r="C34" i="1" s="1"/>
  <c r="D784" i="1"/>
  <c r="C786" i="1"/>
  <c r="D43" i="1"/>
  <c r="D531" i="1"/>
  <c r="D869" i="1"/>
  <c r="C871" i="1"/>
  <c r="D627" i="1"/>
  <c r="D2657" i="1"/>
  <c r="H532" i="1"/>
  <c r="H616" i="1"/>
  <c r="H614" i="1" s="1"/>
  <c r="H608" i="1" s="1"/>
  <c r="H606" i="1" s="1"/>
  <c r="F68" i="1"/>
  <c r="F548" i="1"/>
  <c r="F546" i="1" s="1"/>
  <c r="C2613" i="1"/>
  <c r="E59" i="1"/>
  <c r="E1212" i="1"/>
  <c r="C1214" i="1"/>
  <c r="G81" i="1"/>
  <c r="G33" i="1"/>
  <c r="D1481" i="1"/>
  <c r="C1481" i="1" s="1"/>
  <c r="C1483" i="1"/>
  <c r="I100" i="1"/>
  <c r="I78" i="1" s="1"/>
  <c r="I58" i="1"/>
  <c r="I2654" i="1"/>
  <c r="I2652" i="1" s="1"/>
  <c r="C2285" i="1"/>
  <c r="G2661" i="1"/>
  <c r="G2655" i="1" s="1"/>
  <c r="G2653" i="1" s="1"/>
  <c r="G606" i="1"/>
  <c r="C104" i="1"/>
  <c r="C621" i="1"/>
  <c r="D1605" i="1"/>
  <c r="C1607" i="1"/>
  <c r="G372" i="1"/>
  <c r="G491" i="1"/>
  <c r="G493" i="1"/>
  <c r="C493" i="1" s="1"/>
  <c r="C495" i="1"/>
  <c r="I2661" i="1"/>
  <c r="I2655" i="1" s="1"/>
  <c r="I2653" i="1" s="1"/>
  <c r="I182" i="1"/>
  <c r="I180" i="1" s="1"/>
  <c r="C180" i="1" s="1"/>
  <c r="C190" i="1"/>
  <c r="E853" i="1"/>
  <c r="C855" i="1"/>
  <c r="D2281" i="1"/>
  <c r="E1574" i="1"/>
  <c r="C1576" i="1"/>
  <c r="D46" i="1"/>
  <c r="C408" i="1"/>
  <c r="H406" i="1"/>
  <c r="H548" i="1"/>
  <c r="H546" i="1" s="1"/>
  <c r="H540" i="1" s="1"/>
  <c r="H68" i="1"/>
  <c r="H64" i="1" s="1"/>
  <c r="H62" i="1" s="1"/>
  <c r="D1828" i="1"/>
  <c r="C1830" i="1"/>
  <c r="D615" i="1"/>
  <c r="D2265" i="1"/>
  <c r="C2267" i="1"/>
  <c r="C1448" i="1"/>
  <c r="E1446" i="1"/>
  <c r="E2711" i="1"/>
  <c r="E2705" i="1" s="1"/>
  <c r="E2703" i="1" s="1"/>
  <c r="D179" i="1"/>
  <c r="C179" i="1" s="1"/>
  <c r="C181" i="1"/>
  <c r="G58" i="1"/>
  <c r="C2225" i="1"/>
  <c r="D2223" i="1"/>
  <c r="C2223" i="1" s="1"/>
  <c r="D1555" i="1"/>
  <c r="C1555" i="1" s="1"/>
  <c r="C1557" i="1"/>
  <c r="D2169" i="1"/>
  <c r="C2171" i="1"/>
  <c r="C2402" i="1"/>
  <c r="E2400" i="1"/>
  <c r="H378" i="1"/>
  <c r="H376" i="1" s="1"/>
  <c r="H374" i="1" s="1"/>
  <c r="H360" i="1" s="1"/>
  <c r="H67" i="1"/>
  <c r="F59" i="1"/>
  <c r="G42" i="1"/>
  <c r="G530" i="1"/>
  <c r="G528" i="1" s="1"/>
  <c r="G522" i="1" s="1"/>
  <c r="H539" i="1"/>
  <c r="C2173" i="1"/>
  <c r="G1212" i="1"/>
  <c r="G1184" i="1" s="1"/>
  <c r="G2674" i="1"/>
  <c r="G2672" i="1" s="1"/>
  <c r="G2664" i="1" s="1"/>
  <c r="C1363" i="1"/>
  <c r="D61" i="1"/>
  <c r="C61" i="1" s="1"/>
  <c r="C545" i="1"/>
  <c r="D2628" i="1"/>
  <c r="D719" i="1"/>
  <c r="C721" i="1"/>
  <c r="E655" i="1"/>
  <c r="E2616" i="1" s="1"/>
  <c r="E2610" i="1" s="1"/>
  <c r="E2608" i="1" s="1"/>
  <c r="C657" i="1"/>
  <c r="C2015" i="1"/>
  <c r="F1827" i="1"/>
  <c r="D630" i="1"/>
  <c r="F1211" i="1"/>
  <c r="F1183" i="1" s="1"/>
  <c r="F2673" i="1"/>
  <c r="F2671" i="1" s="1"/>
  <c r="F2663" i="1" s="1"/>
  <c r="C2143" i="1"/>
  <c r="E2141" i="1"/>
  <c r="C535" i="1"/>
  <c r="D45" i="1"/>
  <c r="C45" i="1" s="1"/>
  <c r="D269" i="1"/>
  <c r="C271" i="1"/>
  <c r="G1475" i="1"/>
  <c r="G1473" i="1" s="1"/>
  <c r="G1471" i="1" s="1"/>
  <c r="G1459" i="1" s="1"/>
  <c r="G554" i="1"/>
  <c r="G72" i="1" s="1"/>
  <c r="C448" i="1"/>
  <c r="D589" i="1"/>
  <c r="C591" i="1"/>
  <c r="C638" i="1"/>
  <c r="F471" i="1"/>
  <c r="F379" i="1"/>
  <c r="C473" i="1"/>
  <c r="G548" i="1"/>
  <c r="G546" i="1" s="1"/>
  <c r="G540" i="1" s="1"/>
  <c r="G68" i="1"/>
  <c r="G64" i="1" s="1"/>
  <c r="G62" i="1" s="1"/>
  <c r="D2682" i="1"/>
  <c r="D211" i="1"/>
  <c r="C213" i="1"/>
  <c r="C893" i="1"/>
  <c r="E1353" i="1"/>
  <c r="C1361" i="1"/>
  <c r="E481" i="1"/>
  <c r="E787" i="1"/>
  <c r="C789" i="1"/>
  <c r="E619" i="1"/>
  <c r="G633" i="1"/>
  <c r="G631" i="1" s="1"/>
  <c r="G625" i="1" s="1"/>
  <c r="G607" i="1" s="1"/>
  <c r="G551" i="1"/>
  <c r="I2243" i="1"/>
  <c r="I2641" i="1"/>
  <c r="I2639" i="1" s="1"/>
  <c r="I2637" i="1" s="1"/>
  <c r="D84" i="1"/>
  <c r="H2661" i="1"/>
  <c r="H2655" i="1" s="1"/>
  <c r="H2653" i="1" s="1"/>
  <c r="D555" i="1"/>
  <c r="C106" i="1"/>
  <c r="D1827" i="1"/>
  <c r="C1827" i="1" s="1"/>
  <c r="C1829" i="1"/>
  <c r="H1558" i="1"/>
  <c r="C1560" i="1"/>
  <c r="D1468" i="1"/>
  <c r="C1470" i="1"/>
  <c r="C644" i="1" l="1"/>
  <c r="C642" i="1"/>
  <c r="D2661" i="1"/>
  <c r="C2661" i="1" s="1"/>
  <c r="D2594" i="1"/>
  <c r="C2594" i="1" s="1"/>
  <c r="C2596" i="1"/>
  <c r="I65" i="1"/>
  <c r="I63" i="1" s="1"/>
  <c r="I57" i="1" s="1"/>
  <c r="D633" i="1"/>
  <c r="D631" i="1" s="1"/>
  <c r="D551" i="1"/>
  <c r="C635" i="1"/>
  <c r="F2694" i="1"/>
  <c r="F2692" i="1" s="1"/>
  <c r="C2698" i="1"/>
  <c r="F38" i="1"/>
  <c r="F36" i="1" s="1"/>
  <c r="F28" i="1" s="1"/>
  <c r="C1606" i="1"/>
  <c r="D1604" i="1"/>
  <c r="G79" i="1"/>
  <c r="F530" i="1"/>
  <c r="F528" i="1" s="1"/>
  <c r="F522" i="1" s="1"/>
  <c r="F520" i="1" s="1"/>
  <c r="C470" i="1"/>
  <c r="D2690" i="1"/>
  <c r="D2688" i="1" s="1"/>
  <c r="D468" i="1"/>
  <c r="C536" i="1"/>
  <c r="C2578" i="1"/>
  <c r="D2576" i="1"/>
  <c r="C2576" i="1" s="1"/>
  <c r="C143" i="1"/>
  <c r="D115" i="1"/>
  <c r="D2617" i="1"/>
  <c r="D2611" i="1" s="1"/>
  <c r="D2609" i="1" s="1"/>
  <c r="E551" i="1"/>
  <c r="D30" i="1"/>
  <c r="C30" i="1" s="1"/>
  <c r="C46" i="1"/>
  <c r="D554" i="1"/>
  <c r="D548" i="1" s="1"/>
  <c r="I79" i="1"/>
  <c r="C2281" i="1"/>
  <c r="H1556" i="1"/>
  <c r="C1556" i="1" s="1"/>
  <c r="C1558" i="1"/>
  <c r="G549" i="1"/>
  <c r="G547" i="1" s="1"/>
  <c r="G541" i="1" s="1"/>
  <c r="G69" i="1"/>
  <c r="G65" i="1" s="1"/>
  <c r="G63" i="1" s="1"/>
  <c r="D587" i="1"/>
  <c r="C587" i="1" s="1"/>
  <c r="C589" i="1"/>
  <c r="C1828" i="1"/>
  <c r="D1603" i="1"/>
  <c r="C1605" i="1"/>
  <c r="D2641" i="1"/>
  <c r="C784" i="1"/>
  <c r="D782" i="1"/>
  <c r="I531" i="1"/>
  <c r="I529" i="1" s="1"/>
  <c r="I523" i="1" s="1"/>
  <c r="I521" i="1" s="1"/>
  <c r="I43" i="1"/>
  <c r="I39" i="1" s="1"/>
  <c r="I37" i="1" s="1"/>
  <c r="I29" i="1" s="1"/>
  <c r="I27" i="1" s="1"/>
  <c r="D39" i="1"/>
  <c r="D2638" i="1"/>
  <c r="D740" i="1"/>
  <c r="C740" i="1" s="1"/>
  <c r="C742" i="1"/>
  <c r="D2397" i="1"/>
  <c r="C2397" i="1" s="1"/>
  <c r="C2399" i="1"/>
  <c r="D2616" i="1"/>
  <c r="C142" i="1"/>
  <c r="D114" i="1"/>
  <c r="C384" i="1"/>
  <c r="C382" i="1" s="1"/>
  <c r="E382" i="1"/>
  <c r="D1471" i="1"/>
  <c r="E373" i="1"/>
  <c r="C1360" i="1"/>
  <c r="D1352" i="1"/>
  <c r="C892" i="1"/>
  <c r="D2660" i="1"/>
  <c r="D868" i="1"/>
  <c r="D88" i="1"/>
  <c r="C88" i="1" s="1"/>
  <c r="C90" i="1"/>
  <c r="C2283" i="1"/>
  <c r="G521" i="1"/>
  <c r="C561" i="1"/>
  <c r="I2241" i="1"/>
  <c r="C2241" i="1" s="1"/>
  <c r="C2243" i="1"/>
  <c r="E2714" i="1"/>
  <c r="E2710" i="1"/>
  <c r="E2704" i="1" s="1"/>
  <c r="E2702" i="1" s="1"/>
  <c r="E482" i="1"/>
  <c r="C490" i="1"/>
  <c r="E852" i="1"/>
  <c r="C854" i="1"/>
  <c r="D2427" i="1"/>
  <c r="C2429" i="1"/>
  <c r="F57" i="1"/>
  <c r="G38" i="1"/>
  <c r="G36" i="1" s="1"/>
  <c r="G28" i="1" s="1"/>
  <c r="G26" i="1" s="1"/>
  <c r="G57" i="1"/>
  <c r="C563" i="1"/>
  <c r="D1466" i="1"/>
  <c r="C1468" i="1"/>
  <c r="E1351" i="1"/>
  <c r="C1351" i="1" s="1"/>
  <c r="C1353" i="1"/>
  <c r="D609" i="1"/>
  <c r="G370" i="1"/>
  <c r="G41" i="1"/>
  <c r="G39" i="1" s="1"/>
  <c r="G37" i="1" s="1"/>
  <c r="G29" i="1" s="1"/>
  <c r="G27" i="1" s="1"/>
  <c r="C372" i="1"/>
  <c r="D50" i="1"/>
  <c r="C50" i="1" s="1"/>
  <c r="C52" i="1"/>
  <c r="D2679" i="1"/>
  <c r="C2681" i="1"/>
  <c r="D2632" i="1"/>
  <c r="C2634" i="1"/>
  <c r="F1571" i="1"/>
  <c r="C1571" i="1" s="1"/>
  <c r="C1573" i="1"/>
  <c r="E101" i="1"/>
  <c r="C105" i="1"/>
  <c r="C2176" i="1"/>
  <c r="E2174" i="1"/>
  <c r="C2286" i="1"/>
  <c r="D2284" i="1"/>
  <c r="G56" i="1"/>
  <c r="H56" i="1"/>
  <c r="H529" i="1"/>
  <c r="H523" i="1" s="1"/>
  <c r="E2139" i="1"/>
  <c r="C2139" i="1" s="1"/>
  <c r="C2141" i="1"/>
  <c r="D2626" i="1"/>
  <c r="C2628" i="1"/>
  <c r="G483" i="1"/>
  <c r="G2715" i="1"/>
  <c r="G2711" i="1"/>
  <c r="G2705" i="1" s="1"/>
  <c r="G2703" i="1" s="1"/>
  <c r="C491" i="1"/>
  <c r="D529" i="1"/>
  <c r="C741" i="1"/>
  <c r="D739" i="1"/>
  <c r="C739" i="1" s="1"/>
  <c r="D2164" i="1"/>
  <c r="C2166" i="1"/>
  <c r="D1474" i="1"/>
  <c r="C1476" i="1"/>
  <c r="F531" i="1"/>
  <c r="F529" i="1" s="1"/>
  <c r="F523" i="1" s="1"/>
  <c r="F521" i="1" s="1"/>
  <c r="F43" i="1"/>
  <c r="F39" i="1" s="1"/>
  <c r="F37" i="1" s="1"/>
  <c r="F29" i="1" s="1"/>
  <c r="F27" i="1" s="1"/>
  <c r="C100" i="1"/>
  <c r="C107" i="1"/>
  <c r="C537" i="1"/>
  <c r="D32" i="1"/>
  <c r="C32" i="1" s="1"/>
  <c r="C84" i="1"/>
  <c r="C471" i="1"/>
  <c r="F469" i="1"/>
  <c r="D717" i="1"/>
  <c r="C717" i="1" s="1"/>
  <c r="C719" i="1"/>
  <c r="D2263" i="1"/>
  <c r="C2263" i="1" s="1"/>
  <c r="C2265" i="1"/>
  <c r="C1574" i="1"/>
  <c r="E1572" i="1"/>
  <c r="E2641" i="1"/>
  <c r="E2639" i="1" s="1"/>
  <c r="E2637" i="1" s="1"/>
  <c r="C371" i="1"/>
  <c r="E369" i="1"/>
  <c r="E40" i="1"/>
  <c r="D208" i="1"/>
  <c r="C208" i="1" s="1"/>
  <c r="C210" i="1"/>
  <c r="D51" i="1"/>
  <c r="C51" i="1" s="1"/>
  <c r="C53" i="1"/>
  <c r="C1465" i="1"/>
  <c r="D1461" i="1"/>
  <c r="C2669" i="1"/>
  <c r="D2665" i="1"/>
  <c r="D2177" i="1"/>
  <c r="C2179" i="1"/>
  <c r="G520" i="1"/>
  <c r="C47" i="1"/>
  <c r="F377" i="1"/>
  <c r="F66" i="1"/>
  <c r="C379" i="1"/>
  <c r="H49" i="1"/>
  <c r="C49" i="1" s="1"/>
  <c r="C539" i="1"/>
  <c r="D867" i="1"/>
  <c r="C867" i="1" s="1"/>
  <c r="C869" i="1"/>
  <c r="D1756" i="1"/>
  <c r="C1758" i="1"/>
  <c r="D2670" i="1"/>
  <c r="D1588" i="1"/>
  <c r="C1590" i="1"/>
  <c r="D2650" i="1"/>
  <c r="D1753" i="1"/>
  <c r="C1753" i="1" s="1"/>
  <c r="C1755" i="1"/>
  <c r="C1212" i="1"/>
  <c r="E1184" i="1"/>
  <c r="C1184" i="1" s="1"/>
  <c r="D267" i="1"/>
  <c r="C269" i="1"/>
  <c r="E643" i="1"/>
  <c r="C655" i="1"/>
  <c r="I2014" i="1"/>
  <c r="I1826" i="1" s="1"/>
  <c r="I2689" i="1"/>
  <c r="I2687" i="1" s="1"/>
  <c r="I2677" i="1" s="1"/>
  <c r="D1768" i="1"/>
  <c r="C1768" i="1" s="1"/>
  <c r="C1770" i="1"/>
  <c r="D2674" i="1"/>
  <c r="C1185" i="1"/>
  <c r="H73" i="1"/>
  <c r="H65" i="1" s="1"/>
  <c r="H63" i="1" s="1"/>
  <c r="H57" i="1" s="1"/>
  <c r="H549" i="1"/>
  <c r="H547" i="1" s="1"/>
  <c r="H541" i="1" s="1"/>
  <c r="E2427" i="1"/>
  <c r="C2559" i="1"/>
  <c r="D2715" i="1"/>
  <c r="C2715" i="1" s="1"/>
  <c r="D2711" i="1"/>
  <c r="D252" i="1"/>
  <c r="C268" i="1"/>
  <c r="D2014" i="1"/>
  <c r="C2016" i="1"/>
  <c r="D2689" i="1"/>
  <c r="D586" i="1"/>
  <c r="C586" i="1" s="1"/>
  <c r="C588" i="1"/>
  <c r="D73" i="1"/>
  <c r="C555" i="1"/>
  <c r="D2167" i="1"/>
  <c r="C2169" i="1"/>
  <c r="E1444" i="1"/>
  <c r="C1444" i="1" s="1"/>
  <c r="C1446" i="1"/>
  <c r="D625" i="1"/>
  <c r="C625" i="1" s="1"/>
  <c r="D543" i="1"/>
  <c r="C627" i="1"/>
  <c r="C616" i="1"/>
  <c r="D614" i="1"/>
  <c r="C573" i="1"/>
  <c r="D571" i="1"/>
  <c r="C571" i="1" s="1"/>
  <c r="I1475" i="1"/>
  <c r="I1473" i="1" s="1"/>
  <c r="I1471" i="1" s="1"/>
  <c r="I1459" i="1" s="1"/>
  <c r="C1477" i="1"/>
  <c r="I554" i="1"/>
  <c r="C435" i="1"/>
  <c r="E433" i="1"/>
  <c r="E69" i="1"/>
  <c r="E549" i="1"/>
  <c r="E547" i="1" s="1"/>
  <c r="E541" i="1" s="1"/>
  <c r="E42" i="1"/>
  <c r="E530" i="1"/>
  <c r="E528" i="1" s="1"/>
  <c r="E522" i="1" s="1"/>
  <c r="C182" i="1"/>
  <c r="C2018" i="1"/>
  <c r="C631" i="1"/>
  <c r="E785" i="1"/>
  <c r="C787" i="1"/>
  <c r="D2655" i="1"/>
  <c r="C2657" i="1"/>
  <c r="E2264" i="1"/>
  <c r="C2266" i="1"/>
  <c r="I574" i="1"/>
  <c r="C576" i="1"/>
  <c r="I2617" i="1"/>
  <c r="C525" i="1"/>
  <c r="E33" i="1"/>
  <c r="C380" i="1"/>
  <c r="E378" i="1"/>
  <c r="E67" i="1"/>
  <c r="D2625" i="1"/>
  <c r="C2627" i="1"/>
  <c r="C1420" i="1"/>
  <c r="E1418" i="1"/>
  <c r="C633" i="1"/>
  <c r="D2680" i="1"/>
  <c r="C2682" i="1"/>
  <c r="C406" i="1"/>
  <c r="H404" i="1"/>
  <c r="E851" i="1"/>
  <c r="C853" i="1"/>
  <c r="H42" i="1"/>
  <c r="H38" i="1" s="1"/>
  <c r="H36" i="1" s="1"/>
  <c r="H28" i="1" s="1"/>
  <c r="H26" i="1" s="1"/>
  <c r="H530" i="1"/>
  <c r="H528" i="1" s="1"/>
  <c r="H522" i="1" s="1"/>
  <c r="H520" i="1" s="1"/>
  <c r="D530" i="1"/>
  <c r="C532" i="1"/>
  <c r="D42" i="1"/>
  <c r="C42" i="1" s="1"/>
  <c r="D75" i="1"/>
  <c r="C75" i="1" s="1"/>
  <c r="C557" i="1"/>
  <c r="G2685" i="1"/>
  <c r="G2679" i="1" s="1"/>
  <c r="G2677" i="1" s="1"/>
  <c r="C457" i="1"/>
  <c r="G447" i="1"/>
  <c r="D2692" i="1"/>
  <c r="D2647" i="1"/>
  <c r="C1419" i="1"/>
  <c r="E1417" i="1"/>
  <c r="C1417" i="1" s="1"/>
  <c r="E2690" i="1"/>
  <c r="D716" i="1"/>
  <c r="C716" i="1" s="1"/>
  <c r="C718" i="1"/>
  <c r="C544" i="1"/>
  <c r="D60" i="1"/>
  <c r="C60" i="1" s="1"/>
  <c r="D1211" i="1"/>
  <c r="C1211" i="1" s="1"/>
  <c r="C1213" i="1"/>
  <c r="D2673" i="1"/>
  <c r="D549" i="1"/>
  <c r="E533" i="1"/>
  <c r="E617" i="1"/>
  <c r="C619" i="1"/>
  <c r="D209" i="1"/>
  <c r="C209" i="1" s="1"/>
  <c r="C211" i="1"/>
  <c r="C2400" i="1"/>
  <c r="E2398" i="1"/>
  <c r="E362" i="1"/>
  <c r="D2052" i="1"/>
  <c r="C2052" i="1" s="1"/>
  <c r="C2054" i="1"/>
  <c r="E2660" i="1"/>
  <c r="E2654" i="1" s="1"/>
  <c r="E2652" i="1" s="1"/>
  <c r="E868" i="1"/>
  <c r="E866" i="1" s="1"/>
  <c r="D44" i="1"/>
  <c r="C44" i="1" s="1"/>
  <c r="C534" i="1"/>
  <c r="C542" i="1"/>
  <c r="D58" i="1"/>
  <c r="D847" i="1"/>
  <c r="C2432" i="1"/>
  <c r="D2430" i="1"/>
  <c r="D2686" i="1"/>
  <c r="C2686" i="1" s="1"/>
  <c r="D2051" i="1"/>
  <c r="C2051" i="1" s="1"/>
  <c r="C2053" i="1"/>
  <c r="D89" i="1"/>
  <c r="C91" i="1"/>
  <c r="E550" i="1"/>
  <c r="E632" i="1"/>
  <c r="C634" i="1"/>
  <c r="D2633" i="1"/>
  <c r="C2635" i="1"/>
  <c r="C403" i="1"/>
  <c r="E401" i="1"/>
  <c r="C401" i="1" s="1"/>
  <c r="E71" i="1"/>
  <c r="C71" i="1" s="1"/>
  <c r="C553" i="1"/>
  <c r="E2673" i="1"/>
  <c r="E2671" i="1" s="1"/>
  <c r="E2663" i="1" s="1"/>
  <c r="D624" i="1"/>
  <c r="C1475" i="1"/>
  <c r="C894" i="1"/>
  <c r="D72" i="1" l="1"/>
  <c r="D64" i="1" s="1"/>
  <c r="E38" i="1"/>
  <c r="E36" i="1" s="1"/>
  <c r="E28" i="1" s="1"/>
  <c r="C551" i="1"/>
  <c r="D69" i="1"/>
  <c r="D113" i="1"/>
  <c r="C113" i="1" s="1"/>
  <c r="C115" i="1"/>
  <c r="C468" i="1"/>
  <c r="D446" i="1"/>
  <c r="C446" i="1" s="1"/>
  <c r="C1604" i="1"/>
  <c r="D1602" i="1"/>
  <c r="C2694" i="1"/>
  <c r="C2692" i="1"/>
  <c r="C554" i="1"/>
  <c r="C2014" i="1"/>
  <c r="C73" i="1"/>
  <c r="D2428" i="1"/>
  <c r="C2428" i="1" s="1"/>
  <c r="C2430" i="1"/>
  <c r="I572" i="1"/>
  <c r="C572" i="1" s="1"/>
  <c r="C574" i="1"/>
  <c r="D2175" i="1"/>
  <c r="C2175" i="1" s="1"/>
  <c r="C2177" i="1"/>
  <c r="D1601" i="1"/>
  <c r="C1601" i="1" s="1"/>
  <c r="C1603" i="1"/>
  <c r="H521" i="1"/>
  <c r="D38" i="1"/>
  <c r="H37" i="1"/>
  <c r="H29" i="1" s="1"/>
  <c r="H27" i="1" s="1"/>
  <c r="E43" i="1"/>
  <c r="E531" i="1"/>
  <c r="C533" i="1"/>
  <c r="D528" i="1"/>
  <c r="C530" i="1"/>
  <c r="D62" i="1"/>
  <c r="D56" i="1" s="1"/>
  <c r="D1350" i="1"/>
  <c r="C1352" i="1"/>
  <c r="C40" i="1"/>
  <c r="D80" i="1"/>
  <c r="E615" i="1"/>
  <c r="C617" i="1"/>
  <c r="I2611" i="1"/>
  <c r="C2617" i="1"/>
  <c r="C614" i="1"/>
  <c r="D608" i="1"/>
  <c r="D546" i="1"/>
  <c r="D2710" i="1"/>
  <c r="D2714" i="1"/>
  <c r="C2714" i="1" s="1"/>
  <c r="C267" i="1"/>
  <c r="D251" i="1"/>
  <c r="D1754" i="1"/>
  <c r="C1754" i="1" s="1"/>
  <c r="C1756" i="1"/>
  <c r="C369" i="1"/>
  <c r="E367" i="1"/>
  <c r="D607" i="1"/>
  <c r="D2639" i="1"/>
  <c r="C2641" i="1"/>
  <c r="E2688" i="1"/>
  <c r="C2690" i="1"/>
  <c r="D2162" i="1"/>
  <c r="C2164" i="1"/>
  <c r="D2624" i="1"/>
  <c r="C2624" i="1" s="1"/>
  <c r="C2626" i="1"/>
  <c r="C101" i="1"/>
  <c r="E79" i="1"/>
  <c r="C2660" i="1"/>
  <c r="D2654" i="1"/>
  <c r="C2616" i="1"/>
  <c r="D2610" i="1"/>
  <c r="E641" i="1"/>
  <c r="C641" i="1" s="1"/>
  <c r="C643" i="1"/>
  <c r="C2670" i="1"/>
  <c r="D2666" i="1"/>
  <c r="G368" i="1"/>
  <c r="C370" i="1"/>
  <c r="D866" i="1"/>
  <c r="C866" i="1" s="1"/>
  <c r="C868" i="1"/>
  <c r="D780" i="1"/>
  <c r="C780" i="1" s="1"/>
  <c r="C782" i="1"/>
  <c r="C89" i="1"/>
  <c r="D81" i="1"/>
  <c r="D2678" i="1"/>
  <c r="C2680" i="1"/>
  <c r="D1586" i="1"/>
  <c r="C1586" i="1" s="1"/>
  <c r="C1588" i="1"/>
  <c r="F375" i="1"/>
  <c r="C377" i="1"/>
  <c r="F2689" i="1"/>
  <c r="F2687" i="1" s="1"/>
  <c r="F2677" i="1" s="1"/>
  <c r="F467" i="1"/>
  <c r="C469" i="1"/>
  <c r="D1472" i="1"/>
  <c r="C1472" i="1" s="1"/>
  <c r="C1474" i="1"/>
  <c r="C114" i="1"/>
  <c r="D112" i="1"/>
  <c r="C112" i="1" s="1"/>
  <c r="C2685" i="1"/>
  <c r="E376" i="1"/>
  <c r="C378" i="1"/>
  <c r="E2642" i="1"/>
  <c r="E783" i="1"/>
  <c r="C785" i="1"/>
  <c r="D2165" i="1"/>
  <c r="C2167" i="1"/>
  <c r="C2711" i="1"/>
  <c r="D2705" i="1"/>
  <c r="F64" i="1"/>
  <c r="F62" i="1" s="1"/>
  <c r="F56" i="1" s="1"/>
  <c r="F26" i="1" s="1"/>
  <c r="C66" i="1"/>
  <c r="C2174" i="1"/>
  <c r="E2162" i="1"/>
  <c r="E480" i="1"/>
  <c r="C480" i="1" s="1"/>
  <c r="C482" i="1"/>
  <c r="E68" i="1"/>
  <c r="E548" i="1"/>
  <c r="E546" i="1" s="1"/>
  <c r="E540" i="1" s="1"/>
  <c r="E520" i="1" s="1"/>
  <c r="C550" i="1"/>
  <c r="E2396" i="1"/>
  <c r="C2396" i="1" s="1"/>
  <c r="C2398" i="1"/>
  <c r="E65" i="1"/>
  <c r="E63" i="1" s="1"/>
  <c r="E57" i="1" s="1"/>
  <c r="C67" i="1"/>
  <c r="I72" i="1"/>
  <c r="I64" i="1" s="1"/>
  <c r="I62" i="1" s="1"/>
  <c r="I56" i="1" s="1"/>
  <c r="I26" i="1" s="1"/>
  <c r="I548" i="1"/>
  <c r="I546" i="1" s="1"/>
  <c r="I540" i="1" s="1"/>
  <c r="I520" i="1" s="1"/>
  <c r="D250" i="1"/>
  <c r="C250" i="1" s="1"/>
  <c r="C252" i="1"/>
  <c r="D2648" i="1"/>
  <c r="G481" i="1"/>
  <c r="C481" i="1" s="1"/>
  <c r="C483" i="1"/>
  <c r="D37" i="1"/>
  <c r="E630" i="1"/>
  <c r="C632" i="1"/>
  <c r="C58" i="1"/>
  <c r="G445" i="1"/>
  <c r="C447" i="1"/>
  <c r="H402" i="1"/>
  <c r="C402" i="1" s="1"/>
  <c r="C404" i="1"/>
  <c r="D2623" i="1"/>
  <c r="C2623" i="1" s="1"/>
  <c r="C2625" i="1"/>
  <c r="D2653" i="1"/>
  <c r="C2653" i="1" s="1"/>
  <c r="C2655" i="1"/>
  <c r="D2282" i="1"/>
  <c r="C2282" i="1" s="1"/>
  <c r="C2284" i="1"/>
  <c r="D1462" i="1"/>
  <c r="C1466" i="1"/>
  <c r="E2650" i="1"/>
  <c r="E2648" i="1" s="1"/>
  <c r="E2646" i="1" s="1"/>
  <c r="E850" i="1"/>
  <c r="C852" i="1"/>
  <c r="C1471" i="1"/>
  <c r="C41" i="1"/>
  <c r="E2649" i="1"/>
  <c r="E849" i="1"/>
  <c r="C851" i="1"/>
  <c r="E2674" i="1"/>
  <c r="E2672" i="1" s="1"/>
  <c r="E2664" i="1" s="1"/>
  <c r="C433" i="1"/>
  <c r="E431" i="1"/>
  <c r="D1459" i="1"/>
  <c r="C1459" i="1" s="1"/>
  <c r="C1461" i="1"/>
  <c r="C2679" i="1"/>
  <c r="C1473" i="1"/>
  <c r="C2633" i="1"/>
  <c r="D2631" i="1"/>
  <c r="C2631" i="1" s="1"/>
  <c r="D2671" i="1"/>
  <c r="C2671" i="1" s="1"/>
  <c r="C2673" i="1"/>
  <c r="C2264" i="1"/>
  <c r="E2262" i="1"/>
  <c r="C2262" i="1" s="1"/>
  <c r="D2672" i="1"/>
  <c r="C33" i="1"/>
  <c r="C2427" i="1"/>
  <c r="D1826" i="1"/>
  <c r="C1826" i="1" s="1"/>
  <c r="D547" i="1"/>
  <c r="C547" i="1" s="1"/>
  <c r="C549" i="1"/>
  <c r="D2645" i="1"/>
  <c r="C1418" i="1"/>
  <c r="E1416" i="1"/>
  <c r="E2689" i="1"/>
  <c r="E2687" i="1" s="1"/>
  <c r="E2677" i="1" s="1"/>
  <c r="D541" i="1"/>
  <c r="C541" i="1" s="1"/>
  <c r="C543" i="1"/>
  <c r="D59" i="1"/>
  <c r="D2687" i="1"/>
  <c r="C2665" i="1"/>
  <c r="C1572" i="1"/>
  <c r="E1570" i="1"/>
  <c r="C1570" i="1" s="1"/>
  <c r="D523" i="1"/>
  <c r="D2630" i="1"/>
  <c r="C2630" i="1" s="1"/>
  <c r="C2632" i="1"/>
  <c r="D1183" i="1"/>
  <c r="C1183" i="1" s="1"/>
  <c r="C2689" i="1" l="1"/>
  <c r="D65" i="1"/>
  <c r="C69" i="1"/>
  <c r="D2663" i="1"/>
  <c r="C2663" i="1" s="1"/>
  <c r="C2672" i="1"/>
  <c r="C2687" i="1"/>
  <c r="C1602" i="1"/>
  <c r="D1600" i="1"/>
  <c r="C1600" i="1" s="1"/>
  <c r="C2674" i="1"/>
  <c r="E847" i="1"/>
  <c r="C847" i="1" s="1"/>
  <c r="C849" i="1"/>
  <c r="E624" i="1"/>
  <c r="C630" i="1"/>
  <c r="D2703" i="1"/>
  <c r="C2703" i="1" s="1"/>
  <c r="C2705" i="1"/>
  <c r="D79" i="1"/>
  <c r="C79" i="1" s="1"/>
  <c r="C81" i="1"/>
  <c r="E609" i="1"/>
  <c r="C615" i="1"/>
  <c r="E529" i="1"/>
  <c r="C531" i="1"/>
  <c r="C2678" i="1"/>
  <c r="I2609" i="1"/>
  <c r="C2609" i="1" s="1"/>
  <c r="C2611" i="1"/>
  <c r="C528" i="1"/>
  <c r="D522" i="1"/>
  <c r="D521" i="1"/>
  <c r="D2664" i="1"/>
  <c r="C2664" i="1" s="1"/>
  <c r="C2666" i="1"/>
  <c r="C367" i="1"/>
  <c r="E361" i="1"/>
  <c r="C1416" i="1"/>
  <c r="E1350" i="1"/>
  <c r="C431" i="1"/>
  <c r="E429" i="1"/>
  <c r="C429" i="1" s="1"/>
  <c r="D1460" i="1"/>
  <c r="C1460" i="1" s="1"/>
  <c r="C1462" i="1"/>
  <c r="E374" i="1"/>
  <c r="C376" i="1"/>
  <c r="G362" i="1"/>
  <c r="C368" i="1"/>
  <c r="F373" i="1"/>
  <c r="C375" i="1"/>
  <c r="D606" i="1"/>
  <c r="C608" i="1"/>
  <c r="C2648" i="1"/>
  <c r="D2646" i="1"/>
  <c r="C2646" i="1" s="1"/>
  <c r="E2640" i="1"/>
  <c r="C2642" i="1"/>
  <c r="D2652" i="1"/>
  <c r="C2652" i="1" s="1"/>
  <c r="C2654" i="1"/>
  <c r="D2637" i="1"/>
  <c r="C2637" i="1" s="1"/>
  <c r="C2639" i="1"/>
  <c r="C546" i="1"/>
  <c r="D540" i="1"/>
  <c r="C540" i="1" s="1"/>
  <c r="C1350" i="1"/>
  <c r="E848" i="1"/>
  <c r="C848" i="1" s="1"/>
  <c r="C850" i="1"/>
  <c r="E64" i="1"/>
  <c r="C68" i="1"/>
  <c r="E781" i="1"/>
  <c r="C781" i="1" s="1"/>
  <c r="C783" i="1"/>
  <c r="D2677" i="1"/>
  <c r="C2677" i="1" s="1"/>
  <c r="C2650" i="1"/>
  <c r="C548" i="1"/>
  <c r="C59" i="1"/>
  <c r="F445" i="1"/>
  <c r="C445" i="1" s="1"/>
  <c r="C467" i="1"/>
  <c r="D2608" i="1"/>
  <c r="C2608" i="1" s="1"/>
  <c r="C2610" i="1"/>
  <c r="C2710" i="1"/>
  <c r="D2704" i="1"/>
  <c r="D2163" i="1"/>
  <c r="C2163" i="1" s="1"/>
  <c r="C2165" i="1"/>
  <c r="E2678" i="1"/>
  <c r="C2688" i="1"/>
  <c r="C38" i="1"/>
  <c r="D36" i="1"/>
  <c r="C72" i="1"/>
  <c r="D29" i="1"/>
  <c r="E2647" i="1"/>
  <c r="C2649" i="1"/>
  <c r="D249" i="1"/>
  <c r="C249" i="1" s="1"/>
  <c r="C251" i="1"/>
  <c r="D78" i="1"/>
  <c r="C78" i="1" s="1"/>
  <c r="C80" i="1"/>
  <c r="E39" i="1"/>
  <c r="C43" i="1"/>
  <c r="C2162" i="1"/>
  <c r="D63" i="1" l="1"/>
  <c r="C65" i="1"/>
  <c r="E37" i="1"/>
  <c r="C39" i="1"/>
  <c r="E359" i="1"/>
  <c r="C361" i="1"/>
  <c r="G360" i="1"/>
  <c r="C362" i="1"/>
  <c r="F359" i="1"/>
  <c r="C373" i="1"/>
  <c r="C36" i="1"/>
  <c r="D28" i="1"/>
  <c r="E606" i="1"/>
  <c r="C624" i="1"/>
  <c r="C606" i="1"/>
  <c r="C522" i="1"/>
  <c r="D520" i="1"/>
  <c r="C520" i="1" s="1"/>
  <c r="E2645" i="1"/>
  <c r="C2645" i="1" s="1"/>
  <c r="C2647" i="1"/>
  <c r="E62" i="1"/>
  <c r="C64" i="1"/>
  <c r="E2638" i="1"/>
  <c r="C2638" i="1" s="1"/>
  <c r="C2640" i="1"/>
  <c r="C374" i="1"/>
  <c r="E360" i="1"/>
  <c r="D2702" i="1"/>
  <c r="C2702" i="1" s="1"/>
  <c r="C2704" i="1"/>
  <c r="E607" i="1"/>
  <c r="C607" i="1" s="1"/>
  <c r="C609" i="1"/>
  <c r="E523" i="1"/>
  <c r="C529" i="1"/>
  <c r="C359" i="1" l="1"/>
  <c r="C63" i="1"/>
  <c r="D57" i="1"/>
  <c r="E29" i="1"/>
  <c r="C37" i="1"/>
  <c r="C360" i="1"/>
  <c r="E521" i="1"/>
  <c r="C521" i="1" s="1"/>
  <c r="C523" i="1"/>
  <c r="E56" i="1"/>
  <c r="C62" i="1"/>
  <c r="C28" i="1"/>
  <c r="D26" i="1"/>
  <c r="C57" i="1" l="1"/>
  <c r="D27" i="1"/>
  <c r="E27" i="1"/>
  <c r="C27" i="1" s="1"/>
  <c r="C29" i="1"/>
  <c r="E26" i="1"/>
  <c r="C26" i="1" s="1"/>
  <c r="C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1904" authorId="0" shapeId="0" xr:uid="{00000000-0006-0000-0100-00000100000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<sst xmlns="http://schemas.openxmlformats.org/spreadsheetml/2006/main" count="5314" uniqueCount="1219">
  <si>
    <t>HCJ Nr.30/11.12.2024</t>
  </si>
  <si>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</si>
  <si>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</si>
  <si>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</si>
  <si>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</si>
  <si>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</si>
  <si>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</si>
  <si>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</si>
  <si>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</si>
  <si>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</si>
  <si>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</si>
  <si>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</si>
  <si>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</si>
  <si>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</si>
  <si>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</si>
  <si>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</si>
  <si>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</si>
  <si>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</si>
  <si>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</si>
  <si>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</si>
  <si>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</si>
  <si>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2024</t>
  </si>
  <si>
    <t xml:space="preserve"> ESTIMARI 2025</t>
  </si>
  <si>
    <t xml:space="preserve"> ESTIMARI 2026</t>
  </si>
  <si>
    <t>ESTIMARI 2027</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</si>
  <si>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</si>
  <si>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</si>
  <si>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</si>
  <si>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</si>
  <si>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</si>
  <si>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</si>
  <si>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</si>
  <si>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</si>
  <si>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</si>
  <si>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</si>
  <si>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</si>
  <si>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</si>
  <si>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</si>
  <si>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</si>
  <si>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</si>
  <si>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</si>
  <si>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</si>
  <si>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</si>
  <si>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</si>
  <si>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</si>
  <si>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</si>
  <si>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</si>
  <si>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</si>
  <si>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</si>
  <si>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</si>
  <si>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</si>
  <si>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</si>
  <si>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</si>
  <si>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</si>
  <si>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</si>
  <si>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</si>
  <si>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</si>
  <si>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</si>
  <si>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</si>
  <si>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</si>
  <si>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</si>
  <si>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</si>
  <si>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</si>
  <si>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</si>
  <si>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</si>
  <si>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</si>
  <si>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</si>
  <si>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</si>
  <si>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</si>
  <si>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Spitalului de Recuperare Bradet</t>
  </si>
  <si>
    <t>5. Cresterea eficientei energetice a Palatului Administrativ situat in Pitesti-Piata Vasile Milea nr.1, judetul Arges</t>
  </si>
  <si>
    <t xml:space="preserve">                 Cc decontat 130 mii lei (total decontat 181 mii lei); </t>
  </si>
  <si>
    <t>6. Extindere, modernizare si dotare spatii urgenta Spitalul de Pediatrie Pitesti</t>
  </si>
  <si>
    <t>7. Extindere si dotare spatii Urgenta si amenajari incinta Spitalul Judetean de Urgenta Pitesti</t>
  </si>
  <si>
    <t>8. Extinderea, modernizarea si dotarea Ambulatoriului Integrat al Spitalului de Pediatrie Pitesti</t>
  </si>
  <si>
    <t>val. Investitie 13754 mii lei</t>
  </si>
  <si>
    <t>9. Extinderea si dotarea Ambulatoriului Integrat al Spitalului Judetean de Urgenta Pitesti</t>
  </si>
  <si>
    <t xml:space="preserve"> 10. Consolidarea infractucturii medicale pentru a face fata provocarilor ridicate de combaterea epidemiei de COVID 19 la Spitalul de Pneumoftiziologie "Sf.Andrei Valea Iasului, Arges”</t>
  </si>
  <si>
    <t xml:space="preserve"> Renovarea energetică moderată pentru sediul Regiei Autonome Județene de Drumuri Argeș, Municipiul Pitești, str. George Coșbuc nr.40, județul Argeș</t>
  </si>
  <si>
    <t xml:space="preserve">        Valoare totala 5 442 523,52 lei</t>
  </si>
  <si>
    <t>Adaptarea protejarii conductelor de transport gaze naturale existente DN 500 Hurezani-Corbu-Bucuresti, FirI si II la intersectia cu drumul judetean DJ 504 ca urmare a lucrarii: Modernizarea drumului judetean DJ 504 Lim.Jud.Teleorman-Popesti-Izvoru-Recea-Cornatel-Vulpesti (DN 65A), km 110+700-136+695, L=25,995 km, pe raza com.Popesti, Izvoru, Recea, Buzoesti, jud. Arges</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</si>
  <si>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</si>
  <si>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t>
  </si>
  <si>
    <t>Total neeligibil 2932 mii lei, din care Cc platit 152,34 mii lei in 2022</t>
  </si>
  <si>
    <t>val.inv. 14299 mii lei</t>
  </si>
  <si>
    <t>10.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</si>
  <si>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</si>
  <si>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</si>
  <si>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</si>
  <si>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</si>
  <si>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</si>
  <si>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</si>
  <si>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</si>
  <si>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</si>
  <si>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</si>
  <si>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</si>
  <si>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2. Laborator de Radioterapie Spitalul Judetean de Urgenta Pitesti</t>
  </si>
  <si>
    <t>3. Instalare rezervor stocare apa din sursa proprie la Spitalul Judetean de Urgenta Pitesti</t>
  </si>
  <si>
    <t>PV de receptie la terminarea lucrarii - nr.20841/4.05.2023</t>
  </si>
  <si>
    <t>2. Spitalul PNF Leordeni</t>
  </si>
  <si>
    <t>Construire cladire birouri administrative P+1E pentru Spitalul de Pneumoftiziologie Leordeni judetul Arges</t>
  </si>
  <si>
    <t>Valoarea totala 1 762 000 lei din care 55 510 lei decontati la Cc (SF+PT) ; Rest de executat - dotari PV receptie la terminarea lucrarilor nr.74/29.12.2021</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</si>
  <si>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</si>
  <si>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</si>
  <si>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</si>
  <si>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</si>
  <si>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</si>
  <si>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t>
  </si>
  <si>
    <t>3. Complex de 4 Locuinte protejate si Centru de zi, comuna Tigveni, sat Balilesti</t>
  </si>
  <si>
    <t>decontat la Cc 2,74+5,35=8,09 Valoare investitie 6 152 556,42 lei-actualizata la 29.06.2023 prin HCJ nr.196/29.06.2023</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</si>
  <si>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</si>
  <si>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</si>
  <si>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</si>
  <si>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</si>
  <si>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</si>
  <si>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</si>
  <si>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r>
      <t xml:space="preserve">       decontat 35,82 mii lei la Cc buget local in 2019; Valoare totala 5217,87 mii lei; Deviz actualizat cf. HCJ nr,223/7.08.2023, valoare totala 6 000 438,38 lei; Val. Actualizata </t>
    </r>
    <r>
      <rPr>
        <b/>
        <sz val="10"/>
        <rFont val="Arial"/>
        <family val="2"/>
        <charset val="238"/>
      </rPr>
      <t>7 752 126,07 lei</t>
    </r>
    <r>
      <rPr>
        <sz val="10"/>
        <rFont val="Arial"/>
        <family val="2"/>
        <charset val="238"/>
      </rPr>
      <t xml:space="preserve"> - HCJ nr.320/21.11.2023</t>
    </r>
  </si>
  <si>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</si>
  <si>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t>
    </r>
  </si>
  <si>
    <t>CAPITOLUL 70.02 LOCUINTE, SERVICII SI DEZVOLTARE ECONOMICA</t>
  </si>
  <si>
    <t xml:space="preserve">  02 Buget local</t>
  </si>
  <si>
    <t xml:space="preserve">  din care</t>
  </si>
  <si>
    <t>56 Proiecte cu finantare din fonduri externe nerambursabile postaderare</t>
  </si>
  <si>
    <t xml:space="preserve">Extinderea si reabilitarea infrastructurii de apa si apa uzata in judetul Arges </t>
  </si>
  <si>
    <t>Locuinte de serviciu, localitatea Stefanesti, sat Stefanestii Noi, str. Calea Bucuresti, nr.339B, jud. Arges</t>
  </si>
  <si>
    <t>CAPITOLUL 84.02 TRANSPORTURI</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</si>
  <si>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</si>
  <si>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</si>
  <si>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2. Modernizarea DJ 503 lim jud. Dambovita-Slobozia-Rociu-Oarja-Catanele (DJ 702G-km 3+824), km 98+000-140+034 (42,034 km), jud. Arges</t>
  </si>
  <si>
    <t>1.Modernizare pe DJ 725 Stoenesti-Dragoslavele, km 3+313-6+626, L=3,313 km, in comunele Stoenesti si Dragoslavele</t>
  </si>
  <si>
    <t xml:space="preserve">     Valoarea totala a investitiei = 7 535 550 lei</t>
  </si>
  <si>
    <t>2. Pod pe DJ 731 B Samara - Babana - Cocu, km 3+964 peste paraul Vartej, L = 24 m, in comuna Babana</t>
  </si>
  <si>
    <t xml:space="preserve">    Proces verbal de receptie nr.8445/10.06.2019    Valoare totala 2 126 253,14 lei</t>
  </si>
  <si>
    <t>3. Pod pe DJ 741 Pitesti - Valea Mare - Fagetu - Mioveni, km 2+060, peste paraul Valea Mare (Ploscaru), la Stefanesti</t>
  </si>
  <si>
    <t xml:space="preserve">   Val.totala inv. 2305,53 mii lei;  22 000 lei decontat la C. c</t>
  </si>
  <si>
    <t>4. Pod pe DJ 738 Jugur - Draghici - Mihaesti peste riul Tirgului, km 21+900, in com. Mihaesti</t>
  </si>
  <si>
    <t xml:space="preserve"> 22 000 lei decontat la C. c</t>
  </si>
  <si>
    <t>5. Modernizare DJ 703 B Serbanesti (DJ 659) - Silistea, km 70+410 - 77+826, L = 7,416 km, in comunele Rociu si Cateasca</t>
  </si>
  <si>
    <t xml:space="preserve">  Val. Totala inv. 11754 mii lei;  62 000 lei decontat la C. c</t>
  </si>
  <si>
    <t>6. Pod pe DJ 703 H Curtea de Arges (DN 7 C) - Valea Danului - Cepari, km 0+597, L = 152 m, in comuna Valea Danului</t>
  </si>
  <si>
    <t xml:space="preserve">  Deviz actualizat HCJ Nr.282/28.09.2023, val.totala 28 131,65 mii lei lei ; 37 000 lei decontat la    C. c</t>
  </si>
  <si>
    <t>7. Modernizare DJ 703 B Moraresti - Uda, km 17+753 - 20+253, L = 2,5 km, la Uda</t>
  </si>
  <si>
    <t xml:space="preserve">   51 000 lei decontat la C.c</t>
  </si>
  <si>
    <t>8. Modernizare DJ 702 A Ciupa - Ratesti, km 33+030 - 35+696, la Ratesti</t>
  </si>
  <si>
    <t xml:space="preserve">    Valoarea totala a inv. 4 121,94 mii lei;          18 000 lei decontat la C. c</t>
  </si>
  <si>
    <t>9. Modernizare DJ 703 B Costesti (DN 65 A) - Serbanesti (DJ 659), km 60+325 - 68+783, L = 8,458 km, la Costesti si Rociu</t>
  </si>
  <si>
    <t xml:space="preserve">  64 140 lei decontat la C. c; PV de receptie la terminarea lucrarilor Nr.3011/2021</t>
  </si>
  <si>
    <t>10. Modernizare pe DJ 679 D Negrasi (DJ 659) - Mozacu, km 34+500 - 39+500, L = 5,0 km, comuna Negrasi</t>
  </si>
  <si>
    <t>11. Modernizare DJ 703 B Padureti (DJ 679) - Costesti (DN 65 A), km 48+975 - 59+287, L = 10,312 km, la Lunca Corbului si Costesti</t>
  </si>
  <si>
    <t xml:space="preserve">  60 000 lei decontat la C.c; Actualizare deviz 33 602,81 mii lei conform HCJ 315/2023                                      </t>
  </si>
  <si>
    <t>12. Modernizare DJ 704 H Merisani-Baiculesti-Curtea de Arges, km 13+035-17+600, L=4,565 km</t>
  </si>
  <si>
    <t>13. Pod peste raul Neajlov, in satul Silistea, comuna Cateasca, judetul Arges</t>
  </si>
  <si>
    <t>14. Modernizare drum judetean DJ 703 B lim. Jud.Olt-Marghia-Padureti, km 41+275-41+775, L=500 m, comuna Lunca Corbului, jud. Arges</t>
  </si>
  <si>
    <t>15. Modernizare drum judetean DJ 742 Leordeni (DJ 703B)-Baloteasca-Cotu Malului-Glambocata-Leordeni (DN 7), km 5+100-6+100, L=1,0 km, la Leordeni, jud. Arges</t>
  </si>
  <si>
    <t>16. Modernizare drum judetean DJ 508 Cateasca (DJ 703B)-Furduiesti-Teiu-Buta (DJ 659), km 12+400-17+217, L=4,817 km, com. Teiu si Negrasi, jud. Arges</t>
  </si>
  <si>
    <t xml:space="preserve"> Valoarea totala a inv. 14 482 719,88 mii lei HCJ Nr.102/28.03.2024; plati din compensari</t>
  </si>
  <si>
    <t>17. Modernizare drum judetean DJ 703 Moraresti-Cuca-Ciomagesti-lim. Jud. Olt, km 13+400-16+600, L=3,2 km, comuna Cuca, jud. Arges</t>
  </si>
  <si>
    <t>18.Modernizare DJ 702 F Lim.Jud. Dambovita-Slobozia, km 17+984-18+441, L = 457 m, jud. Arges</t>
  </si>
  <si>
    <t>19. Modernizare DJ 738 Poienari (DN 73 km 44+500) - Jugur - Draghici - Mihaesti (DC11), km 10+200-13+600, L= 3,4 km, judetul Arges</t>
  </si>
  <si>
    <t xml:space="preserve"> valoare totala 13 629 mii lei; plati din alte surse pt documentatii 21,46 mii lei</t>
  </si>
  <si>
    <t>20. Modernizare DJ 703 H Curtea de Arges - Valea Danului - Cepari - Suici, Lim. Jud. Valcea, km 9+475 - 10+364, L=0,889 km, com. Valea Danului si Cepari, jud. Arges</t>
  </si>
  <si>
    <t xml:space="preserve"> valoare totala conform deviz 7610,58 mii lei; plati din alte surse pt documentatii 10,82 mii lei.</t>
  </si>
  <si>
    <t>21. Modernizare DJ 704 E Ursoaia - Bascovele - Ceauresti, km 3+100 - 7+600, L=4,5 km, judetul Arges</t>
  </si>
  <si>
    <t xml:space="preserve">  valoare totala 20 123 890,14 HCJ Nr.103/28.03.2024 mii lei; plati din alte surse pt documentatii 28,13 mii lei</t>
  </si>
  <si>
    <t>22. Modernizare DJ 731 D , km 15+075 - 16+825, L=1,75 km, comuna Cosesti, judetul.Arges</t>
  </si>
  <si>
    <t xml:space="preserve">  valoare totala 9 213,57 mii lei, din care 96 mii lei la C.c;                       59 mii lei decontat la Cc in 2021 -DALI</t>
  </si>
  <si>
    <t>23. Modernizare DJ 703G Șuici (DJ703H)-Ianculești-lim.jud. Vâlcea, km 14+000 - km 16+922, L=2,922 km, comuna Șuici</t>
  </si>
  <si>
    <t xml:space="preserve">   Deviz actualizat HCJ nr.217/27.07.2023, Valoare totala                    15 893 109,30 lei; HCJ nr.205/25.07.2024</t>
  </si>
  <si>
    <t>24. Modernizare DJ 731 B, sate Sămara şi Metofu, Km 1+603 – Km 3+732, în Comuna Poiana Lacului, L=2,129 km</t>
  </si>
  <si>
    <t>Valoare totala 10 732 171,17 lei conf. HCJ nr.109/02.04.2024</t>
  </si>
  <si>
    <t xml:space="preserve">25. Modernizare DJ732 C Bughea de Jos - Malu - Godeni, Km 7+165 – Km 8+913, L= 1,748 Km </t>
  </si>
  <si>
    <t>Valoare totala 8 928 404,15 lei conf. HCJ nr.108/02.04.2024</t>
  </si>
  <si>
    <t xml:space="preserve">26. Modernizare DJ 679 C lzvoru - Mozăceni Km 12+489 - Km 21+688 , L = 9,199 Km </t>
  </si>
  <si>
    <t>Valoare totala 35 841 880,53 lei conf. HCJ nr.207/25.07.2024</t>
  </si>
  <si>
    <t>27. Modernizare DJ 703 B Moraresti - Uda, Km 16+200 - Km 17+899, în Comuna Uda, L=1,699 km</t>
  </si>
  <si>
    <t>Valoare totala 7 418 530,44 lei conf. HCJ nr.106/02.04.2024</t>
  </si>
  <si>
    <t xml:space="preserve">28. Modernizare DJ 703 H Sălătrucu-Vâlcea, Km 25+200 - Km 27+202,65 și km 28+520 - km 29+863, L = 3345,65 m </t>
  </si>
  <si>
    <t>Valoare totala 20 109 091,40 lei conf.HCJ nr.206/25.07.2024</t>
  </si>
  <si>
    <t>29. Modernizare DJ 704D Prislop (DN7) - Lupueni (DJ 703E), Km 0+000- Km 2+358, L= 2,358 Km  in comunele Bascov si Babana</t>
  </si>
  <si>
    <t>30. Modernizare DJ 679A  Barla (DJ 679) – Caldararu, Km 0+000 -  Km 12+835, L=12,835 km</t>
  </si>
  <si>
    <t>31. Modernizare DJ 739 Bârzeşti (DN 73 D) – Negrești – Zgripcești – Beleți, km 0+582 - Km 2+408,  L=1,826 Km, în Comuna Vulturești</t>
  </si>
  <si>
    <t xml:space="preserve">   Valoare totala 9 483 313,21 lei cf HCJ nr.107/02.04.2024</t>
  </si>
  <si>
    <t>32.Modernizare DJ 703 I  Merisani (DN 7 C - Km 12+450) – Musatesti – Bradulet - Bradet - Lac Vidraru (DN 7 C - Km 64+400), Km 53+580 – Km 61+055, L = 7,475 Km</t>
  </si>
  <si>
    <t>33. Modernizare DJ 704 G Cicanesti - Suici (DJ 703H ), Km 9+532 -  Km 13+435, L=3,903 Km</t>
  </si>
  <si>
    <t>Valoare totala 28 080 951,61 lei conf. HCJ nr.208/25.07.2024</t>
  </si>
  <si>
    <t xml:space="preserve">34. Modernizare DJ 703E Pitesti (DN 67) - Babana - Cocu, Km 1+800 - Km 19+765, L= 17,965 Km </t>
  </si>
  <si>
    <t>1. Modernizare DJ 703B Moraresti (DN 7+km 148+980)-Salistea-Vedea-Lim. Jud. Olt (km 34+714-Lim. Jud. Olt(km 41+164)-Marghia-Padureti-Costesti-Serbanesti-Silistea-Cateasca-Leordeni (DN 7-km 91+230), km 77+826-83+126, L= 5,3 km, comuna Cateasca, judetul Arges.</t>
  </si>
  <si>
    <t xml:space="preserve"> </t>
  </si>
  <si>
    <t>2. Modernizare DJ 679D Malu-(DJ 679-km 38+940)-Coltu-Ungheni-Recea-Negrasi -Mozacu, km 7+940-14+940, L= 7km, comuna Ungheni, Judetul Arges</t>
  </si>
  <si>
    <t>3. Modernizare DJ 739 Barzesti-Negresti- Zgripcesti- Beleti, km 9+800-12+000, L= 2,2 km, Judetul Arges</t>
  </si>
  <si>
    <t>4. Modernizare DJ 738 Poienari (DN 73- km 44+500)-Jugur-Draghici-Mihaesti(DC 11), km 10+200-13+600, L= 3,4 km, judetul Arges</t>
  </si>
  <si>
    <t>5. Modernizare DJ 703 H Curtea de Arges-Valea Danului-Cepari-Suici-Lim. Jud. Valcea, km 9+475-10+364, L= 0,889, com Valea Danului si Cepari, Jud Arges</t>
  </si>
  <si>
    <t>6. Modernizare DJ 704E  Ursoaia-Bascovele-Ceauresti,km 3+100-7+600, L= 4,5km, Judetul Arges</t>
  </si>
  <si>
    <t xml:space="preserve">B. Obiective (proiecte) de investiţii noi </t>
  </si>
  <si>
    <t xml:space="preserve">56 Proiecte cu finantare din fonduri externe nerambursabile postaderare </t>
  </si>
  <si>
    <t>1. Elaborarea Planului de Amenajare a Teritoriului Judetean (P.A.T.J.) Arges</t>
  </si>
  <si>
    <t xml:space="preserve"> Laborator de Radioterapie Spitalul Judetean de Urgenta Pitesti</t>
  </si>
  <si>
    <t>1. Spitalul de Recuperare Bradet</t>
  </si>
  <si>
    <t xml:space="preserve"> Amenajare parc agrement</t>
  </si>
  <si>
    <t>Constructie sala vestiare personal si circuit separare transport lenjerie</t>
  </si>
  <si>
    <t xml:space="preserve">Valoarea totala 467 706,47 lei, C+M 375 385,89 lei; Cc 31 000; decontat 110 lei+3300 lei ; PV de receptie la terminarea lucrarilor nr.5282/13.09.2023  </t>
  </si>
  <si>
    <t>2. Spitalul de Psihiatrie Sfanta Maria Vedea</t>
  </si>
  <si>
    <t>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</si>
  <si>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t>
  </si>
  <si>
    <t>3. Spitalul de Pmeumoftiziologie "Sf. Andrei" Valea Iasului</t>
  </si>
  <si>
    <t xml:space="preserve">Studiu fezabilitate Constructie parter generator oxigen </t>
  </si>
  <si>
    <t xml:space="preserve">Constructie parter generator oxigen </t>
  </si>
  <si>
    <t>CAPITOLUL 67.10 CULTURA,RECREERE SI RELIGIE</t>
  </si>
  <si>
    <t>Teatrul "Al. Davila" Pitesti</t>
  </si>
  <si>
    <t>Consolidarea si modernizarea imobilului situat in str.Domnita Balasa, nr.19, apartinand Teatrului Davila Pitesti, denumita Sala Aschiuta, judetul Arges</t>
  </si>
  <si>
    <t>Valoarea totala 17 413 775,33 lei conf. deviz general; 151 mii lei decontat la Cc in 2019; 460 mii lei PT si Asist. Tehnica la Cc in 2022</t>
  </si>
  <si>
    <t>Consolidare si reabilitare cladire Teatrul "Alexandru Davila Pitesti"</t>
  </si>
  <si>
    <t>Valoarea totala 39 483 247,29 lei HCJ 226/17.08.2023; Cc 4 393 000 lei pentru DALI</t>
  </si>
  <si>
    <t>CAPITOLUL 68  ASIGURARI SI ASISTENTA SOCIALA</t>
  </si>
  <si>
    <t>Complexul de Servicii pentru Persoane Adulte cu Dizabilitati Pitesti</t>
  </si>
  <si>
    <t>1. Modernizarea si dotarea Centrului de Servicii de Recuperare Neuromotorie de tip Ambulatoriu Mioveni</t>
  </si>
  <si>
    <t>2. Modernizarea si dotarea Centrului de Zi pentru Persoane Adulte cu Dizabilitati Pitesti</t>
  </si>
  <si>
    <t xml:space="preserve">Directia Generala de Asistenta Sociala si Protectia Copilului Arges </t>
  </si>
  <si>
    <t>Sistematizare verticală și iluminat exterior în incinta Complexului de Servicii Sociale Costești, județul Argeș</t>
  </si>
  <si>
    <t>Unitatea de Asistenta Medico-Sociala Dedulesti</t>
  </si>
  <si>
    <t>Reabilitare, supraetajare si extindere corp A de la U.A.M.S Dedulesti</t>
  </si>
  <si>
    <t>Valoare totala 6 313 272,07 lei; HCJ nr.289/23.11.2021</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</si>
  <si>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</si>
  <si>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</si>
  <si>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Modernizare DJ 659: Pitești - Bradu - Suseni - Gliganu de Sus - Bârlogu - Negrași - Mozăceni - Lim. Jud. Dâmboviţa, km 0+000 - 58+320, L = 58,320 km"</t>
  </si>
  <si>
    <t>Valoare totala proiect 358 490 709,06 lei; din care plati 20223 Cc 1,12 mii lei;    Cc. 2024 - 2 112 mii lei.</t>
  </si>
  <si>
    <t>1. Drumuri si poduri judetene</t>
  </si>
  <si>
    <t xml:space="preserve">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</si>
  <si>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2. Modernizare drum județean DJ 678 E Teodorești (DJ 703 –km 13+339) –Cotu – Lim. Jud. Valcea, km 1+200-km - 3+000, L = 1,8 km, comuna Cuca, jud. Argeș"</t>
  </si>
  <si>
    <t xml:space="preserve">     Valoare totala 7 149 765,90 lei (HCJ nr.321/31.10.2024);                                                                                           din care Cc 31 mii lei</t>
  </si>
  <si>
    <t>3. Modernizare drum județean DJ 678 B Lim. Jud. Vâlcea - Cuca (DJ 703 - km 9+765), km 26+950- km 27+862, L = 0,912 km, comuna Cuca, jud. Argeș"</t>
  </si>
  <si>
    <t xml:space="preserve">  Valoare totala 3511,04 mii lei; din care Cc. 16,66 mii lei </t>
  </si>
  <si>
    <t>4. Pod pe DJ 679D, Malu (DJ  679  km 38+940)-Coltu-Ungheni, km 13+911, L=12 m, comuna  Ungheni, jud.Arges</t>
  </si>
  <si>
    <t xml:space="preserve">    valoarea totala 3 283,24 mii lei; Cc 48,79 mii lei;                                </t>
  </si>
  <si>
    <t>5.Modernizare DJ 703B Moraresti (DN 7+km 148+980)-Salistea-Vedea-Lim. Jud. Olt (km 34+714-Lim. Jud. Olt(km 41+164)-Marghia-Padureti-Costesti-Serbanesti-Silistea-Cateasca-Leordeni (DN 7-km 91+230), km 77+826-83+126, L= 5,3 km, comuna Cateasca, judetul Arges.</t>
  </si>
  <si>
    <t>Valoarea totala 16 925,53 mii lei; Cc 33,92 mii lei</t>
  </si>
  <si>
    <t>6. Modernizare DJ 679D Malu-(DJ 679-km 38+940)-Coltu-Ungheni-Recea-Negrasi -Mozacu, km 7+940-14+940, L= 7km, comuna Ungheni, Judetul Arges</t>
  </si>
  <si>
    <t>Valoarea totala 19 471,54 mii lei; Cc 42,25 mii lei</t>
  </si>
  <si>
    <t>7. Relocare utilitati (conducte gaze) "Pod pe DJ 738 Jugur-Drăghici-Mihăeşti peste râul Târgului, km 21+900, în comuna Mihăeşti"</t>
  </si>
  <si>
    <t>8. Modernizare DJ 702 F, Limita judet Dambovita - Slobozia, km 14+000-17+355, L = 3,355 km, judetul Arges</t>
  </si>
  <si>
    <t>Valoare totala 10 133,58 mii lei; 70 mii lei DALI Cc.</t>
  </si>
  <si>
    <t>9. Executie prag de fund si lucrari de stabilizare a malurilor aferente podului amplasat pe DJ 703B, km 84+723, in comuna Cateasca, judetul Arges"</t>
  </si>
  <si>
    <t>Valoare totala 20 202 286,41 lei - HCJ Nr.151/14.05.2024;                  din care Cc. 333,41 mii lei</t>
  </si>
  <si>
    <t>10. Modernizare DJ 731 D, comuna Darmanesti, judetul Arges, km 8+440 -  km 11+240, L=2,8 km</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</si>
  <si>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</si>
  <si>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</si>
  <si>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</si>
  <si>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</si>
  <si>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</si>
  <si>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</si>
  <si>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CAPITOLUL 68.02 ASISTENTA SOCIALA </t>
  </si>
  <si>
    <t xml:space="preserve">Centru de criza  pentru persoane adulte cu dizabilitati </t>
  </si>
  <si>
    <t xml:space="preserve">Centru respiro pentru persoane adulte cu dizabilitati </t>
  </si>
  <si>
    <t xml:space="preserve">Locuinte protejate - Siguranta si Ingrijire Arges </t>
  </si>
  <si>
    <t>b. dotari independente</t>
  </si>
  <si>
    <t>Proiect "Implementarea unor masuri si instrumente destinate imbunatatirii proceselor administrative in cadrul Consiliului Judetean Arges"</t>
  </si>
  <si>
    <t xml:space="preserve">         Valoarea totala = 152 000 lei  Finalizat 2021</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</si>
  <si>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</si>
  <si>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</si>
  <si>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Multifunctional laser color</t>
  </si>
  <si>
    <t>Sistem Desktop PC</t>
  </si>
  <si>
    <t xml:space="preserve">Multifunctionala laser A4 </t>
  </si>
  <si>
    <t>Sistem desktop  PC</t>
  </si>
  <si>
    <t>Laptop</t>
  </si>
  <si>
    <t>Achiziție microbuze destinate transportului elevilor din Județul Argeș prin finanțare acordată de AFM</t>
  </si>
  <si>
    <t>proiect finantat de Agentia Fondului de Mediu;           Valoare totala proiect 25 000 000 lei</t>
  </si>
  <si>
    <t>Router</t>
  </si>
  <si>
    <t>Sistem Desktop PC ( cu monitor )</t>
  </si>
  <si>
    <t>Sistem Desktop PC ( fara monitor )</t>
  </si>
  <si>
    <t>Drug test +teste</t>
  </si>
  <si>
    <t>Simulator auto</t>
  </si>
  <si>
    <t>Sistem de supraveghere pentru bariera auto</t>
  </si>
  <si>
    <t>Sistem de supraveghere pentru sala de audiente</t>
  </si>
  <si>
    <t>Actualizare Licenta ArcGis Enterprise Workgroup 2 cores de la versiunea 10.2 la versiunea curenta 10.9.1</t>
  </si>
  <si>
    <t>Actualizare Licenta ArcGis Desktop Standard de  la versiunea 10.2 la versiunea curenta 10.8.2</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</si>
  <si>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</si>
  <si>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</si>
  <si>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</si>
  <si>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</si>
  <si>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</si>
  <si>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Microsoft Office </t>
  </si>
  <si>
    <t>Software simulator auto</t>
  </si>
  <si>
    <t>Solutie Hub intern - portal digital integrat</t>
  </si>
  <si>
    <t xml:space="preserve">CAPITOLUL 54.10 ALTE SERVICII PUBLICE GENERALE </t>
  </si>
  <si>
    <t>Directia Judeteana pentru Evidenta Persoanelor Arges</t>
  </si>
  <si>
    <t>Licenta Microsoft Office Professional</t>
  </si>
  <si>
    <t>CAPITOLUL 60.02 APARARE</t>
  </si>
  <si>
    <t>Centrul Militar Judetean Arges</t>
  </si>
  <si>
    <t>Caseta luminoasa -birou informare recrutare</t>
  </si>
  <si>
    <t>Caseta luminoasa Centrul Militar Judetean</t>
  </si>
  <si>
    <t>Complet statie de lucru cu cititor de smart - card</t>
  </si>
  <si>
    <t>1. StructuraTeritoriala pentru Probleme Speciale Arges</t>
  </si>
  <si>
    <t>Sistem antiefractie</t>
  </si>
  <si>
    <t>Sistem monitorizare video TVCI</t>
  </si>
  <si>
    <t>Sistem control acces</t>
  </si>
  <si>
    <t>2. Centrul Militar Judetean Arges</t>
  </si>
  <si>
    <t>Sistem alarma si geamuri antiefractie</t>
  </si>
  <si>
    <t xml:space="preserve">Licenta Microsoft Windows 11 PRO+Office 2021 </t>
  </si>
  <si>
    <t>CAPITOLUL 61.02 ORDINE PUBLICA SI SIGURANTA NATIONALA</t>
  </si>
  <si>
    <t>1. Inspectoratul pentru Situatii de Urgenta</t>
  </si>
  <si>
    <t>Patura ignifuga auto</t>
  </si>
  <si>
    <t>Dispozitiv punere in siguranta autovehicul electric</t>
  </si>
  <si>
    <t>Lance stingere acumulatori vehicul electric</t>
  </si>
  <si>
    <t>Cisterna pentru transport apa  min. 5 mii litri</t>
  </si>
  <si>
    <t>Centrale termice in condensare cu combustibil gazos de 70 kw cu montaj si punere in functiune</t>
  </si>
  <si>
    <t>Centrale termice in condensare cu combustibil gazos de 33 kw cu montaj si punere in functiune</t>
  </si>
  <si>
    <t>Detector mediu exploziv</t>
  </si>
  <si>
    <t>Autospecială suport logistic  3,5 tone</t>
  </si>
  <si>
    <t>Platformă transport vehicule avariate</t>
  </si>
  <si>
    <t xml:space="preserve">UTV șenilată cu remorcă proprie </t>
  </si>
  <si>
    <t>Sonar  subacvatic digital</t>
  </si>
  <si>
    <t>Corturi 8 x 4m</t>
  </si>
  <si>
    <t>Statii de lucru tip Desktop</t>
  </si>
  <si>
    <t>Monitoare pentru statii de lucru tip desktop</t>
  </si>
  <si>
    <t>Sisteme control acces cu dublu sens</t>
  </si>
  <si>
    <t>Sistem de alarma antiefractie si incendiu</t>
  </si>
  <si>
    <t>2. Serviciul Public Judetean Salvamont Arges</t>
  </si>
  <si>
    <t xml:space="preserve">Rucsaci de avalansa </t>
  </si>
  <si>
    <t>Autoutilitara 4x4</t>
  </si>
  <si>
    <t xml:space="preserve">Achizitie si montaj generator </t>
  </si>
  <si>
    <t xml:space="preserve">Dispozitiv monitorizare funcții vitale </t>
  </si>
  <si>
    <t xml:space="preserve">Centrală termică electrică 27kw </t>
  </si>
  <si>
    <t>Sistem de avertizare luminoasa si acustica</t>
  </si>
  <si>
    <t>CAPITOLUL 65.02 INVATAMANT</t>
  </si>
  <si>
    <t xml:space="preserve">1. Gradinita Speciala "Sfanta Elena" Pitesti </t>
  </si>
  <si>
    <t>Microbuz</t>
  </si>
  <si>
    <t>2. Centrul Scolar de Educatie Incluziva "Sf. Nicolae" Campulung</t>
  </si>
  <si>
    <t>1. Spitalul Judetean de Urgenta Pitesti</t>
  </si>
  <si>
    <t>Consolidarea capacitatii de gestionare a crizei sanitare cauzata de  COVID-19 in cadrul Spitalului Judetean de Urgenta Pitesti</t>
  </si>
  <si>
    <t>2. Spitalul PNF Valea Iasului</t>
  </si>
  <si>
    <t>Cresterea capacitatii de gestionare a crizei sanitare COVID-19 in cadrul Spitalului de Pneumoftiziologie "Sfantul Andrei" Valea Iasului</t>
  </si>
  <si>
    <t>Achizitie de Echipamente si materiale destinate reducerii riscului de infectii nosocomiale</t>
  </si>
  <si>
    <t>Achiziție de echipamente software, hardware și IT</t>
  </si>
  <si>
    <t>2. Spitalul Orasenesc "Regele Carol I" Costesti</t>
  </si>
  <si>
    <t>Injector de CO2 (Angiodroid)</t>
  </si>
  <si>
    <t>Ecograf 3D ginecologie</t>
  </si>
  <si>
    <t>Ecograf stationar</t>
  </si>
  <si>
    <t>Ecograf cord</t>
  </si>
  <si>
    <t xml:space="preserve">Videofibroscop laringian </t>
  </si>
  <si>
    <t>Unit dentar complet</t>
  </si>
  <si>
    <t>C-Arm</t>
  </si>
  <si>
    <t>Masina de spalat 50kg cu storcator peste 1200 rot/min</t>
  </si>
  <si>
    <t>Uscator 35-40 kg</t>
  </si>
  <si>
    <t>Cuptor etajat cu 10 tavi</t>
  </si>
  <si>
    <t>Plita profesionala cu 8 ochiuri</t>
  </si>
  <si>
    <t>Sistem hemodinamic pentru angiograf</t>
  </si>
  <si>
    <t>Sistem angiograf monoplan cardiovascular</t>
  </si>
  <si>
    <t>Motor oscilant gipsotom</t>
  </si>
  <si>
    <t>Compresor aer DK 502VS/M</t>
  </si>
  <si>
    <t>Aparat EKG</t>
  </si>
  <si>
    <t>Lupe chirurgicale cu magnificatie 2.5XmACRO-Up Orascoptic</t>
  </si>
  <si>
    <t>Aparat pentru lipit pungi sterilizare (instrumentar chirurgical)</t>
  </si>
  <si>
    <t>Monitor functii vitale</t>
  </si>
  <si>
    <t>2. Spitalul de Pediatrie Pitesti</t>
  </si>
  <si>
    <t>Server</t>
  </si>
  <si>
    <t>Analizor automat de biochimie cu modul ISE integrat</t>
  </si>
  <si>
    <t xml:space="preserve">Incubator </t>
  </si>
  <si>
    <t>Lampa fototerapie nou nascuti</t>
  </si>
  <si>
    <t>Dozator chimicale cu pompa dozatoare pentru cazan abur</t>
  </si>
  <si>
    <t>DAPmetru</t>
  </si>
  <si>
    <t>Laringoscop</t>
  </si>
  <si>
    <t>Masina profesionala pentru spalat si aspirat pardoseli</t>
  </si>
  <si>
    <t>Analizor de gaze sangvine</t>
  </si>
  <si>
    <t>Turn Artroscopie</t>
  </si>
  <si>
    <t>Ecograf cu Modul Cardio Pediatric</t>
  </si>
  <si>
    <r>
      <t>Videotelescop HD, diametru 5mm, unghi de vedere 30</t>
    </r>
    <r>
      <rPr>
        <vertAlign val="superscript"/>
        <sz val="10"/>
        <rFont val="Arial"/>
        <family val="2"/>
      </rPr>
      <t>0</t>
    </r>
  </si>
  <si>
    <t xml:space="preserve">Pompa infuzomat </t>
  </si>
  <si>
    <t xml:space="preserve">Troliu medical pediatric </t>
  </si>
  <si>
    <t>Masina spalat toalete</t>
  </si>
  <si>
    <t xml:space="preserve">Canapea de examinare electrica </t>
  </si>
  <si>
    <t>Fierastrau gips cu aspiratie</t>
  </si>
  <si>
    <t xml:space="preserve">Echipament computer tomograf </t>
  </si>
  <si>
    <t>3. Spitalul de Boli Cronice si Geriatrie "Constantin Balaceanu Stolnici" Stefanesti</t>
  </si>
  <si>
    <t>Bicicleta electica pentru membre superioare si inferioare</t>
  </si>
  <si>
    <t>Masina spalat industriala</t>
  </si>
  <si>
    <t>Bai galvanice 4 celulare</t>
  </si>
  <si>
    <t>Boiler cu doua serpentine</t>
  </si>
  <si>
    <t>Dispozitiv de masurare indice glezna brat ABPI</t>
  </si>
  <si>
    <t>Dispozitiv dinamic de terapie de mers cu sprijin partial de greutate</t>
  </si>
  <si>
    <t>Helcometru dublu cu spalier inclus</t>
  </si>
  <si>
    <t>Concentrator oxigen</t>
  </si>
  <si>
    <t>Frigider mortuar cu 2 locuri</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</si>
  <si>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</si>
  <si>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</si>
  <si>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</si>
  <si>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</si>
  <si>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</si>
  <si>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</si>
  <si>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</si>
  <si>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</si>
  <si>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</si>
  <si>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</si>
  <si>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</si>
  <si>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</si>
  <si>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</si>
  <si>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</si>
  <si>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</si>
  <si>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</si>
  <si>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</si>
  <si>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</si>
  <si>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</si>
  <si>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</si>
  <si>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</si>
  <si>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</si>
  <si>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 xml:space="preserve">Masa kinetoterapie reglata electric </t>
  </si>
  <si>
    <t>4. Spitalul de Recuperare Bradet</t>
  </si>
  <si>
    <t>UPS</t>
  </si>
  <si>
    <t>Marmita electrica</t>
  </si>
  <si>
    <t>Extindere sistem de supraveghere video</t>
  </si>
  <si>
    <t>Storage extern</t>
  </si>
  <si>
    <t>Aparat cu unde electromagnetice de inalta frecventa -Sistem superinductiv</t>
  </si>
  <si>
    <t>Aparat laserterapie de inalta intensitate</t>
  </si>
  <si>
    <t>Cada hidroterapie</t>
  </si>
  <si>
    <t>Pat spital</t>
  </si>
  <si>
    <t>Aparat teste sanitare pentru maini</t>
  </si>
  <si>
    <t>Bantic (fierastrau) pentru carne congelata</t>
  </si>
  <si>
    <t>Masina industriala de spatat rufe</t>
  </si>
  <si>
    <t>Uscator industrial rufe</t>
  </si>
  <si>
    <t>Aparat masaj limfatic</t>
  </si>
  <si>
    <t>Stepper profesional</t>
  </si>
  <si>
    <t>Banda electrica alergare</t>
  </si>
  <si>
    <t>Bicicleta orizontala profesionala</t>
  </si>
  <si>
    <t>Malaxor pentru parafina</t>
  </si>
  <si>
    <t>Frigider bloc alimentar</t>
  </si>
  <si>
    <t>5.Spitalul de Pneumoftiziologie "Sf.Andrei" Valea Iasului</t>
  </si>
  <si>
    <t>1. Spitalul de Pediatrie Pitesti</t>
  </si>
  <si>
    <t>2. Spitalul de Recuperare Bradet</t>
  </si>
  <si>
    <t>3.Spitalul Judetean de Urgenta Pitesti</t>
  </si>
  <si>
    <t>4.Spitalul PNF Valea Iasului</t>
  </si>
  <si>
    <t>Microscop trinocular cu camera video</t>
  </si>
  <si>
    <t>Imprimanta digitala radiologie</t>
  </si>
  <si>
    <t>6. Spitalul Orasenesc "Regele Carol I" Costesti</t>
  </si>
  <si>
    <t>Masina de curatat cartofi</t>
  </si>
  <si>
    <t>Sistem de radiologie interventionala mobil tip Brat C</t>
  </si>
  <si>
    <t>7. Spitalul de Pneumoftiziologie Leordeni</t>
  </si>
  <si>
    <t>EKG</t>
  </si>
  <si>
    <t>GAZOMETRU</t>
  </si>
  <si>
    <t>Masina de spalat profesionala</t>
  </si>
  <si>
    <t>Aparat radiologie fixa digital</t>
  </si>
  <si>
    <t>Masa de calcat profesionala</t>
  </si>
  <si>
    <t>Centrala termica 120 kw</t>
  </si>
  <si>
    <t>Statie dedurizare</t>
  </si>
  <si>
    <t>Masina profesionala de curatat cartofi</t>
  </si>
  <si>
    <t>Aragaz profesional cu opt focuri si doua cuptoare</t>
  </si>
  <si>
    <t>8. Spitalul de Psihiatrie "Sf.Maria" Vedea</t>
  </si>
  <si>
    <t xml:space="preserve">Aragaz </t>
  </si>
  <si>
    <t>Masina de spalat profesionala 50 kg</t>
  </si>
  <si>
    <t>Masina de spalat profesionala 10 kg</t>
  </si>
  <si>
    <t>9. Spitalul de Boli Cronice Calinesti</t>
  </si>
  <si>
    <t>Dispozitiv ridicare pacienti</t>
  </si>
  <si>
    <t>Echipament informatic - Server</t>
  </si>
  <si>
    <t>Electrocardiograf</t>
  </si>
  <si>
    <t>Troliu urgente + kit accesorii  standard</t>
  </si>
  <si>
    <t>Licenta Windows Server</t>
  </si>
  <si>
    <t>Licenta antivirus</t>
  </si>
  <si>
    <t>2. Spitalul Judetean de Urgenta Pitesti</t>
  </si>
  <si>
    <t>Sistem antivirus</t>
  </si>
  <si>
    <t>Echipament de tip firewall</t>
  </si>
  <si>
    <t>Sistem NAS 48TB compatibil cu sistemul CARESTREAM VUE PACS</t>
  </si>
  <si>
    <t>Licenta SQL Server 2022 standard edition</t>
  </si>
  <si>
    <t>Licenta SQL 2022 device CAL</t>
  </si>
  <si>
    <t xml:space="preserve">Licenta pentru echipament de tip firewall FortiGate -101F </t>
  </si>
  <si>
    <t>3. Spitalul de Pneumoftiziologie Leordeni</t>
  </si>
  <si>
    <t>Kit automatizare pentru usa glisanta</t>
  </si>
  <si>
    <t>CAPITOLUL 67 CULTURA, RECREERE SI RELIGIE</t>
  </si>
  <si>
    <t xml:space="preserve"> Biblioteca Judeteana "Dinicu Golescu" Pitesti</t>
  </si>
  <si>
    <t>Centrul Europe Direct</t>
  </si>
  <si>
    <t>Biblioteca Judeteana "Dinicu Golescu" Pitesti</t>
  </si>
  <si>
    <t>Sistem de supraveghere video</t>
  </si>
  <si>
    <t>Aparat foto cu obiectiv</t>
  </si>
  <si>
    <t>Licente Office 2021 Pro Plus</t>
  </si>
  <si>
    <t xml:space="preserve"> 10 Venituri proprii</t>
  </si>
  <si>
    <t>1. Biblioteca Judeteana "Dinicu Golescu" Pitesti</t>
  </si>
  <si>
    <t>Imprimanta tridimensionala</t>
  </si>
  <si>
    <t>2. Muzeul Judetean Arges</t>
  </si>
  <si>
    <t>Umidificator de aer</t>
  </si>
  <si>
    <t>Pompa electrica de caldura</t>
  </si>
  <si>
    <t>Microscop Digital</t>
  </si>
  <si>
    <t>Aparat foto DSLR</t>
  </si>
  <si>
    <t>Extractor cu brat articulat cu accesorii</t>
  </si>
  <si>
    <t>Drujba</t>
  </si>
  <si>
    <t>Dispozitiv etichete nevazatori</t>
  </si>
  <si>
    <t>Motocoasa</t>
  </si>
  <si>
    <t>OBIECTIV aparat foto</t>
  </si>
  <si>
    <t>LASER  -  DISPOZITIV LASER FRAGMENTE CERAMICE</t>
  </si>
  <si>
    <t>3.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</si>
  <si>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</si>
  <si>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</si>
  <si>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</si>
  <si>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</si>
  <si>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</si>
  <si>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</si>
  <si>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</si>
  <si>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</si>
  <si>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</si>
  <si>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</si>
  <si>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</si>
  <si>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</si>
  <si>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Trombon tenor</t>
  </si>
  <si>
    <t>Trompetă Bb I</t>
  </si>
  <si>
    <t>Trompetă Bb II</t>
  </si>
  <si>
    <t>Saxofon tenor Bb I</t>
  </si>
  <si>
    <t>Saxofon tenor Bb II</t>
  </si>
  <si>
    <t>Saxofon sopran Bb I</t>
  </si>
  <si>
    <t>Pian electric</t>
  </si>
  <si>
    <t>Set percuție(tobă de scenă, cinele, protecție tobă)</t>
  </si>
  <si>
    <t>Cărucior pupitre pro</t>
  </si>
  <si>
    <t>4. Muzeul Viticulturii si Pomiculturii Golesti</t>
  </si>
  <si>
    <t>Grup sanitar special pentru persoane cu dizabilitati</t>
  </si>
  <si>
    <t>Grup sanitar pentru zona han traditional (muzeul in aer liber)</t>
  </si>
  <si>
    <t>Pompa pentru automatizare umplere cu apa bazin hidranti</t>
  </si>
  <si>
    <t>Proiectul "Priveste cerul, romaneste!"</t>
  </si>
  <si>
    <t>Telescop refractor</t>
  </si>
  <si>
    <t xml:space="preserve">Telescop astronomic inteligent </t>
  </si>
  <si>
    <t>5. Centrul Judetean de Cultura si Arte Arges</t>
  </si>
  <si>
    <t>Aparat foto cu doua obiective profesionale</t>
  </si>
  <si>
    <t>1. Muzeul Judetean Arges</t>
  </si>
  <si>
    <t>Microscop digital</t>
  </si>
  <si>
    <t>Vitrina expozitie Orizontala</t>
  </si>
  <si>
    <t>Vitrina expozitie Verticala</t>
  </si>
  <si>
    <t>2. Centrul Judetean de Cultura si Artes Arges</t>
  </si>
  <si>
    <t>Tambal</t>
  </si>
  <si>
    <t xml:space="preserve">Licenta Retail Microsoft Office 2021 Professional Software Access </t>
  </si>
  <si>
    <t>Licenta Retail Microsoft Office 2021 profesional completa</t>
  </si>
  <si>
    <t>Film planetariu cu licenta</t>
  </si>
  <si>
    <t xml:space="preserve">MICROSOFT WINDOWS 10 PROFESSIONAL </t>
  </si>
  <si>
    <t xml:space="preserve">LICENTA MICROSOFT OFFICE 2021 PROFESSIONAL PLUS </t>
  </si>
  <si>
    <t>LICENTA COREL DRAW STANDARD 2021</t>
  </si>
  <si>
    <t xml:space="preserve">LICENTE COREL DRAW </t>
  </si>
  <si>
    <t>2. Biblioteca Judeteana "Dinicu Golescu" Pitesti</t>
  </si>
  <si>
    <t>Licenta Windows 10 Pro Retail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</si>
  <si>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</si>
  <si>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</si>
  <si>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</si>
  <si>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</si>
  <si>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 xml:space="preserve">Multifunctionala </t>
  </si>
  <si>
    <t>2.Directia Generala de Asistenta Sociala si Protectia Copilului Arges</t>
  </si>
  <si>
    <t>Centru de zi  pentru persoane adulte cu dizabilitati Dragolesti</t>
  </si>
  <si>
    <t>3. Centrul de Integrare prin Terapie Ocupationala Tigveni</t>
  </si>
  <si>
    <t>Achizitionare si montare centrala termica</t>
  </si>
  <si>
    <t>PV receptie nr.365/13.11.2023; punere in functiune</t>
  </si>
  <si>
    <t>4. Camin Persoane Varstnice Mozaceni</t>
  </si>
  <si>
    <t>Centrală termică electrică</t>
  </si>
  <si>
    <t>1. Directia Generala de Asistenta Sociala si Protectia Copilului Arges</t>
  </si>
  <si>
    <t xml:space="preserve">2. Complexul de Servicii pentru Persoane cu Dizabilitati Vulturesti </t>
  </si>
  <si>
    <t>Copiator multifunctional laser monocrom A3 cu piedestal</t>
  </si>
  <si>
    <t>3. Directia Generala de Asistenta Sociala si Protectia Copilului Arges</t>
  </si>
  <si>
    <t>Achizitie cabina paza</t>
  </si>
  <si>
    <t>1. Centrul de Ingrijire si Asistenta Bascovele</t>
  </si>
  <si>
    <t>Achizitionare si montare sistem iluminat securitate</t>
  </si>
  <si>
    <t>PV receptie nr.1066/24.05.2023; punere in functiune</t>
  </si>
  <si>
    <t xml:space="preserve">2. Complexul de Servicii pentru Persoane cu Dizabilitati Babana </t>
  </si>
  <si>
    <t>Cabina de paza</t>
  </si>
  <si>
    <t>1. Unitatea de Asistenta Medico - Sociala Suici</t>
  </si>
  <si>
    <t>Masina de spalat industriala 50-60 kg</t>
  </si>
  <si>
    <t>Paturi tip spital</t>
  </si>
  <si>
    <t>Marmita</t>
  </si>
  <si>
    <t>2. Unitatea de Asistenta Medico - Sociala Dedulesti</t>
  </si>
  <si>
    <t>Masina de spalat rufe 23-25 kg</t>
  </si>
  <si>
    <t>Unitatea de Asistenta Medico-Sociala Calinesti</t>
  </si>
  <si>
    <t>Suplimentare sistem de securitate si control acces</t>
  </si>
  <si>
    <t>CAPITOLUL 84 .02 TRANSPORTURI</t>
  </si>
  <si>
    <t>Freza de asfalt</t>
  </si>
  <si>
    <t xml:space="preserve">Imprastietor material antiderapant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</si>
  <si>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</si>
  <si>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</si>
  <si>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</si>
  <si>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3.Strategia pentru eficienta energetica a judetului Arges pentru perioada 2016 - 2020</t>
  </si>
  <si>
    <t>Spital Bradet</t>
  </si>
  <si>
    <t>4.Servicii de expertiza tehnica structurala,studii de teren,audit energetic, DALI/SF,documentatii avize solicitate prin Certificat de Urbanism pentru obiectivul de investitii Extindere, modernizare si dotare spatii Urgenta Spitalul de Pediatrie Pitesti</t>
  </si>
  <si>
    <t>5.Servicii de expertiza tehnica structurala,studii de teren,audit energetic, DALI/SF,documentatii avize solicitate prin Certificat de Urbanism pentru obiectivul de investitii Extindere si dotare spatii Urgenta si amenajari incinta Spital Judetean de Urgenta Pitesti</t>
  </si>
  <si>
    <t>6.Servicii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</si>
  <si>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7.Servicii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</si>
  <si>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8.Servicii de expertiza tehnica structurala,studii de teren SF,documentatii avize solicitate prin Certificat de Urbanism pentru obiectivul de investitii Cale de acces mecanizata Cetatea Poienari</t>
  </si>
  <si>
    <t>9.Expertiza tehnica si realizare PT pentru reamplasarea punctului termic si a instalatiilor aferente existente in zona in care se vor incepe lucrarile la fundatia cladirii Centrului de Radioterapie la Spitalul Judetean de Urgenta Pitesti</t>
  </si>
  <si>
    <t>10.Revizuire Studiu de Fezabilitate mixt, expertiza tehnica si audit energetic pentru obiectivul de investitii "Extindere si dotare spatii de urgenta si amenajari incinta Spital Judetean de Urgenta Pitesti"</t>
  </si>
  <si>
    <t>11.Verificare Studiu de fezabilitate mixt revizuit pentru obiectivul de investitii "Extindere si dotare spatii de urgenta si amenajari incinta Spital Judetean de Urgenta Pitesti"</t>
  </si>
  <si>
    <t>12.Servicii de actualizare a documentatiei de Avizare a Lucrarilor de Interventie si expertiza tehnica pentru obiectivul de investitii "Conservarea si Consolidarea Cetatii Poenari Arges"</t>
  </si>
  <si>
    <t>13.Servicii de verificare a documentatiei de Avizare a Lucrarilor de Interventie pentru obiectivul de investitii "Conservarea si Consolidarea Cetatii Poenari Arges"</t>
  </si>
  <si>
    <t>14. Expertiza tehnica a imobilului Centrul de Transfuzie Sanguina Pitesti, str. Negru Voda, nr.43</t>
  </si>
  <si>
    <t>15.  Expertiza tehnica a imobilului Centrul de Diagnostic si Tratament situat in bd. I.C. Bratianu, nr.62</t>
  </si>
  <si>
    <t>16. Documentatie (raport audit energetic si certificat de performanta energetica) la imobilul Centrul de Diagnostic si Tratament, bd.I.C. Bratianu, Nr.62, municipiul Pitesti, jud.Arges</t>
  </si>
  <si>
    <t xml:space="preserve">17. Prestarea serviciilor de verificare a DALI (studii de specialitate, documentatii pentru avize si acorduri solicitate prin CU), P.T. si D.E. pentru "Conservarea si punerea in valoare in situ a  Schitului Buliga" </t>
  </si>
  <si>
    <t>18. Prestarea serviciilor de verificare a DALI (studii de specialitate, documentatii pentru avize si acorduri solicitate prin CU), P.T. si D.E. pentru "Amenajarea spatiilor adiacente - curte interioara si drum acces din cadrul Muzeului Judetean Arges"</t>
  </si>
  <si>
    <t>19.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</si>
  <si>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20. Servicii de elaborare Tema de proiectare, Documentatii obtinere avize/acorduri si D.A.L.I. la obiectivul de investitii " Lucrari de executie a legaturilor intre corpul nou construit (S+P+4E) si cladirea existenta a Spitalului Judetean de Urgenta Pitesti"</t>
  </si>
  <si>
    <t>21.Servicii de elaborare a hartilor de risc natural pentru cutremure si alunecari de teren</t>
  </si>
  <si>
    <t>22. Expertiza tehnica, studii si Documentatia de Avizare a Lucrarilor de Interventie pentru obiectivul de investitii " Reabilitarea, conservarea si punerea in valoare a Castrului Roman Jidava (Jidova)"</t>
  </si>
  <si>
    <t>23.Prestarea serviciilor de verificare a DALI (studii de specialitate, documentatii pentru avize si acorduri solicitate prin CU), P.T. si D.E. pentru "Reabilitarea, conservarea si punerea in valoare a Castrului Roman Jidava (Jidova)</t>
  </si>
  <si>
    <t>24. Studii ( topografic, geotehnic istoric, dendrologic), documentatii tehnice pentru obtinere avize, DALI, pentru obiectivul de investitii : " Conservarea si punerea in valoare in situ a  Schitului Buliga "</t>
  </si>
  <si>
    <t>25. Studii ( topografic, geotehnic istoric, dendrologic), documentatii tehnice pentru obtinere avize, DALI, pentru obiectivul de investitii : "Amenajarea spatiilor adiacente - curte interioara si drum acces din cadrul Muzeului Judetean Arges"</t>
  </si>
  <si>
    <t>26. Servicii de expertiza tehnica pentru imobilul situat in municipiul Pitesti, str. Costache Negri, nr.28, Punctul Automobil Clubul Român", judetul Arges</t>
  </si>
  <si>
    <t>27. Servicii DALI+PT pentru obiectivul de investitii "Cresterea eficientei energetice - Centrul Scolar de Educatie Incluziva Sfantul Stelian, corp C1, Costesti, judetul Arges"</t>
  </si>
  <si>
    <t>28. Servicii de verificare tehnica a documentatiei aferenta obiectivul de investitii "Cresterea eficientei energetice - Centrul Scolar de Educatie Inclusiva Sfantul Stelian, corp C1, Costesti, judetul Arges"</t>
  </si>
  <si>
    <t>29.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</si>
  <si>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30. Studiu si asigurare de asistenta tehnica pentru realizarea Planului de mentinere a calitatii aerului in judetul Arges 2025-2029</t>
  </si>
  <si>
    <t>31.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</si>
  <si>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32. Elaborare Temă de Proiectare, Documentație tehnică pentru obținerea Certificatului de Urbanism, documentații pentru obținere avize/acorduri solicitate prin Certificatul de Urbanism, Documentație de Avizare a Lucrărilor de Intervenții (DALI), DTAC, PT+DE+CS, Verificare Tehnică de calitate a documentațiilor și Asistență Tehnică din partea proiectantului pentru obiectivul de investiții "AMENAJARE SPAȚIU ANGIOGRAF NOU în încinta Spitalului Județean de Urgență Pitești"</t>
  </si>
  <si>
    <t>Eficientizarea energetica a sediului Centrul Militar Judetean ( expertiza cu RLV, audit energetic, certificat energetic)</t>
  </si>
  <si>
    <t>Serviciul Public Judetean Salvamont Arges</t>
  </si>
  <si>
    <t>Documentatie tehnica faza DALI pentru Baza de salvare Montana cota 2000 Transfagarasan</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</si>
  <si>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</si>
  <si>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</si>
  <si>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</si>
  <si>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</si>
  <si>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</si>
  <si>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</si>
  <si>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</si>
  <si>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</si>
  <si>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</si>
  <si>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</si>
  <si>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</si>
  <si>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</si>
  <si>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</si>
  <si>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</si>
  <si>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</si>
  <si>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</si>
  <si>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</si>
  <si>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</si>
  <si>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</si>
  <si>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</si>
  <si>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 DALI + DTAC + PTE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</si>
  <si>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</si>
  <si>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</si>
  <si>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</si>
  <si>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Studiu de fezabilitate lucrari extindere Spital Pediatrie cu un corp Ds+P+2E</t>
  </si>
  <si>
    <t>Studiu de fezabilitate lucrari de copertare si izolare rampa acces ambulanta</t>
  </si>
  <si>
    <t>Documentatie de securitate la incendiu</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</si>
  <si>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</si>
  <si>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</si>
  <si>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</si>
  <si>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Documentatie tehnica privind redimensionare si reamplasare instalatie de utilizare gaze naturale</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</si>
  <si>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</si>
  <si>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</si>
  <si>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</si>
  <si>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</si>
  <si>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</si>
  <si>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</si>
  <si>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</si>
  <si>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3. Spitalul de Recuperare Bradet</t>
  </si>
  <si>
    <t>1. Proiect, avize si autorizatii constructie sala vestiare personal si circuit separare transport lenjerie</t>
  </si>
  <si>
    <t>2. Avize autorizatii si asistenta tehnica constructie sala vestiare personal si circuit separare transport lenjerie</t>
  </si>
  <si>
    <t>3. Proiect, avize, autorizatii si asistenta tehnica amenajare parc agrement</t>
  </si>
  <si>
    <t>4. Proiect, avize, autorizatii si asistenta tehnica constructie sala vestiare personal si circuit separare transport lenjerie</t>
  </si>
  <si>
    <t>5. Documentatii in vederea obtinerii autorizatiei de securitate la incendiu</t>
  </si>
  <si>
    <r>
      <t>6. 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</si>
  <si>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7. Proiect, avize, autorizatii si asistenta tehnica demolare constructie anexa depozit carburanti</t>
  </si>
  <si>
    <t>8. Proiect, avize, autorizatii si asistenta tehnica extindere sistem de supraveghere video</t>
  </si>
  <si>
    <t>9. Proiect, avize, autorizatii "Lucrari de colectare si deversare ape pluviale de pe acoperisul spitalului"</t>
  </si>
  <si>
    <t>4. Spitalul de Boli Cronice si Geriatrie "Constantin Balaceanu Stolnici" Stefanesti</t>
  </si>
  <si>
    <t>Expertiza tehnica in vederea incadrarii cladirilor in clasa de risc</t>
  </si>
  <si>
    <t>Proiectare  bazin apa potabila de 25 mc suprateran cu statie de clorinare</t>
  </si>
  <si>
    <t xml:space="preserve">Executare incercari structurale si nestructurale in vederea realizarii expertizei tehnice pentru incadrarea in clasa de risc seismic </t>
  </si>
  <si>
    <t xml:space="preserve">Executie studiu geotehnic 3 foraje cu dezveliri de fundatii  </t>
  </si>
  <si>
    <t>Expertizare tehnica, certificarea performantei energetice si auditul energetic pentru cladire spital</t>
  </si>
  <si>
    <t>5. Spitalul de Pneumoftiziologie Leordeni</t>
  </si>
  <si>
    <t>Avizare spatiu amplasare CT</t>
  </si>
  <si>
    <t>Avizare amplasare aparat radiologie Dispensar Topoloveni</t>
  </si>
  <si>
    <t>6. Spitalul de Psihiatrie Sfanta Maria Vedea</t>
  </si>
  <si>
    <t>Proiect si amenajare statii  de decantare la Pavilionul I si Pavilionul II</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</si>
  <si>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</si>
  <si>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Plan de interventie in caz de incendiu</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</si>
  <si>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</si>
  <si>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</si>
  <si>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</si>
  <si>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</si>
  <si>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Pneumoftiziologie "Sf. Andrei" Valea Iasului</t>
  </si>
  <si>
    <t>Studiu de solutii privind majorarea puterii Postului Trafo</t>
  </si>
  <si>
    <t>Proiect Tehnic medie tensiune privind majorarea puterii Postului Trafo</t>
  </si>
  <si>
    <t>9.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</si>
  <si>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</si>
  <si>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</si>
  <si>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Documentatie de avizare a lucrarilor de interventie (D.A.L.I.) pentru Proiectul "Reabilitarea si eficientizarea energetica a Bibliotecii Judetene "Dinicu Golescu"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</si>
  <si>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</si>
  <si>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</si>
  <si>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</si>
  <si>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</si>
  <si>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</si>
  <si>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</si>
  <si>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</si>
  <si>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</si>
  <si>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</si>
  <si>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</si>
  <si>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2. Teatrul "Al. Davila" Pitesti</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</si>
  <si>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</si>
  <si>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</si>
  <si>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</si>
  <si>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</si>
  <si>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</si>
  <si>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</si>
  <si>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</si>
  <si>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3. Centrul Cultural Judetean Arges</t>
  </si>
  <si>
    <t>Proiect Tehnic Sistem climatizare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</si>
  <si>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</si>
  <si>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</si>
  <si>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</si>
  <si>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</si>
  <si>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Studiu de fezabilitate Pavilion Multifunctional cu atractii turistice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</si>
  <si>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</si>
  <si>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</si>
  <si>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</si>
  <si>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</si>
  <si>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</si>
  <si>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</si>
  <si>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</si>
  <si>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</si>
  <si>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</si>
  <si>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</si>
  <si>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</si>
  <si>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</si>
  <si>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</si>
  <si>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</si>
  <si>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</si>
  <si>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</si>
  <si>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</si>
  <si>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</si>
  <si>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</si>
  <si>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20. Intocmire Scenariu de securitate la incendiu si stampilare MLPAT proiect detectie</t>
  </si>
  <si>
    <t>21. Autorizare/Documentații ISU</t>
  </si>
  <si>
    <t xml:space="preserve">22. Servicii de evaluare de risc la securitatea fizica </t>
  </si>
  <si>
    <t>23. Proiect instalații detecție incendiu</t>
  </si>
  <si>
    <t>24. Intocmire Scenariu de securitate la incendiu si stampilare MLPAT proiect detectie</t>
  </si>
  <si>
    <t>25. Autorizare/Documentații ISU</t>
  </si>
  <si>
    <t xml:space="preserve">26. Servicii de evaluare de risc la securitatea fizica </t>
  </si>
  <si>
    <t>27. Proiect instalații detecție incendiu</t>
  </si>
  <si>
    <t>28. Intocmire Scenariu de securitate la incendiu si stampilare MLPAT proiect detectie</t>
  </si>
  <si>
    <t>29. Autorizare/Documentații ISU</t>
  </si>
  <si>
    <t xml:space="preserve">30. Servicii de evaluare de risc la securitatea fizica </t>
  </si>
  <si>
    <t xml:space="preserve">31. Proiectare sistem supraveghere video si antiefractie  </t>
  </si>
  <si>
    <t xml:space="preserve">32.Proiectare sistem supraveghere video si antiefractie          </t>
  </si>
  <si>
    <t xml:space="preserve">33. Proiectare sistem supraveghere video  </t>
  </si>
  <si>
    <t>34. Intocmirea documentatiei  tehnice, obtinerea avizului de securitate  Ia incendiu si autorizatiei de securitate la incendiu</t>
  </si>
  <si>
    <t xml:space="preserve">35. Proiectare sistem supraveghere video si antiefractie   </t>
  </si>
  <si>
    <t xml:space="preserve">36. Proiectare sistem supraveghere video si antiefractie  </t>
  </si>
  <si>
    <t xml:space="preserve">37. Proiectare sistem supraveghere video si antiefractie                 </t>
  </si>
  <si>
    <t xml:space="preserve">38. Intocmire documentatie tehnica in vederea obtinerii autorizatiei PSI   </t>
  </si>
  <si>
    <t xml:space="preserve">39. Proiectare sistem supraveghere video si antiefractie             </t>
  </si>
  <si>
    <t xml:space="preserve">40. Proiectare sistem supraveghere video si antiefractie                      </t>
  </si>
  <si>
    <t xml:space="preserve">41. Proiectare sistem supraveghere video        </t>
  </si>
  <si>
    <t xml:space="preserve">42. Proiectare sistem supraveghere video si antiefractie          </t>
  </si>
  <si>
    <t xml:space="preserve">43. Proiectare sistem buton de panica </t>
  </si>
  <si>
    <t xml:space="preserve">44. Proiectare sistem supraveghere video si antiefractie       </t>
  </si>
  <si>
    <t xml:space="preserve">45. Proiectare sistem supraveghere video          </t>
  </si>
  <si>
    <t xml:space="preserve">46. Proiectare sistem supraveghere video          </t>
  </si>
  <si>
    <t xml:space="preserve">47. Proiectare sistem supraveghere video si antiefractie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</si>
  <si>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</si>
  <si>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</si>
  <si>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</si>
  <si>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</si>
  <si>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</si>
  <si>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5. Proiectare si executie kit complet sistem de ridicat platforma pentru persoane cu dizabilitati - Complex Iulia</t>
  </si>
  <si>
    <t xml:space="preserve">6. Proiectare sistem supraveghere video și antiefracție                           </t>
  </si>
  <si>
    <t xml:space="preserve">7. Proiectare sistem supraveghere video și antiefracție                           </t>
  </si>
  <si>
    <t xml:space="preserve">8. Proiectare sistem supraveghere video si antiefractie                                         </t>
  </si>
  <si>
    <t>9. Proiectare sistem supraveghere video si alarmare la securitate</t>
  </si>
  <si>
    <t xml:space="preserve">10. Proiectare sistem supraveghere video si videointerfonie CSRNA Mioveni                   </t>
  </si>
  <si>
    <t xml:space="preserve">11. Proiectare sistem supraveghere video si antiefractie CSPD Pitești                         </t>
  </si>
  <si>
    <t xml:space="preserve">12. Proiectare sistem supraveghere video și antiefracție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</si>
  <si>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</si>
  <si>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</si>
  <si>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</si>
  <si>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</si>
  <si>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</si>
  <si>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</si>
  <si>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</si>
  <si>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</si>
  <si>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</si>
  <si>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</si>
  <si>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</si>
  <si>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Proiectare sistem complet de siguranta, detectie, semnalizare si alarmare a incendiilor, iluminat de siguranta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</si>
  <si>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</si>
  <si>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</si>
  <si>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</si>
  <si>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</si>
  <si>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</si>
  <si>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 xml:space="preserve">Proiectare sistem supraveghere video si antiefractie  </t>
  </si>
  <si>
    <t xml:space="preserve">Proiectare sistem antiefractie si control acces </t>
  </si>
  <si>
    <t>Proiectare sistem supraveghere video pentru "Centrul de zi pentru persoane adulte cu dizabilitati Dragolesti"</t>
  </si>
  <si>
    <t>Servicii de intocmire a documentatiei tehnice necesara obtinerii autorizatiei de securitate la incendiu pentru obiectivul "Complex de Servicii Sociale, mun.Campulung, Judet Arges"</t>
  </si>
  <si>
    <t>8. Directia Generala de Asistenta Sociala si Protectia Copilului Arges - Centre adulti</t>
  </si>
  <si>
    <t>Expertiza tehnica si intocmire documentatie  in vederea obtinerii Avizului de Securitate la Incendiu</t>
  </si>
  <si>
    <t>Intocmire documentatie in vederea obtinerii Autorizatiei de Securitate la Incendiu</t>
  </si>
  <si>
    <t>1. Unitatea de Asistenta Medico-Sociala Suici</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</si>
  <si>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</si>
  <si>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</si>
  <si>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</si>
  <si>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</si>
  <si>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</si>
  <si>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2. Unitatea de Asistenta Medico-Sociala Dedulesti</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</si>
  <si>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</si>
  <si>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</si>
  <si>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</si>
  <si>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</si>
  <si>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</si>
  <si>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</si>
  <si>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</si>
  <si>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</si>
  <si>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</si>
  <si>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</si>
  <si>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</si>
  <si>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</si>
  <si>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</si>
  <si>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703 B lim.Jud. Olt - Marghia - Padureti, km 41+275-41+775, L=500 m, comuna Lunca Corbului, jud.Arges"</t>
  </si>
  <si>
    <t>7. Documentatie de avizare a lucrarilor de interventie pentru obiectivul: "Modernizare drum judetean DJ 742 Leordeni (DJ 703B)-Baloteasca-Cotu Malului-Glambocata-Leordeni (DN 7), km 5+100-6+100, L=1,0 km, la Leordeni, jud.Arges"</t>
  </si>
  <si>
    <t>8. Documentatie de avizare a lucrarilor de interventie pentru obiectivul: "Modernizare drum judetean DJ 508 Cateasca (DJ 703B)-Furduiesti- Teiu-Buta (DJ 659), km 12+400-17+217, L= 4,817 km, com. Teiu si Negrasi, jud. Arges"</t>
  </si>
  <si>
    <t>9. Documentatie de avizare a lucrarilor de interventie pentru obiectivul: "Modernizare drum judetean  DJ 703 Moraresti-Cuca-Ciomagesti-lim.Jud.Olt, km 13+400-16+600, L=3,2 km, comuna Cuca, jud.Arges"</t>
  </si>
  <si>
    <t>10. Servicii elaborare Studii de teren, Expertiza tehnica, Documentatii obtinere si actualizare avize si DALI la obiectivul de investitii “ Modernizare DJ731D, km 7+450-19+674, L=12,224 km “ si pentru servicii de verificare tehnica</t>
  </si>
  <si>
    <t>11. Elaborare documentatii tehnice pentru obtinere Autorizatie de gospodarire a apelor "Pod pe DJ 731B Samara-Babana-Cocu, km 3+964 peste paraul Vartej, L=24m, in comuna Babana"</t>
  </si>
  <si>
    <t>12. Documentatie de avizare  a lucrarilor de interventie pentru obiectivul "Modernizare DJ 679 D Malu (DJ 679- km 38+940)-Coltu-Ungheni-Recea-Negrasi-Mozacu, km 7+940-14+940, L=7 km, comuna  Ungheni, jud.Arges"</t>
  </si>
  <si>
    <t>13.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</si>
  <si>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14. Documentatie de avizare  a lucrarilor de interventie pentru obiectivul " Modernizare drum judetean DJ 678B  lim. jud.Valcea  - Cuca ( DJ703-9+675), km 26+950 - 27+862, L =0,912 km, comuna Cuca, jud.Arges"</t>
  </si>
  <si>
    <t>15. Documentatie de avizare  a lucrarilor de interventie pentru obiectivul " Modernizare drum judetean  DJ 678 E Teodoresti (DJ 703 - km 13+339) - Cotu - lim. Jud.Valcea, km 1+200 - 3+000, L = 1,8 km, comuna Cuca"</t>
  </si>
  <si>
    <t>16. Servicii PT+DE+CS si asistenta tehnica din partea proiectantului pentru "Modernizare DJ 731 D , km 15+075 - 16+825, L=1,75 km, comuna Cosesti, judetul.Arges"</t>
  </si>
  <si>
    <t>17.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</si>
  <si>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18. Documentatie in faza D.A.L.I. pentru obiectivul "Renovarea energetica moderata sau aprofundata pentru sediul Regiei Autonome Judetene de Drumuri Arges"</t>
  </si>
  <si>
    <t>19. Studii de teren, studii hidrologice, expertiza tehnica, DALI pentru obiectivul "Pod pe DJ 679D, Malu (DJ 679 km 38+940) - Coltu - Ungheni, km 8+444, L=12 m, comuna Ungheni, jud.Arges"</t>
  </si>
  <si>
    <t>20. Servicii de verificarea tehnica de calitate a proiectului pentru "Modernizare DJ 659: Pitesti - Bradu - Suseni - Gliganu de Sus - Barlogu - Negrasi - Mozaceni - Lim. Jud. Dambovita, km 0+000-58+320, L = 58,320 km "</t>
  </si>
  <si>
    <t>21.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</si>
  <si>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22.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</si>
  <si>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23. Elaborare documentatii tehnice pentru obiectivul de investitii:"Executie prag de fund si lucrari de stabilizare a malurilor aferente podului amplasat pe DJ 703B, km 84+723, in comuna Cateasca, judetul Arges"</t>
  </si>
  <si>
    <t>24. Servicii de expertiza tehnica pentru "Deviere trasee conducte hidraulice la Spitalul Judetean de Urgenta Pitesti"</t>
  </si>
  <si>
    <t>25. Documentatie D.A.L.I. pentru obiectivul de investitii "Modernizare DJ 702 F, Limita judet Dambovita - Slobozia, km 14+000-17+355, L = 3,355 km, judetul Arges"</t>
  </si>
  <si>
    <t>26. Elaborare Studiu de Fezabilitate pentru obiectivul de investitii "Drum expres A1 - Pitesti - Mioveni "</t>
  </si>
  <si>
    <t>27. Elaborare documentatii tehnice pentru obtinere Autorizatie de gospodarire a apelor "Pod pe DJ 731B Samara-Babana-Cocu, km 3+964 peste paraul Vartej, L=24m, in comuna Babana"</t>
  </si>
  <si>
    <t>28.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</si>
  <si>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29. Elaborare documentatii tehnice pentru obtinere Autorizatie de gospodarire a apelor "Pod pe DJ 741 Piteşti-Valea Mare-Făgetu-Mioveni, km 2+060, peste pârâul Valea Mare (Ploscaru), la Ştefăneşti"</t>
  </si>
  <si>
    <t>30. Elaborare documentatii tehnice pentru obtinere Autorizatie de gospodarire a apelor "Pod pe DJ 738 Jugur-Drăghici-Mihăeşti peste râul Târgului, km 21+900, în comuna Mihăeşti"</t>
  </si>
  <si>
    <t>31. Servicii de proiectare fazele: studii de teren, expertiza tehnica, DALI, PT+DE+CS pentru obiectivul "Modernizare DJ 731C Vedea (Izvoru de Jos) -Cocu, km 7+314 - 11+914, L=4,6 km, comunele Vedea si Cocu, judetul Arges"</t>
  </si>
  <si>
    <t>32. Servicii de proiectare fazele: studii de teren, expertiza tehnica, DALI, PT+DE, CS pentru obiectivul "Modernizare DJ 737 Matau - Cocenesti- Boteni, km 13+781-15+181,  L=1,4 km, comuna Boteni, judetul Arges"</t>
  </si>
  <si>
    <t>33. Servicii de proiectare fazele: studii de teren, expertiza tehnica, DALI, PT+DE, CS pentru obiectivul "Refacere prag de fund la pod pe DJ 737 Mioarele - Boteni, km 15+072 peste raul Argesel,  L=49 m, comuna Boteni, judetul Arges"</t>
  </si>
  <si>
    <t>34. Servicii de proiectare fazele: studii de teren, expertiza tehnica, DALI, PT+DE+CS pentru obiectivul "Modernizare DJ 703 Cuca - Ciomagesti, km 16+600 - 19+100, L = 2,5 km, comuna Ciomagesti, judetul Arges"</t>
  </si>
  <si>
    <t>35. Servicii de proiectare fazele: studii de teren, expertiza tehnica, DALI, PT+DE+CS pentru obiectivul "Modernizare DJ 704 E Cotmeana - Poienarii de Arges, L = 3,1 km, comuna Cotmeana, judetul Arges"</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</si>
  <si>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</si>
  <si>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</si>
  <si>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</si>
  <si>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</si>
  <si>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45 525 632,41 lei - HCJ Nr.172/30.05.2024, din care Cc 165,65 mii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</si>
  <si>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</si>
  <si>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</si>
  <si>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</si>
  <si>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</si>
  <si>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</si>
  <si>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</si>
  <si>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</si>
  <si>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</si>
  <si>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</si>
  <si>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</si>
  <si>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</si>
  <si>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</si>
  <si>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</si>
  <si>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</si>
  <si>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Modernizare instalatie electrica si iluminat interior - Centrul de Transfuzie Sanguina Arges</t>
  </si>
  <si>
    <t>CENTRUL MILITAR JUDETEAN ARGES</t>
  </si>
  <si>
    <t>Lucrari de instalare si configurare retea calculatoare TV si telefonie</t>
  </si>
  <si>
    <t>Modernizare instalatie electrica interior</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</si>
  <si>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</si>
  <si>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</si>
  <si>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</si>
  <si>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</si>
  <si>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</si>
  <si>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t>
  </si>
  <si>
    <t>Sistem supraveghere video</t>
  </si>
  <si>
    <t>2. Gradinita Speciala "Sf. Elena" Pitesti</t>
  </si>
  <si>
    <t>Sistem supraveghere video si alarmare</t>
  </si>
  <si>
    <t>Amenajare spatiu pentru protectie impotriva radiatiilor X in Laboratorul de radiologie si Imagistica Medicala SJU Pitesti pentru Computer Tomograf de tipul GE Revolution Evo</t>
  </si>
  <si>
    <t xml:space="preserve"> Receptie la terminarea lucrarii in 9.02.2022</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</si>
  <si>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</si>
  <si>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</si>
  <si>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</si>
  <si>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Lucrari de redimensionare si reamplasare  instalatie de utilizare gaze naturale</t>
  </si>
  <si>
    <t>Cazan de producere agent termic pentru incalzire si apa calda 1250 kw (PT, avize ISCIR, montaj si PIF)</t>
  </si>
  <si>
    <t>PV receptie furnizare instalare montare si punere in functiune Nr.4844/16.06.2023</t>
  </si>
  <si>
    <t>Degazor termic 1000 litri</t>
  </si>
  <si>
    <t xml:space="preserve">Lucrari de intarire instalatii electrice Bloc operator </t>
  </si>
  <si>
    <t>Lucrari reparatii capitale pardoseala PVC, CPU</t>
  </si>
  <si>
    <t>Lucrari de inlocuire/modernizare pardoseala PVC  CPU</t>
  </si>
  <si>
    <t>Lucrari de construire in vederea conformarii imobilului la cerinta esentiala de calitate "Securitate la incendiu"</t>
  </si>
  <si>
    <t>fisa obiectivului ?</t>
  </si>
  <si>
    <t>0 in 2020</t>
  </si>
  <si>
    <t>Lucrari de colectare si deversare ape pluviale de pe acoperisul spitalului</t>
  </si>
  <si>
    <t>4. Spitalul de Pneumoftiziologie Leordeni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</si>
  <si>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</si>
  <si>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</si>
  <si>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</si>
  <si>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</si>
  <si>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</si>
  <si>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</si>
  <si>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Reparatie si exindere sistem control acces</t>
  </si>
  <si>
    <t>PV receptie nr.4749/24.08.2023</t>
  </si>
  <si>
    <t>Reparatii si modernizare ascensor</t>
  </si>
  <si>
    <t>PV receptie nr.6425/24.11.2023</t>
  </si>
  <si>
    <t>Achizitie si montaj paratrasnet</t>
  </si>
  <si>
    <t>PV receptie nr.4747/24.08.2023</t>
  </si>
  <si>
    <t>Extinderea sistemului de alarmare impotriva efractiei, al sistemului de control acces si al sistemului de supraveghere video</t>
  </si>
  <si>
    <t>Statie de demanganizare automata debit 30m3/h</t>
  </si>
  <si>
    <t>Statie de clorinare</t>
  </si>
  <si>
    <t>Achizitie si montaj Statie de demanganizare automata cu instalatie de dezinfectie cu clorinare</t>
  </si>
  <si>
    <t>7. Spitalul de Psihiatrie "Sf.Maria" Vedea</t>
  </si>
  <si>
    <t>Instalatie de protectie impotriva trasnetului / descarcarilor electrice atmosferice</t>
  </si>
  <si>
    <t>Achizitie containere modulare, racordare la utilitati si amenajare teren pentru Farmacia Spialului de Psihiatrie "Sf.Maria" Vedea</t>
  </si>
  <si>
    <t>Achizitie containere modulare pentru amenajare grupuri sanitare CLD</t>
  </si>
  <si>
    <t>8. Spitalul de Boli Cronice si Geriatrie "Constantin Balaceanu Stolnici" Stefanesti</t>
  </si>
  <si>
    <t xml:space="preserve">Executie releveu pentru pavilion central spital si casa lift </t>
  </si>
  <si>
    <t>Container din structura metalica galvanizata</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</si>
  <si>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</si>
  <si>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</si>
  <si>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</si>
  <si>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</si>
  <si>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2.Spitalul de Pediatrie Pitesti</t>
  </si>
  <si>
    <t>Servicii proiectare si executie lucrari reparatii capitale sectia ATI</t>
  </si>
  <si>
    <t>Servicii proiectare si executie lucrari reparatii capitale Chirurgie etaj I</t>
  </si>
  <si>
    <t>Lucrari reparatii capitale lift</t>
  </si>
  <si>
    <t>3.Spitalul de Pneumoftiziologie "Sf.Andrei" Valea Iasului</t>
  </si>
  <si>
    <t>Reparatii capitale ascensor alimente</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</si>
  <si>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</si>
  <si>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</si>
  <si>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</si>
  <si>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</si>
  <si>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</si>
  <si>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</si>
  <si>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</si>
  <si>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</si>
  <si>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</si>
  <si>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2. Teatru "AL.DAVILA " Pitesti</t>
  </si>
  <si>
    <t>Acoperis cu arcade si invelitoare demontabila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</si>
  <si>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</si>
  <si>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</si>
  <si>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</si>
  <si>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</si>
  <si>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</si>
  <si>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</si>
  <si>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</si>
  <si>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</si>
  <si>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</si>
  <si>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</si>
  <si>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</si>
  <si>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</si>
  <si>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</si>
  <si>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</si>
  <si>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</si>
  <si>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</si>
  <si>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</si>
  <si>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</si>
  <si>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</si>
  <si>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</si>
  <si>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</si>
  <si>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</si>
  <si>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</si>
  <si>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</si>
  <si>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</si>
  <si>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</si>
  <si>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</si>
  <si>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</si>
  <si>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3. Centrul de Ingrijire si Asistenta Bascovele</t>
  </si>
  <si>
    <t>Achizitionare si montare instalatie de detectie, semnalizare si alarmare in caz de incendiu</t>
  </si>
  <si>
    <t>4. Centrul de Ingrijire si Asistenta Pitesti</t>
  </si>
  <si>
    <t xml:space="preserve">Lucrari de relocare a traseului pentru conducta de gaze </t>
  </si>
  <si>
    <t>PV receptie nr.9969/23.10.2023</t>
  </si>
  <si>
    <t xml:space="preserve">Achiziție și montaj sistem  antiefracție             </t>
  </si>
  <si>
    <t>5. Camin Persoane Varstnice Mozaceni</t>
  </si>
  <si>
    <t xml:space="preserve">Sistem de protectie impotriva descarcarilor electrice </t>
  </si>
  <si>
    <t>PV la terminarea lucrarilor Nr.02/21.11.2023</t>
  </si>
  <si>
    <t>Achizitie si montaj sistem coplet de siguranta, detectie, semnalizare si alarmare a incendiilor, iluminat de siguranta</t>
  </si>
  <si>
    <t>Proiectare, achizitie si montaj pentru doua centrale termice</t>
  </si>
  <si>
    <t xml:space="preserve">Racordare la reteua publica de canalizare menajera '' la Centrul de Zi Rucar '' Comuna Rucar , Judetul Arges   </t>
  </si>
  <si>
    <t xml:space="preserve">Centru de zi pentru persoane adulte cu dizabilitati Dragolesti </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</si>
  <si>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</si>
  <si>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</si>
  <si>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</si>
  <si>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t>
  </si>
  <si>
    <t>Sistem Alarmare la Efractie si Sistem Supraveghere Video</t>
  </si>
  <si>
    <t>2. Unitatea de Asistenta Medico-Sociala Calinesti</t>
  </si>
  <si>
    <t>1. Alimentare cu energie electrica District 301 - Spor de putere</t>
  </si>
  <si>
    <t>Imprejmuire gard si porti metalice</t>
  </si>
  <si>
    <t>PV de receptie nr.1726/28.07.2023</t>
  </si>
  <si>
    <t>3. Unitatea de Asistenta Medico-Sociala Dedulesti</t>
  </si>
  <si>
    <t>Sistem de montorizare cu buton de panica</t>
  </si>
  <si>
    <t>Deviere LEA 20 kv de eliberare amplasament pod pe DJ 703 H din Curtea de Arges, judetul Arges</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</si>
  <si>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</si>
  <si>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</si>
  <si>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</si>
  <si>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</si>
  <si>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</si>
  <si>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</si>
  <si>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</si>
  <si>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</si>
  <si>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</si>
  <si>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</si>
  <si>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</si>
  <si>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</si>
  <si>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</si>
  <si>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Intocmit: </t>
  </si>
  <si>
    <t>Iulia Toitan</t>
  </si>
  <si>
    <t xml:space="preserve"> JUDETUL ARGES</t>
  </si>
  <si>
    <t>Anexa 1b        H.C.J. nr. 30 / 11.12.2024</t>
  </si>
  <si>
    <t>LISTA pozitiei  "Alte cheltuieli de investitii" defalcata pe categorii de bunuri pe anul 2024</t>
  </si>
  <si>
    <t>mii lei</t>
  </si>
  <si>
    <t>UM</t>
  </si>
  <si>
    <t>Cant.</t>
  </si>
  <si>
    <t>Valoare</t>
  </si>
  <si>
    <t xml:space="preserve">               TOTAL - TITLUL 70 CHELTUIELI DE CAPITAL</t>
  </si>
  <si>
    <t>a. ACHIZITII  DE IMOBILE</t>
  </si>
  <si>
    <t xml:space="preserve">ASISTENTA SOCIALA </t>
  </si>
  <si>
    <t>68.02</t>
  </si>
  <si>
    <t>Directia Generala de Asistenta Sociala si Protectia Copilului Arges (PIN)</t>
  </si>
  <si>
    <t>buc.</t>
  </si>
  <si>
    <t>b. DOTARI INDEPENDENTE</t>
  </si>
  <si>
    <t>AUTORITATI EXECUTIVE</t>
  </si>
  <si>
    <t>51.02</t>
  </si>
  <si>
    <t xml:space="preserve">Licenta  Windows </t>
  </si>
  <si>
    <t>Servicii de verificare tehnica a documentatiei aferenta obiectivul de investitii "Cresterea eficientei energetice - Centrul Scolar de Educatie Inclusiva Sfantul Stelian, corp C1, Costesti, judetul Arges"</t>
  </si>
  <si>
    <t>DIRECTIA JUDETEANA PENTRU EVIDENTA PERSOANELOR PITESTI</t>
  </si>
  <si>
    <t>54.02</t>
  </si>
  <si>
    <t>60.02</t>
  </si>
  <si>
    <t>Caseta luminoasa - birou informare recrutare</t>
  </si>
  <si>
    <t>STRUCTURA TERITORIALA PENTRU PROBLEME SPECIALE ARGES</t>
  </si>
  <si>
    <t>ORDINE PUBLICA SI SIGURANTA NATIONALA</t>
  </si>
  <si>
    <t>61.02</t>
  </si>
  <si>
    <t>SERVICIUL PUBLIC JUDETEAN SALVAMONT ARGES</t>
  </si>
  <si>
    <t xml:space="preserve">Sistem de avertizare luminoasă și acustică </t>
  </si>
  <si>
    <t xml:space="preserve">Rucsaci de avalanșă </t>
  </si>
  <si>
    <t>INSPECTORATUL PENTRU SITUATII DE URGENTA ARGES</t>
  </si>
  <si>
    <t>Sonar subacvatic digital</t>
  </si>
  <si>
    <t>Pătură ignifugă auto</t>
  </si>
  <si>
    <t>Dispozitiv punere în siguranță autovehicul electric</t>
  </si>
  <si>
    <t>INVATAMANT</t>
  </si>
  <si>
    <t>65.02</t>
  </si>
  <si>
    <t>Gradinita Speciala "Sf. Elena" Pitesti</t>
  </si>
  <si>
    <t>Centrul Scolar de Educatie Incluziva "Sf. Nicolae" Campulung</t>
  </si>
  <si>
    <t>CULTURA, RECREERE SI RELIGIE</t>
  </si>
  <si>
    <t>67.02</t>
  </si>
  <si>
    <t>CENTRUL JUDETEAN DE CULTURA SI ARTE ARGES</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</si>
  <si>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</si>
  <si>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</si>
  <si>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</si>
  <si>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</si>
  <si>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</si>
  <si>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</si>
  <si>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</si>
  <si>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</si>
  <si>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Set percuție(tobă de scenă, cinele, protecție tobă_</t>
  </si>
  <si>
    <t>BIBLIOTECA JUDETEANA " DINICU GOLESCU" PITESTI</t>
  </si>
  <si>
    <t xml:space="preserve">Licente Office 2021 Pro Plus </t>
  </si>
  <si>
    <t>MUZEUL VITICULTURII SI POMICULTURII GOLESTI</t>
  </si>
  <si>
    <t>Camin Persoane Varstnice Mozaceni</t>
  </si>
  <si>
    <t>UNITATEA DE ASISTENTA MEDICO SOCIALA SUICI</t>
  </si>
  <si>
    <t>TRANSPORTURI</t>
  </si>
  <si>
    <t>84.02</t>
  </si>
  <si>
    <t>c. CHELTUIELI AFERENTE STUDIILOR DE PREFEZABILITATE, FEZABILITATE, A PROIECTELOR SI ALTOR STUDII AFERENTE OBIECTIVELOR DE INVESTITII</t>
  </si>
  <si>
    <t>Servicii de elaborare a hartilor de risc natural pentru cutremure si alunecari de teren</t>
  </si>
  <si>
    <t>Servicii de Expertiza tehnica pentru imobilul situat in municipiul Pitesti, strada Costache Negri, nr.28, Punctul "Automobil Clubul Roman", judetul Arges</t>
  </si>
  <si>
    <t>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</si>
  <si>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Servicii de elaborare Tema de proiectare, Documentatii obtinere avize/acorduri si D.A.L.I. la obiectivul de investitii " Lucrari de executie a legaturilor intre corpul nou construit (S+P+4E) si cladirea existenta a Spitalului Judetean de Urgenta Pitesti"</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</si>
  <si>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</si>
  <si>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</si>
  <si>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</si>
  <si>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</si>
  <si>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</si>
  <si>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</si>
  <si>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Servicii DALI+PT pentru obiectivul de investitii "Cresterea eficientei energetice - Centrul Scolar de Educatie Inclusiva Sfantul Stelian, corp C1, Costesti, judetul Arges"</t>
  </si>
  <si>
    <t>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</si>
  <si>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Studiu si asigurare de asistenta tehnica pentru realizarea Planului de mentinere a calitatii aerului in judetul Arges 2025-2029</t>
  </si>
  <si>
    <t>Servicii de elaborare Expertiza Tehnica ( inclusiv Clasa de Risc Seismic in care se incadreaza constructia), Audit Energetic cu Certificatul de Performanta Energetica pentru obiectivul de investitii "Spitalul de Boli Cronice Calinesti, str.Dr. Ion Craciun, nr.484, comuna Calinesti, judetul Arges"</t>
  </si>
  <si>
    <t>Elaborare Tema de Proiectare, Documentatie tehnica pentru obtinerea Certificatului de Urbanism, documentatii pentru obtinere avize/acorduri solicitate prin Certificatul de Urbanism, Documentatie de Avizare a Lucrarilor de Interventii (DALI), DTAC, PT+DE+CS, Verificare Tehnica de calitate a documentatiilor si Asistenta tehnica din partea proiectantului pentru obiectivul de investitii "AMENAJARE SPAȚIU ANGIOGRAF NOU în incinta
Spitalului Județean de Urgență Pitești"</t>
  </si>
  <si>
    <t>CAPITOLUL INVATAMANT</t>
  </si>
  <si>
    <t xml:space="preserve">65.02 </t>
  </si>
  <si>
    <t>Proiectare pentru spatiile din cladirea scolii</t>
  </si>
  <si>
    <t>Documentatie de avizare a lucrarilor de interventie (D.A.L.I.) pentru proiectul ”Reabilitarea si eficientizarea energetica a Bibilotecii Judetene ”Dinicu Golescu” Arges”</t>
  </si>
  <si>
    <t>Studiu de fezabilitate pentru reabilitarea termica a Blocului Administrativ</t>
  </si>
  <si>
    <t>MUZEUL JUDETEAN ARGES</t>
  </si>
  <si>
    <t>Documentație de avizare a lucrărilor de intervenție ( D.A.L.I) pentru proiectul „Reabilitarea și eficientizarea energetică a Muzeului Județean Argeș</t>
  </si>
  <si>
    <t xml:space="preserve">Proiectare sistem supraveghere video si antiefractie  la sediul Aparatului Propriu si sistem antiefractie la arhiva    </t>
  </si>
  <si>
    <t xml:space="preserve">Servicii de evaluare de risc la securitatea fizica </t>
  </si>
  <si>
    <t>Proiect instalații detecție incendiu</t>
  </si>
  <si>
    <t>Intocmire Scenariu de securitate la incendiu si stampilare MLPAT proiect detectie</t>
  </si>
  <si>
    <t>Autorizare/Documentații ISU</t>
  </si>
  <si>
    <t>Proiectare sistem supraveghere video pentru "Locuinte protejate - Siguranta si Ingrijire Arges "</t>
  </si>
  <si>
    <t>Proiectare sistem supraveghere video pentru " Centrul de zi pentru persoane adulte cu dizabilitati Dragolesti "</t>
  </si>
  <si>
    <t xml:space="preserve">Proiectare sistem supraveghere video si antiefractie          </t>
  </si>
  <si>
    <t xml:space="preserve">Proiectare sistem supraveghere video  </t>
  </si>
  <si>
    <t>Intocmirea documentatiei  tehnice, obtinerea avizului de securitate  Ia incendiu si autorizatiei de securitate la incendiu</t>
  </si>
  <si>
    <t xml:space="preserve">Proiectare sistem supraveghere video si antiefractie   </t>
  </si>
  <si>
    <t xml:space="preserve">Proiectare sistem supraveghere video si antiefractie                 </t>
  </si>
  <si>
    <t xml:space="preserve">Intocmire documentatie tehnica in vederea obtinerii autorizatiei PSI   </t>
  </si>
  <si>
    <t xml:space="preserve">Proiectare sistem supraveghere video si antiefractie             </t>
  </si>
  <si>
    <t xml:space="preserve">Proiectare sistem supraveghere video si antiefractie                      </t>
  </si>
  <si>
    <t xml:space="preserve">Proiectare sistem supraveghere video        </t>
  </si>
  <si>
    <t xml:space="preserve">Proiectare sistem buton de panica </t>
  </si>
  <si>
    <t xml:space="preserve">Proiectare sistem supraveghere video si antiefractie       </t>
  </si>
  <si>
    <t xml:space="preserve">Proiectare sistem supraveghere video          </t>
  </si>
  <si>
    <t>Proiectare sistem supraveghere video pentru "Centru Respiro pentru Persoane Adulte cu Dizabilități"</t>
  </si>
  <si>
    <t>Studiu de fezabilitate, proiect tehnic, verificare tehnica a proiectului tehnic pentru obiectivul de investitii "Sistematizare verticala si iluminat exterior in incinta Complexului de Servicii Sociale Costesti, judetul Arges"</t>
  </si>
  <si>
    <t>x</t>
  </si>
  <si>
    <t>Centrul de Ingrijire si Asistenta Pitesti</t>
  </si>
  <si>
    <t>CENTRE ADULȚI   Asistenta sociala in caz de boli si invaliditati   (cod 68.02.04/05/06)</t>
  </si>
  <si>
    <t xml:space="preserve">Proiectare sistem supraveghere video                             </t>
  </si>
  <si>
    <t xml:space="preserve">Proiectare sistem supraveghere video Dragolești                                 </t>
  </si>
  <si>
    <t xml:space="preserve">Proiectare sistem supraveghere video și antiefracție                           </t>
  </si>
  <si>
    <t>Sudii in vederea instalarii unui kit complet sistem de ridicat platforma pentru persoane cu dizabilitati - Complex Iulia</t>
  </si>
  <si>
    <t>Proiectare si executie kit complet sistem de ridicat platforma pentru persoane cu dizabilitati - Complex Iulia</t>
  </si>
  <si>
    <t xml:space="preserve">Proiectare sistem supraveghere video si antiefractie                                         </t>
  </si>
  <si>
    <t>Proiectare sistem supraveghere video si alarmare la securitate</t>
  </si>
  <si>
    <t xml:space="preserve">Proiectare sistem supraveghere video si videointerfonie CSRNA Mioveni                   </t>
  </si>
  <si>
    <t xml:space="preserve">Proiectare sistem supraveghere video si antiefractie CSPD Pitești                         </t>
  </si>
  <si>
    <t xml:space="preserve">Proiectare sistem supraveghere video și antiefracție                                    </t>
  </si>
  <si>
    <t>Proiect pentru sistem de supravegere video si sistem de alarmare antiefractie</t>
  </si>
  <si>
    <t>Elaborare documentatii tehnice pentru obiectivul de investitii:"Executie prag de fund si lucrari de stabilizare a malurilor aferente podului amplasat pe DJ 703B, km 84+723, in comuna Cateasca, judetul Arges"</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</si>
  <si>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</si>
  <si>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</si>
  <si>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Servicii de verificare tehnica de calitate a proiectului pentru „Modernizare DJ659:Pitesti-Bradu-Suseni-Gliganu de Sus-Barlogu-Negrasi-Mozaceni-Lim.Jud.Dambovita, km 0+000-58+320, L=58,320 km</t>
  </si>
  <si>
    <t>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</si>
  <si>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Servicii de elaborare documentatii tehnico economice  pentru faza Proiect tehnic si detalii de executie(PT+DE), inclusiv intocmirea proiectelor de relocare/protejare utilitati (daca e cazul) si Asigurarea asistentei tehnice din partea proiectantului pe perioada de executie a lucrarilor, participarea proiectantului la fazele incluse in programul de control al lucrarilor de executie, avizat de catre Inspectoratul de Stat in Constructii, pentru pentru: „Modernizare DJ659:Pitesti-Bradu-Suseni-Gliganu de Sus-Barlogu-Negrasi-Mozaceni-Lim.Jud.Dambovita, km 0+000-58+320, L=58,320 km</t>
  </si>
  <si>
    <t xml:space="preserve">Elaborare Studiu de Fezabilitate pentru obiectivul de investitii "Drum expres A1 - Pitesti - Mioveni </t>
  </si>
  <si>
    <t>Servicii de proiectare fazele: studii de teren, expertiza tehnica, DALI, PT+DE+CS pentru obiectivul "Modernizare DJ 731C Vedea (Izvoru de Jos) -Cocu, km 7+314 - 11+914, L=4,6 km, comunele Vedea si Cocu, judetul Arges"</t>
  </si>
  <si>
    <t>Servicii de proiectare fazele: studii de teren, expertiza tehnica, DALI, PT+DE, CS pentru obiectivul "Modernizare DJ 737 Matau - Cocenesti- Boteni, km 13+781-15+181,  L=1,4 km, comuna Boteni, judetul Arges"</t>
  </si>
  <si>
    <t>Servicii de proiectare fazele: studii de teren, expertiza tehnica, DALI, PT+DE, CS pentru obiectivul "Refacere prag de fund la pod pe DJ 737 Mioarele - Boteni, km 15+072 peste raul Argesel,  L=49 m, comuna Boteni, judetul Arges"</t>
  </si>
  <si>
    <t>Servicii PT+DE+CS si asistenta tehnica din partea proiectantului  pentru "Modernizare DJ 731 D, km 15+075 - 16+825, L=1,75 km, comuna Cosesti, jud.Arges"</t>
  </si>
  <si>
    <t>Servicii de proiectare fazele: studii de teren, expertiza tehnica, DALI, PT+DE+CS pentru obiectivul "Modernizare DJ 703 Cuca - Ciomagesti, km 16+600 - 19+100, L = 2,5 km, comuna Ciomagesti, judetul Arges</t>
  </si>
  <si>
    <t>Servicii de proiectare fazele: studii de teren, expertiza tehnica, DALI, PT+DE+CS pentru obiectivul "Modernizare DJ 704 E Cotmeana - Poienarii de Arges, L = 3,1 km, comuna Cotmeana, judetul Arges</t>
  </si>
  <si>
    <t>d.CHELTUIELI DE EXPERTIZA , PROIECTARE SI DE EXECUTIE PRIVIND CONSOLIDARILE</t>
  </si>
  <si>
    <t>AUTORITATI EXECUTIVE SI LEGISLATIVE</t>
  </si>
  <si>
    <t>e. ALTE CHELTUIELI ASIMILATE INVESTITIILOR ( inclusiv reparatii capitale)</t>
  </si>
  <si>
    <t>Racordare la reteaua electrica loc de consum Palat Administrativ, situat in Piata Vasile Milea,  nr.1, judetul Arges</t>
  </si>
  <si>
    <t>Proiectare si executie sistem supraveghere video la imobilul situat in Pitesti, Bd. Republicii , nr.33, Judetul Arges</t>
  </si>
  <si>
    <t>Proiectarea si executia sistemului de detectie si alarmare la efractie la imobilul situat in Pitesti, Bd. Republicii , nr.33, Judetul Arges</t>
  </si>
  <si>
    <t>Reabilitarea forajului de exploatare a apei minerale sulfuroase in vederea desfasurarii lucrarilor de explorare/exploatare in Perimetrul Sulfuroasa Bradet, localitatea Nucsoara, sat Gruiu</t>
  </si>
  <si>
    <t>Proiectare si executie sistem supraveghere video - wirelles la imobilul situat in Pitesti, str.Armand Calinescu , nr.44, Judetul Arges</t>
  </si>
  <si>
    <t>Proiectare si executie sistem de detectie si alarmare la efractie - wirelles  la imobilul situat in Pitesti, str.Armand Calinescu , nr.44, Judetul Arges</t>
  </si>
  <si>
    <t>Sistem de alimentare cu apa "Mancioiu"- captare, inmagazinare si transport apa catre UAT Cuca si UAT Moraresti</t>
  </si>
  <si>
    <t>Echipare cu convertizoare de frecventa grup pompare 2*11 kw Statie pompare Trivale</t>
  </si>
  <si>
    <t>Echipare cu convertizoare de frecventa grup pompare 3*18,5 kw  Statie pompare Trivale</t>
  </si>
  <si>
    <t>Reabilitare instalatie hidraulica refulare Statia de repompare Trivale</t>
  </si>
  <si>
    <t>Reabilitare CA De400mm Mosoaia zona camin Ciocanai</t>
  </si>
  <si>
    <t>Reabilitare CA De400mm Mosoaia zona camin Lazaresti</t>
  </si>
  <si>
    <t>APARARE</t>
  </si>
  <si>
    <t xml:space="preserve"> 60.02 </t>
  </si>
  <si>
    <t xml:space="preserve"> INVATAMANT</t>
  </si>
  <si>
    <t xml:space="preserve"> 65.02</t>
  </si>
  <si>
    <t>Centrul Scolar de Educatie Incluziva " Sfantul Stelian"</t>
  </si>
  <si>
    <t>Acoperiș cu arcade și învelitoare demontabilă</t>
  </si>
  <si>
    <t>Centru de zi pentru persoane adulte cu dizabilitati Dragolesti (PIN)</t>
  </si>
  <si>
    <t xml:space="preserve">Racordare la reteaua publica de canalizare menajera '' la Centrul de Zi Rucar '' Comuna Rucar , Judetul Arges   </t>
  </si>
  <si>
    <t>CENTRE ADULȚI   Asistenta sociala in caz de boli si invaliditati   (cod 68.08.05.02)</t>
  </si>
  <si>
    <t>VENITURI PROPRII</t>
  </si>
  <si>
    <t>a. ACHIZITII IMOBILE</t>
  </si>
  <si>
    <t>SANATATE</t>
  </si>
  <si>
    <t>66.10</t>
  </si>
  <si>
    <t>Spitalul Judetean de Urgenta Pitesti</t>
  </si>
  <si>
    <t>Masina de spalat 50kg. cu storcator peste 1200 rot/min</t>
  </si>
  <si>
    <t>Licente SQL 2022 device CAL</t>
  </si>
  <si>
    <t xml:space="preserve">Licente SQL Server 2022 standard edition </t>
  </si>
  <si>
    <t>Spitalul de Pediatrie Pitesti</t>
  </si>
  <si>
    <r>
      <t>Videotelescop HD, diametru 5mm, unghi de vedere 30</t>
    </r>
    <r>
      <rPr>
        <sz val="10"/>
        <rFont val="Calibri"/>
        <family val="2"/>
      </rPr>
      <t>°</t>
    </r>
  </si>
  <si>
    <t>Spitalul de Boli Cronice Calinesti</t>
  </si>
  <si>
    <t>Spitalul de Pneumoftiziologie Leordeni</t>
  </si>
  <si>
    <t>MASA DE CALCAT PROFESIONALA</t>
  </si>
  <si>
    <t>CENTRALA TERMICA 120 KW</t>
  </si>
  <si>
    <t>Spitalul de Psihiatrie "Sf.Maria" Vedea</t>
  </si>
  <si>
    <t xml:space="preserve">Server </t>
  </si>
  <si>
    <t>Spitalul de Pneumologie Valea Iasului</t>
  </si>
  <si>
    <t>Spitalul de Boli Cronice si Geriatrie Stefanesti</t>
  </si>
  <si>
    <t xml:space="preserve">Aparat terapie combinata electroterapie, ultrasunet, laser </t>
  </si>
  <si>
    <t xml:space="preserve">Bicicleta electrica pentru membre superioare si inferioare  </t>
  </si>
  <si>
    <t>Spitalul de Recuperare Bradet</t>
  </si>
  <si>
    <t>Spitalul Orasenesc "Regele Carol I" Costesti</t>
  </si>
  <si>
    <t>67.10</t>
  </si>
  <si>
    <t>Muzeul Judetean Arges</t>
  </si>
  <si>
    <t>Aparat foto DCLR</t>
  </si>
  <si>
    <t xml:space="preserve">Laptop </t>
  </si>
  <si>
    <t>Laser  -  dispozitiv laser fragmente ceramice</t>
  </si>
  <si>
    <t>Obiectiv aparat foto</t>
  </si>
  <si>
    <t xml:space="preserve">Microsoft Windows 10 Professional </t>
  </si>
  <si>
    <t xml:space="preserve">Licenta Microsoft Office 2021 Professional Plus </t>
  </si>
  <si>
    <t>Licenta Corel Draw Standard 2021</t>
  </si>
  <si>
    <t xml:space="preserve">Licente Corel Draw </t>
  </si>
  <si>
    <t xml:space="preserve">SANATATE </t>
  </si>
  <si>
    <t>Expertiza tehnica structura DALI+DTAC+PTE pasaj subteran de legatura sediul central (Su=580mp)</t>
  </si>
  <si>
    <t>Spitalul PNF Leordeni</t>
  </si>
  <si>
    <t xml:space="preserve">Avizare spatiu amplasare CT </t>
  </si>
  <si>
    <t xml:space="preserve">Avizare amplasare aparat radiologie Dispensar Topoloveni </t>
  </si>
  <si>
    <t>Spitalul de Boli Cronice si Geriatrie "Constantin Balaceanu Stolnici" Stefanesti</t>
  </si>
  <si>
    <t>Proiectare bazin apa potabila de 25 mc suprateran cu statie de clorinare</t>
  </si>
  <si>
    <t>Spitalul de Recuperare Respiratorie si Pneumologie Valea Iasului</t>
  </si>
  <si>
    <t>Proiect ,avize, autorizatii si asistenta tehnica amenajare parc agrement</t>
  </si>
  <si>
    <t xml:space="preserve"> Documentatii in vederea obtinerii autorizatiei de  securitate la incendiu</t>
  </si>
  <si>
    <r>
      <t>Avize, autorizatii si asistenta tehnica "Lucrari de construire in vederea conformarii imobilului la cerinta esentiala de calitate "</t>
    </r>
    <r>
      <rPr>
        <i/>
        <sz val="11"/>
        <rFont val="Arial"/>
        <family val="2"/>
        <charset val="238"/>
      </rPr>
      <t>Securitate la incendiu</t>
    </r>
    <r>
      <rPr>
        <sz val="14"/>
        <rFont val="Arial"/>
        <family val="2"/>
        <charset val="238"/>
      </rPr>
      <t>"</t>
    </r>
  </si>
  <si>
    <t>Proiect, avize, autorizatii "Lucrari de colectare si deversare ape pluviale de pe acoperisul spitalului"</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</si>
  <si>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</si>
  <si>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</si>
  <si>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ASIGURARI SI ASISTENTA SOCIALA</t>
  </si>
  <si>
    <t>68.10</t>
  </si>
  <si>
    <t>UNITATEA DE ASISTENTA MEDICO SOCIALA CALINESTI</t>
  </si>
  <si>
    <t>Unitatea de Asistenta Medico-Sociala Suici</t>
  </si>
  <si>
    <t>d.CHELTUIELI DE EXPERTIZA, PROIECTARE SI DE EXECUTIE PRIVIND CONSOLIDARILE</t>
  </si>
  <si>
    <t>Proiect tehnic si executie lucrari  pentru obiectivul de investitii "Alimentare cu Gaze Extindere Ambulatoriu Integrat al Spitalului Judetean de Urgenta Pitesti"</t>
  </si>
  <si>
    <t>SPITALUL DE BOLI CRONICE SI GERIATRIE STEFANESTI</t>
  </si>
  <si>
    <t xml:space="preserve">Reparatii si modernizare ascensor </t>
  </si>
  <si>
    <t>Servicii proiectare si executie lucrari reparatii capitale Chirurgie etaj 1</t>
  </si>
  <si>
    <t xml:space="preserve">Realizarea alimentarii de rezerva din linia LEA 20KV-Electroarges-Oras </t>
  </si>
  <si>
    <t>Achizitie containere modulare, racordare la utilitati si amenajare teren pentru Farmacia Spitalului de Psihiatrie "Sf.Maria" Vedea</t>
  </si>
  <si>
    <t>Sistem de supraveghere video dispensar TBC Topoloveni</t>
  </si>
  <si>
    <t xml:space="preserve"> TITLUL X -  PROIECTE CU FINANTARE DIN FONDURI EXTERNE NERAMBURSABILE </t>
  </si>
  <si>
    <t>Cap. 67.02 - CULTURA, RECREERE SI RELIGIE</t>
  </si>
  <si>
    <t>Biblioteca Judeteana " Dinicu Golescu" Pitesti</t>
  </si>
  <si>
    <t>Proiectul " Centrul Europe Direct"  Arges</t>
  </si>
  <si>
    <t>Office display Led cu stand motorizat mobil</t>
  </si>
  <si>
    <t>Cap. 84.02 - TRANSPORTURI</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</si>
  <si>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</si>
  <si>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</si>
  <si>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Achiziție de Echipamente și materiale destinate reducerii riscului de infecții nosocomiale</t>
  </si>
  <si>
    <t xml:space="preserve"> PREŞEDINTE,</t>
  </si>
  <si>
    <t xml:space="preserve">     ION MȊNZȊNĂ      </t>
  </si>
  <si>
    <t xml:space="preserve">  CARMEN MOCANU</t>
  </si>
  <si>
    <t xml:space="preserve">           </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</si>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</sst>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71"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charset val="238"/>
    </font>
    <font>
      <sz val="11"/>
      <name val="Arial"/>
      <family val="2"/>
      <charset val="238"/>
    </font>
    <font>
      <b/>
      <sz val="10"/>
      <name val="Arial"/>
      <family val="2"/>
    </font>
    <font>
      <b/>
      <sz val="12"/>
      <name val="Arial"/>
      <family val="2"/>
      <charset val="238"/>
    </font>
    <font>
      <b/>
      <i/>
      <sz val="10"/>
      <name val="Arial"/>
      <family val="2"/>
      <charset val="238"/>
    </font>
    <font>
      <i/>
      <sz val="10"/>
      <name val="Arial"/>
      <family val="2"/>
      <charset val="238"/>
    </font>
    <font>
      <sz val="10"/>
      <color indexed="10"/>
      <name val="Arial"/>
      <family val="2"/>
    </font>
    <font>
      <i/>
      <sz val="10"/>
      <name val="Arial"/>
      <family val="2"/>
    </font>
    <font>
      <sz val="10"/>
      <color rgb="FFFF0000"/>
      <name val="Arial"/>
      <family val="2"/>
      <charset val="238"/>
    </font>
    <font>
      <b/>
      <i/>
      <sz val="10"/>
      <name val="Arial"/>
      <family val="2"/>
    </font>
    <font>
      <sz val="10"/>
      <color rgb="FFFF0000"/>
      <name val="Arial"/>
      <family val="2"/>
    </font>
    <font>
      <b/>
      <sz val="11"/>
      <color theme="1"/>
      <name val="Times New Roman"/>
      <family val="1"/>
      <charset val="238"/>
    </font>
    <font>
      <sz val="11"/>
      <name val="Times New Roman"/>
      <family val="1"/>
      <charset val="238"/>
    </font>
    <font>
      <sz val="10"/>
      <color rgb="FF00B050"/>
      <name val="Arial"/>
      <family val="2"/>
      <charset val="238"/>
    </font>
    <font>
      <sz val="10"/>
      <color rgb="FF00B050"/>
      <name val="Arial"/>
      <family val="2"/>
    </font>
    <font>
      <sz val="11"/>
      <name val="Arial"/>
      <family val="2"/>
    </font>
    <font>
      <sz val="11"/>
      <name val="Times New Roman"/>
      <family val="1"/>
    </font>
    <font>
      <b/>
      <sz val="11"/>
      <name val="Times New Roman"/>
      <family val="1"/>
      <charset val="238"/>
    </font>
    <font>
      <b/>
      <sz val="12"/>
      <name val="Times New Roman"/>
      <family val="1"/>
    </font>
    <font>
      <sz val="11"/>
      <color theme="1"/>
      <name val="Times New Roman"/>
      <family val="1"/>
      <charset val="238"/>
    </font>
    <font>
      <b/>
      <sz val="11"/>
      <color theme="1"/>
      <name val="Times New Roman"/>
      <family val="1"/>
    </font>
    <font>
      <sz val="12"/>
      <name val="Times New Roman"/>
      <family val="1"/>
      <charset val="238"/>
    </font>
    <font>
      <b/>
      <sz val="10"/>
      <color theme="1"/>
      <name val="Arial"/>
      <family val="2"/>
      <charset val="238"/>
    </font>
    <font>
      <sz val="10"/>
      <color theme="1"/>
      <name val="Arial"/>
      <family val="2"/>
      <charset val="238"/>
    </font>
    <font>
      <sz val="10"/>
      <name val="Times New Roman"/>
      <family val="1"/>
    </font>
    <font>
      <vertAlign val="superscript"/>
      <sz val="10"/>
      <name val="Arial"/>
      <family val="2"/>
    </font>
    <font>
      <i/>
      <sz val="12"/>
      <color theme="1"/>
      <name val="Times New Roman"/>
      <family val="1"/>
      <charset val="238"/>
    </font>
    <font>
      <b/>
      <sz val="11"/>
      <name val="Times New Roman"/>
      <family val="1"/>
    </font>
    <font>
      <b/>
      <sz val="10"/>
      <color indexed="10"/>
      <name val="Arial"/>
      <family val="2"/>
      <charset val="238"/>
    </font>
    <font>
      <sz val="10"/>
      <color indexed="10"/>
      <name val="Arial"/>
      <family val="2"/>
      <charset val="238"/>
    </font>
    <font>
      <sz val="11"/>
      <color rgb="FFFF0000"/>
      <name val="Times New Roman"/>
      <family val="1"/>
    </font>
    <font>
      <sz val="10"/>
      <color theme="9" tint="-0.249977111117893"/>
      <name val="Arial"/>
      <family val="2"/>
      <charset val="238"/>
    </font>
    <font>
      <i/>
      <sz val="10"/>
      <color theme="9" tint="-0.249977111117893"/>
      <name val="Arial"/>
      <family val="2"/>
      <charset val="238"/>
    </font>
    <font>
      <b/>
      <sz val="10"/>
      <color rgb="FFFF0000"/>
      <name val="Arial"/>
      <family val="2"/>
      <charset val="238"/>
    </font>
    <font>
      <sz val="10"/>
      <color indexed="62"/>
      <name val="Arial"/>
      <family val="2"/>
    </font>
    <font>
      <sz val="11"/>
      <color theme="1"/>
      <name val="Arial"/>
      <family val="2"/>
      <charset val="238"/>
    </font>
    <font>
      <b/>
      <sz val="9"/>
      <color indexed="81"/>
      <name val="Tahoma"/>
      <family val="2"/>
      <charset val="238"/>
    </font>
    <font>
      <sz val="9"/>
      <color indexed="81"/>
      <name val="Tahoma"/>
      <family val="2"/>
      <charset val="238"/>
    </font>
    <font>
      <b/>
      <sz val="12"/>
      <color theme="1"/>
      <name val="Times New Roman"/>
      <family val="1"/>
    </font>
    <font>
      <sz val="12"/>
      <color theme="1"/>
      <name val="Times New Roman"/>
      <family val="1"/>
    </font>
    <font>
      <sz val="12"/>
      <color rgb="FFFF0000"/>
      <name val="Times New Roman"/>
      <family val="1"/>
    </font>
    <font>
      <b/>
      <sz val="12"/>
      <color rgb="FFFF0000"/>
      <name val="Times New Roman"/>
      <family val="1"/>
    </font>
    <font>
      <sz val="12"/>
      <color theme="0"/>
      <name val="Times New Roman"/>
      <family val="1"/>
    </font>
    <font>
      <sz val="12"/>
      <name val="Times New Roman"/>
      <family val="1"/>
    </font>
    <font>
      <sz val="12"/>
      <color rgb="FFC00000"/>
      <name val="Times New Roman"/>
      <family val="1"/>
    </font>
    <font>
      <b/>
      <sz val="12"/>
      <color rgb="FFC00000"/>
      <name val="Times New Roman"/>
      <family val="1"/>
    </font>
    <font>
      <sz val="11"/>
      <color theme="1"/>
      <name val="Calibri"/>
      <family val="2"/>
      <scheme val="minor"/>
    </font>
    <font>
      <b/>
      <sz val="12"/>
      <name val="Times New Roman"/>
      <family val="1"/>
      <charset val="238"/>
    </font>
    <font>
      <i/>
      <sz val="8"/>
      <name val="Times New Roman"/>
      <family val="1"/>
    </font>
    <font>
      <b/>
      <i/>
      <sz val="8"/>
      <name val="Times New Roman"/>
      <family val="1"/>
    </font>
    <font>
      <i/>
      <sz val="8"/>
      <name val="Arial"/>
      <family val="2"/>
      <charset val="238"/>
    </font>
    <font>
      <i/>
      <sz val="8"/>
      <color theme="1"/>
      <name val="Arial"/>
      <family val="2"/>
      <charset val="238"/>
    </font>
    <font>
      <b/>
      <u/>
      <sz val="12"/>
      <name val="Times New Roman"/>
      <family val="1"/>
    </font>
    <font>
      <sz val="11"/>
      <color theme="1"/>
      <name val="Times New Roman"/>
      <family val="1"/>
    </font>
    <font>
      <sz val="10"/>
      <name val="Calibri"/>
      <family val="2"/>
    </font>
    <font>
      <u/>
      <sz val="12"/>
      <name val="Times New Roman"/>
      <family val="1"/>
    </font>
    <font>
      <b/>
      <i/>
      <sz val="12"/>
      <name val="Times New Roman"/>
      <family val="1"/>
      <charset val="238"/>
    </font>
    <font>
      <i/>
      <sz val="11"/>
      <name val="Arial"/>
      <family val="2"/>
      <charset val="238"/>
    </font>
    <font>
      <sz val="14"/>
      <name val="Arial"/>
      <family val="2"/>
      <charset val="238"/>
    </font>
    <font>
      <u/>
      <sz val="12"/>
      <color theme="1"/>
      <name val="Times New Roman"/>
      <family val="1"/>
    </font>
    <font>
      <b/>
      <i/>
      <sz val="12"/>
      <name val="Times New Roman"/>
      <family val="1"/>
    </font>
    <font>
      <sz val="12"/>
      <color theme="1"/>
      <name val="Times New Roman"/>
      <family val="1"/>
      <charset val="238"/>
    </font>
    <font>
      <sz val="10"/>
      <color rgb="FFC00000"/>
      <name val="Arial"/>
      <family val="2"/>
      <charset val="238"/>
    </font>
    <font>
      <sz val="12"/>
      <color rgb="FFC00000"/>
      <name val="Times New Roman"/>
      <family val="1"/>
      <charset val="238"/>
    </font>
    <font>
      <u/>
      <sz val="12"/>
      <color rgb="FFC00000"/>
      <name val="Times New Roman"/>
      <family val="1"/>
    </font>
    <font>
      <b/>
      <sz val="12"/>
      <color rgb="FF000000"/>
      <name val="Times New Roman"/>
      <family val="1"/>
      <charset val="238"/>
    </font>
    <font>
      <b/>
      <sz val="12"/>
      <color theme="1"/>
      <name val="Times New Roman"/>
      <family val="1"/>
      <charset val="238"/>
    </font>
  </fonts>
  <fills count="17">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rgb="FF000000"/>
      </patternFill>
    </fill>
    <fill>
      <patternFill patternType="solid">
        <fgColor rgb="FFFFC000"/>
        <bgColor indexed="64"/>
      </patternFill>
    </fill>
    <fill>
      <patternFill patternType="solid">
        <fgColor rgb="FF66FFFF"/>
        <bgColor indexed="64"/>
      </patternFill>
    </fill>
    <fill>
      <patternFill patternType="solid">
        <fgColor indexed="44"/>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9"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s>
  <cellStyleXfs count="28">
    <xf numFmtId="0" fontId="0" fillId="0" borderId="0"/>
    <xf numFmtId="44" fontId="2" fillId="0" borderId="0" applyFont="0" applyFill="0" applyBorder="0" applyAlignment="0" applyProtection="0"/>
    <xf numFmtId="0" fontId="2" fillId="0" borderId="0"/>
    <xf numFmtId="0" fontId="1"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cellStyleXfs>
  <cellXfs count="1201">
    <xf numFmtId="0" fontId="0" fillId="0" borderId="0" xfId="0"/>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2" fillId="0" borderId="0" xfId="0" applyFont="1" applyAlignment="1">
      <alignment horizontal="left" vertical="center"/>
    </xf>
    <xf numFmtId="0" fontId="5" fillId="0" borderId="0" xfId="0" applyFont="1"/>
    <xf numFmtId="0" fontId="2" fillId="0" borderId="0" xfId="0" applyFont="1" applyAlignment="1">
      <alignment horizontal="center"/>
    </xf>
    <xf numFmtId="0" fontId="6" fillId="0" borderId="0" xfId="0" applyFont="1" applyAlignment="1">
      <alignment horizontal="center"/>
    </xf>
    <xf numFmtId="0" fontId="0" fillId="0" borderId="1" xfId="0" applyBorder="1" applyAlignment="1">
      <alignment horizontal="center"/>
    </xf>
    <xf numFmtId="0" fontId="0" fillId="0" borderId="1" xfId="0" applyBorder="1"/>
    <xf numFmtId="0" fontId="4" fillId="0" borderId="2" xfId="0" applyFont="1" applyBorder="1" applyAlignment="1">
      <alignment horizontal="left"/>
    </xf>
    <xf numFmtId="0" fontId="4" fillId="0" borderId="2" xfId="0" applyFont="1" applyBorder="1" applyAlignment="1">
      <alignment horizontal="center"/>
    </xf>
    <xf numFmtId="0" fontId="4" fillId="0" borderId="2" xfId="0" applyFont="1" applyBorder="1" applyAlignment="1">
      <alignment horizontal="center" vertical="top"/>
    </xf>
    <xf numFmtId="0" fontId="4" fillId="0" borderId="0" xfId="0" applyFont="1"/>
    <xf numFmtId="0" fontId="4" fillId="0" borderId="4" xfId="0" applyFont="1" applyBorder="1"/>
    <xf numFmtId="0" fontId="4" fillId="0" borderId="4" xfId="0" applyFont="1" applyBorder="1" applyAlignment="1">
      <alignment horizontal="center"/>
    </xf>
    <xf numFmtId="0" fontId="4" fillId="0" borderId="5" xfId="0" applyFont="1" applyBorder="1" applyAlignment="1">
      <alignment horizontal="center" vertical="top"/>
    </xf>
    <xf numFmtId="0" fontId="4" fillId="0" borderId="4" xfId="0" applyFont="1" applyBorder="1" applyAlignment="1">
      <alignment horizontal="center" vertical="top"/>
    </xf>
    <xf numFmtId="0" fontId="4" fillId="0" borderId="6" xfId="0" applyFont="1" applyBorder="1"/>
    <xf numFmtId="0" fontId="4" fillId="2" borderId="6" xfId="0" applyFont="1" applyFill="1" applyBorder="1" applyAlignment="1">
      <alignment horizontal="center"/>
    </xf>
    <xf numFmtId="14" fontId="4" fillId="0" borderId="6" xfId="0" applyNumberFormat="1" applyFont="1" applyBorder="1" applyAlignment="1">
      <alignment horizontal="center"/>
    </xf>
    <xf numFmtId="0" fontId="4" fillId="0" borderId="8" xfId="0" applyFont="1" applyBorder="1" applyAlignment="1">
      <alignment horizontal="center"/>
    </xf>
    <xf numFmtId="0" fontId="4" fillId="0" borderId="6"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7" fillId="3" borderId="4" xfId="0" applyFont="1" applyFill="1" applyBorder="1"/>
    <xf numFmtId="0" fontId="0" fillId="3" borderId="10" xfId="0" applyFill="1" applyBorder="1" applyAlignment="1">
      <alignment horizontal="center"/>
    </xf>
    <xf numFmtId="4" fontId="3" fillId="3" borderId="8" xfId="0" applyNumberFormat="1" applyFont="1" applyFill="1" applyBorder="1" applyAlignment="1">
      <alignment horizontal="right"/>
    </xf>
    <xf numFmtId="4" fontId="2" fillId="3" borderId="8" xfId="0" applyNumberFormat="1" applyFont="1" applyFill="1" applyBorder="1" applyAlignment="1">
      <alignment horizontal="right"/>
    </xf>
    <xf numFmtId="2" fontId="0" fillId="0" borderId="0" xfId="0" applyNumberFormat="1"/>
    <xf numFmtId="4" fontId="0" fillId="0" borderId="0" xfId="0" applyNumberFormat="1"/>
    <xf numFmtId="0" fontId="0" fillId="3" borderId="11" xfId="0" applyFill="1" applyBorder="1"/>
    <xf numFmtId="0" fontId="0" fillId="3" borderId="12" xfId="0" applyFill="1" applyBorder="1" applyAlignment="1">
      <alignment horizontal="center"/>
    </xf>
    <xf numFmtId="0" fontId="8" fillId="0" borderId="4" xfId="0" applyFont="1" applyBorder="1"/>
    <xf numFmtId="0" fontId="0" fillId="0" borderId="4" xfId="0" applyBorder="1" applyAlignment="1">
      <alignment horizontal="center"/>
    </xf>
    <xf numFmtId="4" fontId="4" fillId="0" borderId="8" xfId="0" applyNumberFormat="1" applyFont="1" applyBorder="1" applyAlignment="1">
      <alignment horizontal="right"/>
    </xf>
    <xf numFmtId="0" fontId="0" fillId="0" borderId="6" xfId="0" applyBorder="1"/>
    <xf numFmtId="0" fontId="0" fillId="0" borderId="6" xfId="0" applyBorder="1" applyAlignment="1">
      <alignment horizontal="center"/>
    </xf>
    <xf numFmtId="0" fontId="9" fillId="0" borderId="4" xfId="0" applyFont="1" applyBorder="1" applyAlignment="1">
      <alignment wrapText="1"/>
    </xf>
    <xf numFmtId="0" fontId="2" fillId="0" borderId="2" xfId="0" applyFont="1" applyBorder="1" applyAlignment="1">
      <alignment horizontal="center"/>
    </xf>
    <xf numFmtId="4" fontId="2" fillId="0" borderId="8" xfId="0" applyNumberFormat="1" applyFont="1" applyBorder="1" applyAlignment="1">
      <alignment horizontal="right"/>
    </xf>
    <xf numFmtId="0" fontId="2" fillId="0" borderId="0" xfId="0" applyFont="1"/>
    <xf numFmtId="0" fontId="9" fillId="0" borderId="6" xfId="0" applyFont="1" applyBorder="1"/>
    <xf numFmtId="0" fontId="2" fillId="0" borderId="6" xfId="0" applyFont="1" applyBorder="1" applyAlignment="1">
      <alignment horizontal="center"/>
    </xf>
    <xf numFmtId="0" fontId="9" fillId="0" borderId="4" xfId="0" applyFont="1" applyBorder="1"/>
    <xf numFmtId="0" fontId="9" fillId="0" borderId="2" xfId="0" applyFont="1" applyBorder="1" applyAlignment="1">
      <alignment wrapText="1"/>
    </xf>
    <xf numFmtId="0" fontId="3" fillId="0" borderId="2" xfId="0" applyFont="1" applyBorder="1" applyAlignment="1">
      <alignment horizontal="center"/>
    </xf>
    <xf numFmtId="4" fontId="0" fillId="0" borderId="8" xfId="0" applyNumberFormat="1" applyBorder="1" applyAlignment="1">
      <alignment horizontal="right"/>
    </xf>
    <xf numFmtId="4" fontId="3" fillId="0" borderId="8" xfId="0" applyNumberFormat="1" applyFont="1" applyBorder="1" applyAlignment="1">
      <alignment horizontal="right"/>
    </xf>
    <xf numFmtId="0" fontId="10" fillId="2" borderId="0" xfId="0" applyFont="1" applyFill="1"/>
    <xf numFmtId="0" fontId="10" fillId="0" borderId="0" xfId="0" applyFont="1"/>
    <xf numFmtId="0" fontId="11" fillId="0" borderId="6" xfId="0" applyFont="1" applyBorder="1"/>
    <xf numFmtId="0" fontId="3" fillId="0" borderId="6" xfId="0" applyFont="1" applyBorder="1" applyAlignment="1">
      <alignment horizontal="center"/>
    </xf>
    <xf numFmtId="0" fontId="9" fillId="0" borderId="2" xfId="0" applyFont="1" applyBorder="1"/>
    <xf numFmtId="0" fontId="9" fillId="0" borderId="2" xfId="0" applyFont="1" applyBorder="1" applyAlignment="1">
      <alignment horizontal="left"/>
    </xf>
    <xf numFmtId="0" fontId="0" fillId="0" borderId="2" xfId="0" applyBorder="1" applyAlignment="1">
      <alignment horizontal="center"/>
    </xf>
    <xf numFmtId="0" fontId="9" fillId="0" borderId="6" xfId="0" applyFont="1" applyBorder="1" applyAlignment="1">
      <alignment horizontal="left"/>
    </xf>
    <xf numFmtId="0" fontId="3" fillId="0" borderId="2" xfId="0" applyFont="1" applyBorder="1"/>
    <xf numFmtId="4" fontId="3" fillId="0" borderId="6" xfId="0" applyNumberFormat="1" applyFont="1" applyBorder="1" applyAlignment="1">
      <alignment horizontal="right"/>
    </xf>
    <xf numFmtId="0" fontId="3" fillId="0" borderId="6" xfId="0" applyFont="1" applyBorder="1"/>
    <xf numFmtId="0" fontId="8" fillId="0" borderId="2" xfId="0" applyFont="1" applyBorder="1"/>
    <xf numFmtId="0" fontId="11" fillId="0" borderId="2" xfId="0" applyFont="1" applyBorder="1" applyAlignment="1">
      <alignment wrapText="1"/>
    </xf>
    <xf numFmtId="0" fontId="2" fillId="0" borderId="6" xfId="0" applyFont="1" applyBorder="1"/>
    <xf numFmtId="0" fontId="11" fillId="0" borderId="4" xfId="0" applyFont="1" applyBorder="1" applyAlignment="1">
      <alignment wrapText="1"/>
    </xf>
    <xf numFmtId="0" fontId="12" fillId="0" borderId="0" xfId="0" applyFont="1"/>
    <xf numFmtId="0" fontId="2" fillId="2" borderId="4" xfId="0" applyFont="1" applyFill="1" applyBorder="1" applyAlignment="1">
      <alignment horizontal="center"/>
    </xf>
    <xf numFmtId="4" fontId="0" fillId="2" borderId="8" xfId="0" applyNumberFormat="1" applyFill="1" applyBorder="1" applyAlignment="1">
      <alignment horizontal="right"/>
    </xf>
    <xf numFmtId="0" fontId="0" fillId="2" borderId="0" xfId="0" applyFill="1"/>
    <xf numFmtId="0" fontId="9" fillId="2" borderId="6" xfId="0" applyFont="1" applyFill="1" applyBorder="1"/>
    <xf numFmtId="0" fontId="2" fillId="2" borderId="6" xfId="0" applyFont="1" applyFill="1" applyBorder="1" applyAlignment="1">
      <alignment horizontal="center"/>
    </xf>
    <xf numFmtId="0" fontId="3" fillId="0" borderId="4" xfId="0" applyFont="1" applyBorder="1" applyAlignment="1">
      <alignment wrapText="1"/>
    </xf>
    <xf numFmtId="0" fontId="3" fillId="0" borderId="4" xfId="0" applyFont="1" applyBorder="1"/>
    <xf numFmtId="0" fontId="11" fillId="0" borderId="4" xfId="0" applyFont="1" applyBorder="1"/>
    <xf numFmtId="0" fontId="3" fillId="0" borderId="4" xfId="0" applyFont="1" applyBorder="1" applyAlignment="1">
      <alignment horizontal="center"/>
    </xf>
    <xf numFmtId="0" fontId="3" fillId="0" borderId="11" xfId="0" applyFont="1" applyBorder="1"/>
    <xf numFmtId="0" fontId="3" fillId="0" borderId="11" xfId="0" applyFont="1" applyBorder="1" applyAlignment="1">
      <alignment horizontal="center"/>
    </xf>
    <xf numFmtId="0" fontId="13" fillId="0" borderId="4" xfId="0" applyFont="1" applyBorder="1" applyAlignment="1">
      <alignment horizontal="left"/>
    </xf>
    <xf numFmtId="0" fontId="2" fillId="2" borderId="0" xfId="0" applyFont="1" applyFill="1"/>
    <xf numFmtId="0" fontId="8" fillId="2" borderId="2" xfId="0" applyFont="1" applyFill="1" applyBorder="1"/>
    <xf numFmtId="0" fontId="3" fillId="2" borderId="7" xfId="0" applyFont="1" applyFill="1" applyBorder="1" applyAlignment="1">
      <alignment horizontal="center"/>
    </xf>
    <xf numFmtId="4" fontId="3" fillId="2" borderId="8" xfId="0" applyNumberFormat="1" applyFont="1" applyFill="1" applyBorder="1" applyAlignment="1">
      <alignment horizontal="right"/>
    </xf>
    <xf numFmtId="0" fontId="3" fillId="2" borderId="6" xfId="0" applyFont="1" applyFill="1" applyBorder="1"/>
    <xf numFmtId="0" fontId="2" fillId="0" borderId="2" xfId="0" applyFont="1" applyBorder="1" applyAlignment="1">
      <alignment wrapText="1"/>
    </xf>
    <xf numFmtId="0" fontId="2" fillId="0" borderId="3" xfId="0" applyFont="1" applyBorder="1" applyAlignment="1">
      <alignment horizontal="center"/>
    </xf>
    <xf numFmtId="0" fontId="6" fillId="0" borderId="6" xfId="0" applyFont="1" applyBorder="1"/>
    <xf numFmtId="0" fontId="2" fillId="0" borderId="7" xfId="0" applyFont="1" applyBorder="1" applyAlignment="1">
      <alignment horizontal="center"/>
    </xf>
    <xf numFmtId="0" fontId="13" fillId="0" borderId="4" xfId="0" applyFont="1" applyBorder="1"/>
    <xf numFmtId="0" fontId="3" fillId="0" borderId="6" xfId="0" applyFont="1" applyBorder="1" applyAlignment="1">
      <alignment wrapText="1"/>
    </xf>
    <xf numFmtId="0" fontId="6" fillId="0" borderId="2" xfId="0" applyFont="1" applyBorder="1"/>
    <xf numFmtId="0" fontId="3" fillId="0" borderId="7" xfId="0" applyFont="1" applyBorder="1" applyAlignment="1">
      <alignment horizontal="center"/>
    </xf>
    <xf numFmtId="0" fontId="3" fillId="2" borderId="2" xfId="0" applyFont="1" applyFill="1" applyBorder="1" applyAlignment="1">
      <alignment wrapText="1"/>
    </xf>
    <xf numFmtId="0" fontId="3" fillId="2" borderId="2" xfId="0" applyFont="1" applyFill="1" applyBorder="1" applyAlignment="1">
      <alignment horizontal="center"/>
    </xf>
    <xf numFmtId="0" fontId="14" fillId="2" borderId="0" xfId="0" applyFont="1" applyFill="1"/>
    <xf numFmtId="0" fontId="11" fillId="2" borderId="6" xfId="0" applyFont="1" applyFill="1" applyBorder="1"/>
    <xf numFmtId="0" fontId="3" fillId="2" borderId="6" xfId="0" applyFont="1" applyFill="1" applyBorder="1" applyAlignment="1">
      <alignment horizontal="center"/>
    </xf>
    <xf numFmtId="0" fontId="3" fillId="2" borderId="0" xfId="0" applyFont="1" applyFill="1"/>
    <xf numFmtId="4" fontId="3" fillId="5" borderId="8" xfId="0" applyNumberFormat="1" applyFont="1" applyFill="1" applyBorder="1" applyAlignment="1">
      <alignment horizontal="right"/>
    </xf>
    <xf numFmtId="0" fontId="11" fillId="5" borderId="6" xfId="0" applyFont="1" applyFill="1" applyBorder="1"/>
    <xf numFmtId="0" fontId="3" fillId="5" borderId="6" xfId="0" applyFont="1" applyFill="1" applyBorder="1" applyAlignment="1">
      <alignment horizontal="center"/>
    </xf>
    <xf numFmtId="0" fontId="3" fillId="5" borderId="0" xfId="0" applyFont="1" applyFill="1"/>
    <xf numFmtId="0" fontId="3" fillId="6" borderId="2" xfId="0" applyFont="1" applyFill="1" applyBorder="1" applyAlignment="1">
      <alignment wrapText="1"/>
    </xf>
    <xf numFmtId="0" fontId="3" fillId="6" borderId="2" xfId="0" applyFont="1" applyFill="1" applyBorder="1" applyAlignment="1">
      <alignment horizontal="center"/>
    </xf>
    <xf numFmtId="4" fontId="3" fillId="6" borderId="8" xfId="0" applyNumberFormat="1" applyFont="1" applyFill="1" applyBorder="1" applyAlignment="1">
      <alignment horizontal="right"/>
    </xf>
    <xf numFmtId="0" fontId="14" fillId="6" borderId="0" xfId="0" applyFont="1" applyFill="1"/>
    <xf numFmtId="0" fontId="12" fillId="2" borderId="0" xfId="0" applyFont="1" applyFill="1"/>
    <xf numFmtId="0" fontId="11" fillId="0" borderId="6" xfId="0" applyFont="1" applyBorder="1" applyAlignment="1">
      <alignment wrapText="1"/>
    </xf>
    <xf numFmtId="0" fontId="9" fillId="2" borderId="6" xfId="0" applyFont="1" applyFill="1" applyBorder="1" applyAlignment="1">
      <alignment wrapText="1"/>
    </xf>
    <xf numFmtId="4" fontId="2" fillId="2" borderId="8" xfId="0" applyNumberFormat="1" applyFont="1" applyFill="1" applyBorder="1" applyAlignment="1">
      <alignment horizontal="right"/>
    </xf>
    <xf numFmtId="0" fontId="2" fillId="2" borderId="2" xfId="2" applyFill="1" applyBorder="1" applyAlignment="1">
      <alignment horizontal="left" vertical="center" wrapText="1"/>
    </xf>
    <xf numFmtId="0" fontId="2" fillId="2" borderId="2" xfId="0" applyFont="1" applyFill="1" applyBorder="1" applyAlignment="1">
      <alignment horizontal="center"/>
    </xf>
    <xf numFmtId="0" fontId="9" fillId="0" borderId="6" xfId="0" applyFont="1" applyBorder="1" applyAlignment="1">
      <alignment wrapText="1"/>
    </xf>
    <xf numFmtId="0" fontId="2" fillId="0" borderId="2" xfId="0" applyFont="1" applyBorder="1" applyAlignment="1">
      <alignment vertical="center" wrapText="1"/>
    </xf>
    <xf numFmtId="0" fontId="3" fillId="0" borderId="2" xfId="0" applyFont="1" applyBorder="1" applyAlignment="1">
      <alignment wrapText="1"/>
    </xf>
    <xf numFmtId="0" fontId="2" fillId="2" borderId="2" xfId="0" applyFont="1" applyFill="1" applyBorder="1" applyAlignment="1">
      <alignment wrapText="1"/>
    </xf>
    <xf numFmtId="0" fontId="3" fillId="2" borderId="2" xfId="0" applyFont="1" applyFill="1" applyBorder="1" applyAlignment="1">
      <alignment horizontal="left" vertical="center" wrapText="1"/>
    </xf>
    <xf numFmtId="0" fontId="12" fillId="0" borderId="2" xfId="0" applyFont="1" applyBorder="1" applyAlignment="1">
      <alignment vertical="center" wrapText="1"/>
    </xf>
    <xf numFmtId="0" fontId="12" fillId="0" borderId="2" xfId="0" applyFont="1" applyBorder="1" applyAlignment="1">
      <alignment horizontal="center"/>
    </xf>
    <xf numFmtId="4" fontId="12" fillId="0" borderId="8" xfId="0" applyNumberFormat="1" applyFont="1" applyBorder="1" applyAlignment="1">
      <alignment horizontal="right"/>
    </xf>
    <xf numFmtId="4" fontId="14" fillId="0" borderId="8" xfId="0" applyNumberFormat="1" applyFont="1" applyBorder="1" applyAlignment="1">
      <alignment horizontal="right"/>
    </xf>
    <xf numFmtId="0" fontId="2" fillId="2" borderId="6" xfId="0" applyFont="1" applyFill="1" applyBorder="1"/>
    <xf numFmtId="0" fontId="2" fillId="2" borderId="6" xfId="2" applyFill="1" applyBorder="1" applyAlignment="1">
      <alignment horizontal="left" vertical="center" wrapText="1"/>
    </xf>
    <xf numFmtId="4" fontId="4" fillId="5" borderId="8" xfId="0" applyNumberFormat="1" applyFont="1" applyFill="1" applyBorder="1" applyAlignment="1">
      <alignment horizontal="right"/>
    </xf>
    <xf numFmtId="0" fontId="15" fillId="2" borderId="2" xfId="0" applyFont="1" applyFill="1" applyBorder="1" applyAlignment="1">
      <alignment wrapText="1"/>
    </xf>
    <xf numFmtId="0" fontId="4" fillId="5" borderId="2" xfId="0" applyFont="1" applyFill="1" applyBorder="1" applyAlignment="1">
      <alignment horizontal="center"/>
    </xf>
    <xf numFmtId="0" fontId="4" fillId="2" borderId="0" xfId="0" applyFont="1" applyFill="1"/>
    <xf numFmtId="0" fontId="4" fillId="5" borderId="0" xfId="0" applyFont="1" applyFill="1"/>
    <xf numFmtId="0" fontId="4" fillId="5" borderId="6" xfId="0" applyFont="1" applyFill="1" applyBorder="1"/>
    <xf numFmtId="0" fontId="4" fillId="5" borderId="6" xfId="0" applyFont="1" applyFill="1" applyBorder="1" applyAlignment="1">
      <alignment horizontal="center"/>
    </xf>
    <xf numFmtId="0" fontId="16" fillId="2" borderId="2" xfId="2" applyFont="1" applyFill="1" applyBorder="1" applyAlignment="1">
      <alignment horizontal="left" vertical="center" wrapText="1"/>
    </xf>
    <xf numFmtId="0" fontId="3" fillId="5" borderId="6" xfId="0" applyFont="1" applyFill="1" applyBorder="1"/>
    <xf numFmtId="0" fontId="14" fillId="5" borderId="0" xfId="0" applyFont="1" applyFill="1"/>
    <xf numFmtId="0" fontId="4" fillId="0" borderId="2" xfId="0" applyFont="1" applyBorder="1" applyAlignment="1">
      <alignment wrapText="1"/>
    </xf>
    <xf numFmtId="0" fontId="4" fillId="5" borderId="2" xfId="0" applyFont="1" applyFill="1" applyBorder="1" applyAlignment="1">
      <alignment wrapText="1"/>
    </xf>
    <xf numFmtId="0" fontId="4" fillId="5" borderId="6" xfId="0" applyFont="1" applyFill="1" applyBorder="1" applyAlignment="1">
      <alignment wrapText="1"/>
    </xf>
    <xf numFmtId="0" fontId="17" fillId="2" borderId="2" xfId="0" applyFont="1" applyFill="1" applyBorder="1" applyAlignment="1">
      <alignment wrapText="1"/>
    </xf>
    <xf numFmtId="0" fontId="17" fillId="2" borderId="2" xfId="0" applyFont="1" applyFill="1" applyBorder="1" applyAlignment="1">
      <alignment horizontal="center"/>
    </xf>
    <xf numFmtId="4" fontId="17" fillId="2" borderId="8" xfId="0" applyNumberFormat="1" applyFont="1" applyFill="1" applyBorder="1" applyAlignment="1">
      <alignment horizontal="right"/>
    </xf>
    <xf numFmtId="4" fontId="17" fillId="5" borderId="8" xfId="0" applyNumberFormat="1" applyFont="1" applyFill="1" applyBorder="1" applyAlignment="1">
      <alignment horizontal="right"/>
    </xf>
    <xf numFmtId="4" fontId="17" fillId="0" borderId="8" xfId="0" applyNumberFormat="1" applyFont="1" applyBorder="1"/>
    <xf numFmtId="0" fontId="17" fillId="2" borderId="0" xfId="0" applyFont="1" applyFill="1"/>
    <xf numFmtId="0" fontId="2" fillId="5" borderId="6" xfId="0" applyFont="1" applyFill="1" applyBorder="1" applyAlignment="1">
      <alignment wrapText="1"/>
    </xf>
    <xf numFmtId="0" fontId="2" fillId="5" borderId="6" xfId="0" applyFont="1" applyFill="1" applyBorder="1" applyAlignment="1">
      <alignment horizontal="center"/>
    </xf>
    <xf numFmtId="4" fontId="2" fillId="5" borderId="8" xfId="0" applyNumberFormat="1" applyFont="1" applyFill="1" applyBorder="1" applyAlignment="1">
      <alignment horizontal="right"/>
    </xf>
    <xf numFmtId="4" fontId="2" fillId="0" borderId="8" xfId="0" applyNumberFormat="1" applyFont="1" applyBorder="1"/>
    <xf numFmtId="0" fontId="2" fillId="5" borderId="0" xfId="0" applyFont="1" applyFill="1"/>
    <xf numFmtId="0" fontId="2" fillId="5" borderId="2" xfId="0" applyFont="1" applyFill="1" applyBorder="1" applyAlignment="1">
      <alignment horizontal="center"/>
    </xf>
    <xf numFmtId="0" fontId="12" fillId="5" borderId="0" xfId="0" applyFont="1" applyFill="1"/>
    <xf numFmtId="0" fontId="4" fillId="2" borderId="2" xfId="0" applyFont="1" applyFill="1" applyBorder="1"/>
    <xf numFmtId="0" fontId="4" fillId="0" borderId="2" xfId="0" applyFont="1" applyBorder="1"/>
    <xf numFmtId="0" fontId="3" fillId="5" borderId="2" xfId="0" applyFont="1" applyFill="1" applyBorder="1" applyAlignment="1">
      <alignment horizontal="center"/>
    </xf>
    <xf numFmtId="0" fontId="2" fillId="0" borderId="4" xfId="0" applyFont="1" applyBorder="1" applyAlignment="1">
      <alignment horizontal="center"/>
    </xf>
    <xf numFmtId="0" fontId="2" fillId="0" borderId="4" xfId="0" applyFont="1" applyBorder="1" applyAlignment="1">
      <alignment wrapText="1"/>
    </xf>
    <xf numFmtId="0" fontId="2" fillId="6" borderId="0" xfId="0" applyFont="1" applyFill="1"/>
    <xf numFmtId="0" fontId="2" fillId="2" borderId="4" xfId="0" applyFont="1" applyFill="1" applyBorder="1" applyAlignment="1">
      <alignment wrapText="1"/>
    </xf>
    <xf numFmtId="0" fontId="3" fillId="5" borderId="4" xfId="0" applyFont="1" applyFill="1" applyBorder="1" applyAlignment="1">
      <alignment horizontal="center"/>
    </xf>
    <xf numFmtId="4" fontId="6" fillId="5" borderId="6" xfId="0" applyNumberFormat="1" applyFont="1" applyFill="1" applyBorder="1" applyAlignment="1">
      <alignment horizontal="right"/>
    </xf>
    <xf numFmtId="0" fontId="6" fillId="5" borderId="0" xfId="0" applyFont="1" applyFill="1"/>
    <xf numFmtId="4" fontId="6" fillId="5" borderId="8" xfId="0" applyNumberFormat="1" applyFont="1" applyFill="1" applyBorder="1" applyAlignment="1">
      <alignment horizontal="right"/>
    </xf>
    <xf numFmtId="0" fontId="6" fillId="0" borderId="4" xfId="0" applyFont="1" applyBorder="1"/>
    <xf numFmtId="0" fontId="3" fillId="2" borderId="2" xfId="0" applyFont="1" applyFill="1" applyBorder="1" applyAlignment="1">
      <alignment horizontal="left" wrapText="1"/>
    </xf>
    <xf numFmtId="0" fontId="0" fillId="0" borderId="5" xfId="0" applyBorder="1" applyAlignment="1">
      <alignment horizontal="center"/>
    </xf>
    <xf numFmtId="0" fontId="0" fillId="0" borderId="7" xfId="0" applyBorder="1" applyAlignment="1">
      <alignment horizontal="center"/>
    </xf>
    <xf numFmtId="0" fontId="6" fillId="0" borderId="2" xfId="0" applyFont="1" applyBorder="1" applyAlignment="1">
      <alignment wrapText="1"/>
    </xf>
    <xf numFmtId="0" fontId="6" fillId="0" borderId="3" xfId="0" applyFont="1" applyBorder="1" applyAlignment="1">
      <alignment horizontal="center"/>
    </xf>
    <xf numFmtId="4" fontId="6" fillId="0" borderId="8" xfId="0" applyNumberFormat="1" applyFont="1" applyBorder="1" applyAlignment="1">
      <alignment horizontal="right"/>
    </xf>
    <xf numFmtId="0" fontId="6" fillId="0" borderId="7" xfId="0" applyFont="1" applyBorder="1" applyAlignment="1">
      <alignment horizontal="center"/>
    </xf>
    <xf numFmtId="0" fontId="3" fillId="0" borderId="5" xfId="0" applyFont="1" applyBorder="1" applyAlignment="1">
      <alignment horizontal="center"/>
    </xf>
    <xf numFmtId="0" fontId="14" fillId="0" borderId="0" xfId="0" applyFont="1"/>
    <xf numFmtId="0" fontId="9" fillId="5" borderId="2" xfId="0" applyFont="1" applyFill="1" applyBorder="1" applyAlignment="1">
      <alignment wrapText="1"/>
    </xf>
    <xf numFmtId="0" fontId="2" fillId="5" borderId="4" xfId="0" applyFont="1" applyFill="1" applyBorder="1" applyAlignment="1">
      <alignment horizontal="center"/>
    </xf>
    <xf numFmtId="0" fontId="13" fillId="5" borderId="6" xfId="0" applyFont="1" applyFill="1" applyBorder="1"/>
    <xf numFmtId="0" fontId="2" fillId="2" borderId="6" xfId="0" applyFont="1" applyFill="1" applyBorder="1" applyAlignment="1">
      <alignment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3" fillId="5" borderId="2" xfId="0" applyFont="1" applyFill="1" applyBorder="1"/>
    <xf numFmtId="0" fontId="6" fillId="5" borderId="4" xfId="0" applyFont="1" applyFill="1" applyBorder="1" applyAlignment="1">
      <alignment horizontal="center"/>
    </xf>
    <xf numFmtId="0" fontId="6" fillId="5" borderId="6" xfId="0" applyFont="1" applyFill="1" applyBorder="1" applyAlignment="1">
      <alignment horizontal="center"/>
    </xf>
    <xf numFmtId="0" fontId="3" fillId="5" borderId="2" xfId="0" applyFont="1" applyFill="1" applyBorder="1"/>
    <xf numFmtId="4" fontId="0" fillId="5" borderId="8" xfId="0" applyNumberFormat="1" applyFill="1" applyBorder="1" applyAlignment="1">
      <alignment horizontal="right"/>
    </xf>
    <xf numFmtId="0" fontId="3" fillId="5" borderId="6" xfId="0" applyFont="1" applyFill="1" applyBorder="1" applyAlignment="1">
      <alignment wrapText="1"/>
    </xf>
    <xf numFmtId="0" fontId="6" fillId="5" borderId="4" xfId="0" applyFont="1" applyFill="1" applyBorder="1" applyAlignment="1">
      <alignment wrapText="1"/>
    </xf>
    <xf numFmtId="0" fontId="3" fillId="5" borderId="2" xfId="0" applyFont="1" applyFill="1" applyBorder="1" applyAlignment="1">
      <alignment wrapText="1"/>
    </xf>
    <xf numFmtId="4" fontId="3" fillId="5" borderId="8" xfId="0" applyNumberFormat="1" applyFont="1" applyFill="1" applyBorder="1"/>
    <xf numFmtId="0" fontId="18" fillId="0" borderId="0" xfId="0" applyFont="1"/>
    <xf numFmtId="0" fontId="3" fillId="5" borderId="2" xfId="0" applyFont="1" applyFill="1" applyBorder="1" applyAlignment="1">
      <alignment vertical="center" wrapText="1"/>
    </xf>
    <xf numFmtId="0" fontId="3" fillId="2" borderId="6" xfId="0" applyFont="1" applyFill="1" applyBorder="1" applyAlignment="1">
      <alignment wrapText="1"/>
    </xf>
    <xf numFmtId="4" fontId="3" fillId="2" borderId="8" xfId="0" applyNumberFormat="1" applyFont="1" applyFill="1" applyBorder="1"/>
    <xf numFmtId="0" fontId="19" fillId="2" borderId="6" xfId="0" applyFont="1" applyFill="1" applyBorder="1" applyAlignment="1">
      <alignment horizontal="justify"/>
    </xf>
    <xf numFmtId="0" fontId="3" fillId="0" borderId="2" xfId="0" applyFont="1" applyBorder="1" applyAlignment="1">
      <alignment horizontal="left" vertical="center" wrapText="1"/>
    </xf>
    <xf numFmtId="0" fontId="14" fillId="0" borderId="0" xfId="0" applyFont="1" applyAlignment="1">
      <alignment vertical="center"/>
    </xf>
    <xf numFmtId="0" fontId="3" fillId="0" borderId="6" xfId="0" applyFont="1" applyBorder="1" applyAlignment="1">
      <alignment horizontal="left" vertical="center" wrapText="1"/>
    </xf>
    <xf numFmtId="4" fontId="2" fillId="2" borderId="8" xfId="0" applyNumberFormat="1" applyFont="1" applyFill="1" applyBorder="1"/>
    <xf numFmtId="0" fontId="5" fillId="2" borderId="6" xfId="0" applyFont="1" applyFill="1" applyBorder="1" applyAlignment="1">
      <alignment horizontal="justify"/>
    </xf>
    <xf numFmtId="0" fontId="3" fillId="2" borderId="2" xfId="0" applyFont="1" applyFill="1" applyBorder="1" applyAlignment="1">
      <alignment vertical="top" wrapText="1"/>
    </xf>
    <xf numFmtId="0" fontId="3" fillId="6" borderId="4" xfId="0" applyFont="1" applyFill="1" applyBorder="1" applyAlignment="1">
      <alignment wrapText="1"/>
    </xf>
    <xf numFmtId="4" fontId="3" fillId="0" borderId="8" xfId="0" applyNumberFormat="1" applyFont="1" applyBorder="1"/>
    <xf numFmtId="0" fontId="2" fillId="2" borderId="2" xfId="3" applyFont="1" applyFill="1" applyBorder="1" applyAlignment="1">
      <alignment wrapText="1"/>
    </xf>
    <xf numFmtId="0" fontId="3" fillId="7" borderId="2" xfId="0" applyFont="1" applyFill="1" applyBorder="1" applyAlignment="1">
      <alignment horizontal="left" vertical="center" wrapText="1"/>
    </xf>
    <xf numFmtId="0" fontId="14" fillId="2" borderId="0" xfId="0" applyFont="1" applyFill="1" applyAlignment="1">
      <alignment vertical="center"/>
    </xf>
    <xf numFmtId="0" fontId="8" fillId="0" borderId="2" xfId="4" applyFont="1" applyBorder="1"/>
    <xf numFmtId="0" fontId="2" fillId="2" borderId="2" xfId="2" applyFill="1" applyBorder="1" applyAlignment="1">
      <alignment horizontal="left" vertical="top" wrapText="1"/>
    </xf>
    <xf numFmtId="0" fontId="0" fillId="5" borderId="4" xfId="0" applyFill="1" applyBorder="1"/>
    <xf numFmtId="0" fontId="0" fillId="5" borderId="4" xfId="0" applyFill="1" applyBorder="1" applyAlignment="1">
      <alignment horizontal="center"/>
    </xf>
    <xf numFmtId="0" fontId="9" fillId="6" borderId="2" xfId="0" applyFont="1" applyFill="1" applyBorder="1" applyAlignment="1">
      <alignment wrapText="1"/>
    </xf>
    <xf numFmtId="0" fontId="2" fillId="6" borderId="4" xfId="0" applyFont="1" applyFill="1" applyBorder="1" applyAlignment="1">
      <alignment horizontal="center"/>
    </xf>
    <xf numFmtId="4" fontId="2" fillId="6" borderId="8" xfId="0" applyNumberFormat="1" applyFont="1" applyFill="1" applyBorder="1" applyAlignment="1">
      <alignment horizontal="right"/>
    </xf>
    <xf numFmtId="0" fontId="10" fillId="6" borderId="0" xfId="0" applyFont="1" applyFill="1"/>
    <xf numFmtId="0" fontId="13" fillId="6" borderId="6" xfId="0" applyFont="1" applyFill="1" applyBorder="1"/>
    <xf numFmtId="0" fontId="2" fillId="6" borderId="6" xfId="0" applyFont="1" applyFill="1" applyBorder="1" applyAlignment="1">
      <alignment horizontal="center"/>
    </xf>
    <xf numFmtId="0" fontId="2" fillId="2" borderId="2" xfId="3" applyFont="1" applyFill="1" applyBorder="1" applyAlignment="1">
      <alignment horizontal="left" vertical="center" wrapText="1"/>
    </xf>
    <xf numFmtId="0" fontId="2" fillId="2" borderId="2" xfId="5" applyFont="1" applyFill="1" applyBorder="1" applyAlignment="1">
      <alignment vertical="center" wrapText="1"/>
    </xf>
    <xf numFmtId="0" fontId="9" fillId="2" borderId="6" xfId="0" applyFont="1" applyFill="1" applyBorder="1" applyAlignment="1">
      <alignment horizontal="center" vertical="center" wrapText="1"/>
    </xf>
    <xf numFmtId="0" fontId="20" fillId="2" borderId="2" xfId="0" applyFont="1" applyFill="1" applyBorder="1" applyAlignment="1">
      <alignment vertical="center" wrapText="1"/>
    </xf>
    <xf numFmtId="4" fontId="14" fillId="2" borderId="8" xfId="0" applyNumberFormat="1" applyFont="1" applyFill="1" applyBorder="1" applyAlignment="1">
      <alignment horizontal="right"/>
    </xf>
    <xf numFmtId="4" fontId="12" fillId="2" borderId="8" xfId="0" applyNumberFormat="1" applyFont="1" applyFill="1" applyBorder="1" applyAlignment="1">
      <alignment horizontal="right"/>
    </xf>
    <xf numFmtId="0" fontId="15" fillId="2" borderId="2" xfId="0" applyFont="1" applyFill="1" applyBorder="1" applyAlignment="1">
      <alignment vertical="center" wrapText="1"/>
    </xf>
    <xf numFmtId="0" fontId="16" fillId="2" borderId="2" xfId="6" applyFont="1" applyFill="1" applyBorder="1" applyAlignment="1">
      <alignment vertical="center" wrapText="1"/>
    </xf>
    <xf numFmtId="0" fontId="4" fillId="0" borderId="2" xfId="4" applyFont="1" applyBorder="1"/>
    <xf numFmtId="0" fontId="21" fillId="2" borderId="2" xfId="7" applyFont="1" applyFill="1" applyBorder="1" applyAlignment="1">
      <alignment wrapText="1"/>
    </xf>
    <xf numFmtId="0" fontId="16" fillId="2" borderId="2" xfId="0" applyFont="1" applyFill="1" applyBorder="1" applyAlignment="1">
      <alignment wrapText="1"/>
    </xf>
    <xf numFmtId="0" fontId="4" fillId="2" borderId="2" xfId="0" applyFont="1" applyFill="1" applyBorder="1" applyAlignment="1">
      <alignment vertical="center" wrapText="1"/>
    </xf>
    <xf numFmtId="0" fontId="22" fillId="0" borderId="2" xfId="5" applyFont="1" applyBorder="1" applyAlignment="1">
      <alignment vertical="center" wrapText="1"/>
    </xf>
    <xf numFmtId="0" fontId="16" fillId="2" borderId="2" xfId="0" applyFont="1" applyFill="1" applyBorder="1" applyAlignment="1">
      <alignment vertical="center" wrapText="1"/>
    </xf>
    <xf numFmtId="0" fontId="13" fillId="0" borderId="2" xfId="0" applyFont="1" applyBorder="1"/>
    <xf numFmtId="0" fontId="9" fillId="2" borderId="2" xfId="0" applyFont="1" applyFill="1" applyBorder="1" applyAlignment="1">
      <alignment wrapText="1"/>
    </xf>
    <xf numFmtId="0" fontId="13" fillId="2" borderId="6" xfId="0" applyFont="1" applyFill="1" applyBorder="1"/>
    <xf numFmtId="2" fontId="2" fillId="2" borderId="2" xfId="0" applyNumberFormat="1" applyFont="1" applyFill="1" applyBorder="1" applyAlignment="1">
      <alignment vertical="center" wrapText="1"/>
    </xf>
    <xf numFmtId="2" fontId="2" fillId="2" borderId="6" xfId="0" applyNumberFormat="1" applyFont="1" applyFill="1" applyBorder="1" applyAlignment="1">
      <alignment vertical="center" wrapText="1"/>
    </xf>
    <xf numFmtId="0" fontId="2" fillId="6" borderId="2" xfId="7" applyFill="1" applyBorder="1" applyAlignment="1">
      <alignment vertical="center" wrapText="1"/>
    </xf>
    <xf numFmtId="2" fontId="2" fillId="6" borderId="6" xfId="0" applyNumberFormat="1" applyFont="1" applyFill="1" applyBorder="1" applyAlignment="1">
      <alignment vertical="center" wrapText="1"/>
    </xf>
    <xf numFmtId="0" fontId="2" fillId="0" borderId="2" xfId="0" applyFont="1" applyBorder="1" applyAlignment="1">
      <alignment vertical="top" wrapText="1"/>
    </xf>
    <xf numFmtId="0" fontId="12" fillId="0" borderId="0" xfId="0" applyFont="1" applyAlignment="1">
      <alignment horizontal="left" vertical="center"/>
    </xf>
    <xf numFmtId="0" fontId="2" fillId="6" borderId="2" xfId="0" applyFont="1" applyFill="1" applyBorder="1" applyAlignment="1">
      <alignment vertical="top" wrapText="1"/>
    </xf>
    <xf numFmtId="0" fontId="2" fillId="6" borderId="2" xfId="0" applyFont="1" applyFill="1" applyBorder="1" applyAlignment="1">
      <alignment horizontal="center"/>
    </xf>
    <xf numFmtId="4" fontId="2" fillId="6" borderId="8" xfId="0" applyNumberFormat="1" applyFont="1" applyFill="1" applyBorder="1"/>
    <xf numFmtId="0" fontId="12" fillId="6" borderId="0" xfId="0" applyFont="1" applyFill="1"/>
    <xf numFmtId="4" fontId="2" fillId="6" borderId="2" xfId="7" applyNumberFormat="1" applyFill="1" applyBorder="1" applyAlignment="1">
      <alignment vertical="top" wrapText="1"/>
    </xf>
    <xf numFmtId="0" fontId="2" fillId="8" borderId="4" xfId="2" applyFill="1" applyBorder="1" applyAlignment="1">
      <alignment horizontal="left" vertical="center" wrapText="1"/>
    </xf>
    <xf numFmtId="0" fontId="2" fillId="6" borderId="4" xfId="2" applyFill="1" applyBorder="1" applyAlignment="1">
      <alignment horizontal="left" vertical="top" wrapText="1"/>
    </xf>
    <xf numFmtId="0" fontId="3" fillId="2" borderId="4" xfId="0" applyFont="1" applyFill="1" applyBorder="1" applyAlignment="1">
      <alignment horizontal="left" vertical="center" wrapText="1"/>
    </xf>
    <xf numFmtId="0" fontId="3" fillId="2" borderId="4" xfId="0" applyFont="1" applyFill="1" applyBorder="1" applyAlignment="1">
      <alignment vertical="center" wrapText="1"/>
    </xf>
    <xf numFmtId="0" fontId="2" fillId="2" borderId="4" xfId="0" applyFont="1" applyFill="1" applyBorder="1" applyAlignment="1">
      <alignment vertical="top" wrapText="1"/>
    </xf>
    <xf numFmtId="4" fontId="5" fillId="2" borderId="8" xfId="0" applyNumberFormat="1" applyFont="1" applyFill="1" applyBorder="1"/>
    <xf numFmtId="0" fontId="2" fillId="2" borderId="4" xfId="0" applyFont="1" applyFill="1" applyBorder="1" applyAlignment="1">
      <alignment vertical="center" wrapText="1"/>
    </xf>
    <xf numFmtId="0" fontId="0" fillId="0" borderId="4" xfId="0" applyBorder="1"/>
    <xf numFmtId="0" fontId="0" fillId="0" borderId="11" xfId="0" applyBorder="1"/>
    <xf numFmtId="0" fontId="0" fillId="0" borderId="11" xfId="0" applyBorder="1" applyAlignment="1">
      <alignment horizontal="center"/>
    </xf>
    <xf numFmtId="0" fontId="9" fillId="2" borderId="2" xfId="0" applyFont="1" applyFill="1" applyBorder="1" applyAlignment="1">
      <alignment horizontal="left"/>
    </xf>
    <xf numFmtId="0" fontId="9" fillId="2" borderId="6" xfId="0" applyFont="1" applyFill="1" applyBorder="1" applyAlignment="1">
      <alignment horizontal="left"/>
    </xf>
    <xf numFmtId="0" fontId="11" fillId="0" borderId="2" xfId="0" applyFont="1" applyBorder="1"/>
    <xf numFmtId="0" fontId="6" fillId="2" borderId="2" xfId="0" applyFont="1" applyFill="1" applyBorder="1" applyAlignment="1">
      <alignment horizontal="left"/>
    </xf>
    <xf numFmtId="0" fontId="2" fillId="0" borderId="2" xfId="2" applyBorder="1" applyAlignment="1">
      <alignment horizontal="left" vertical="center" wrapText="1"/>
    </xf>
    <xf numFmtId="0" fontId="4" fillId="2" borderId="2" xfId="0" applyFont="1" applyFill="1" applyBorder="1" applyAlignment="1">
      <alignment wrapText="1"/>
    </xf>
    <xf numFmtId="4" fontId="16" fillId="2" borderId="2" xfId="7" applyNumberFormat="1" applyFont="1" applyFill="1" applyBorder="1"/>
    <xf numFmtId="4" fontId="16" fillId="0" borderId="2" xfId="7" applyNumberFormat="1" applyFont="1" applyBorder="1"/>
    <xf numFmtId="0" fontId="11" fillId="2" borderId="2" xfId="0" applyFont="1" applyFill="1" applyBorder="1" applyAlignment="1">
      <alignment wrapText="1"/>
    </xf>
    <xf numFmtId="0" fontId="2" fillId="0" borderId="4" xfId="0" applyFont="1" applyBorder="1"/>
    <xf numFmtId="0" fontId="3" fillId="0" borderId="0" xfId="0" applyFont="1" applyAlignment="1">
      <alignment horizontal="center"/>
    </xf>
    <xf numFmtId="0" fontId="6" fillId="5" borderId="2" xfId="0" applyFont="1" applyFill="1" applyBorder="1" applyAlignment="1">
      <alignment horizontal="center"/>
    </xf>
    <xf numFmtId="0" fontId="0" fillId="5" borderId="0" xfId="0" applyFill="1"/>
    <xf numFmtId="0" fontId="4" fillId="5" borderId="4" xfId="0" applyFont="1" applyFill="1" applyBorder="1" applyAlignment="1">
      <alignment wrapText="1"/>
    </xf>
    <xf numFmtId="0" fontId="0" fillId="5" borderId="2" xfId="0" applyFill="1" applyBorder="1" applyAlignment="1">
      <alignment horizontal="center"/>
    </xf>
    <xf numFmtId="0" fontId="0" fillId="5" borderId="6" xfId="0" applyFill="1" applyBorder="1" applyAlignment="1">
      <alignment horizontal="center"/>
    </xf>
    <xf numFmtId="0" fontId="2" fillId="2" borderId="2" xfId="5" applyFont="1" applyFill="1" applyBorder="1" applyAlignment="1">
      <alignment vertical="top" wrapText="1"/>
    </xf>
    <xf numFmtId="0" fontId="9" fillId="5" borderId="2" xfId="0" applyFont="1" applyFill="1" applyBorder="1"/>
    <xf numFmtId="0" fontId="9" fillId="5" borderId="6" xfId="0" applyFont="1" applyFill="1" applyBorder="1"/>
    <xf numFmtId="0" fontId="3" fillId="5" borderId="4" xfId="0" applyFont="1" applyFill="1" applyBorder="1"/>
    <xf numFmtId="0" fontId="0" fillId="5" borderId="6" xfId="0" applyFill="1" applyBorder="1"/>
    <xf numFmtId="0" fontId="8" fillId="5" borderId="4" xfId="0" applyFont="1" applyFill="1" applyBorder="1"/>
    <xf numFmtId="4" fontId="16" fillId="2" borderId="4" xfId="3" applyNumberFormat="1" applyFont="1" applyFill="1" applyBorder="1"/>
    <xf numFmtId="0" fontId="20" fillId="2" borderId="4" xfId="7" applyFont="1" applyFill="1" applyBorder="1" applyAlignment="1">
      <alignment wrapText="1"/>
    </xf>
    <xf numFmtId="0" fontId="16" fillId="2" borderId="4" xfId="2" applyFont="1" applyFill="1" applyBorder="1" applyAlignment="1">
      <alignment horizontal="left" vertical="center" wrapText="1"/>
    </xf>
    <xf numFmtId="2" fontId="2" fillId="6" borderId="4" xfId="0" applyNumberFormat="1" applyFont="1" applyFill="1" applyBorder="1" applyAlignment="1">
      <alignment vertical="center" wrapText="1"/>
    </xf>
    <xf numFmtId="0" fontId="16" fillId="2" borderId="4" xfId="0" applyFont="1" applyFill="1" applyBorder="1"/>
    <xf numFmtId="0" fontId="16" fillId="2" borderId="4" xfId="7" applyFont="1" applyFill="1" applyBorder="1" applyAlignment="1">
      <alignment vertical="center" wrapText="1"/>
    </xf>
    <xf numFmtId="0" fontId="16" fillId="2" borderId="4" xfId="7" applyFont="1" applyFill="1" applyBorder="1" applyAlignment="1">
      <alignment wrapText="1"/>
    </xf>
    <xf numFmtId="0" fontId="16" fillId="0" borderId="4" xfId="0" applyFont="1" applyBorder="1" applyAlignment="1">
      <alignment vertical="center"/>
    </xf>
    <xf numFmtId="0" fontId="16" fillId="2" borderId="4" xfId="0" applyFont="1" applyFill="1" applyBorder="1" applyAlignment="1">
      <alignment wrapText="1"/>
    </xf>
    <xf numFmtId="0" fontId="23" fillId="2" borderId="4" xfId="7" applyFont="1" applyFill="1" applyBorder="1" applyAlignment="1">
      <alignment vertical="center" wrapText="1"/>
    </xf>
    <xf numFmtId="0" fontId="23" fillId="0" borderId="4" xfId="0" applyFont="1" applyBorder="1" applyAlignment="1">
      <alignment vertical="center"/>
    </xf>
    <xf numFmtId="0" fontId="6" fillId="0" borderId="2" xfId="0" applyFont="1" applyBorder="1" applyAlignment="1">
      <alignment horizontal="center"/>
    </xf>
    <xf numFmtId="0" fontId="6" fillId="0" borderId="6" xfId="0" applyFont="1" applyBorder="1" applyAlignment="1">
      <alignment horizontal="center"/>
    </xf>
    <xf numFmtId="0" fontId="4" fillId="0" borderId="4" xfId="0" applyFont="1" applyBorder="1" applyAlignment="1">
      <alignment wrapText="1"/>
    </xf>
    <xf numFmtId="4" fontId="16" fillId="2" borderId="4" xfId="3" applyNumberFormat="1" applyFont="1" applyFill="1" applyBorder="1" applyAlignment="1">
      <alignment vertical="center"/>
    </xf>
    <xf numFmtId="0" fontId="4" fillId="5" borderId="4" xfId="0" applyFont="1" applyFill="1" applyBorder="1"/>
    <xf numFmtId="0" fontId="4" fillId="9" borderId="13" xfId="0" applyFont="1" applyFill="1" applyBorder="1" applyAlignment="1">
      <alignment horizontal="left"/>
    </xf>
    <xf numFmtId="0" fontId="4" fillId="9" borderId="14" xfId="0" applyFont="1" applyFill="1" applyBorder="1" applyAlignment="1">
      <alignment horizontal="left"/>
    </xf>
    <xf numFmtId="0" fontId="4" fillId="9" borderId="15" xfId="0" applyFont="1" applyFill="1" applyBorder="1" applyAlignment="1">
      <alignment horizontal="left"/>
    </xf>
    <xf numFmtId="0" fontId="6" fillId="5" borderId="4" xfId="0" applyFont="1" applyFill="1" applyBorder="1"/>
    <xf numFmtId="0" fontId="5" fillId="0" borderId="6" xfId="0" applyFont="1" applyBorder="1"/>
    <xf numFmtId="0" fontId="15" fillId="0" borderId="4" xfId="0" applyFont="1" applyBorder="1"/>
    <xf numFmtId="0" fontId="20" fillId="2" borderId="4" xfId="3" applyFont="1" applyFill="1" applyBorder="1"/>
    <xf numFmtId="0" fontId="20" fillId="2" borderId="4" xfId="0" applyFont="1" applyFill="1" applyBorder="1" applyAlignment="1">
      <alignment wrapText="1"/>
    </xf>
    <xf numFmtId="0" fontId="16" fillId="2" borderId="4" xfId="3" applyFont="1" applyFill="1" applyBorder="1"/>
    <xf numFmtId="0" fontId="23" fillId="2" borderId="4" xfId="7" applyFont="1" applyFill="1" applyBorder="1" applyAlignment="1">
      <alignment wrapText="1"/>
    </xf>
    <xf numFmtId="0" fontId="16" fillId="2" borderId="4" xfId="5" applyFont="1" applyFill="1" applyBorder="1" applyAlignment="1">
      <alignment wrapText="1"/>
    </xf>
    <xf numFmtId="0" fontId="16" fillId="2" borderId="4" xfId="7" applyFont="1" applyFill="1" applyBorder="1" applyAlignment="1">
      <alignment horizontal="left" wrapText="1"/>
    </xf>
    <xf numFmtId="0" fontId="24" fillId="2" borderId="2" xfId="3" applyFont="1" applyFill="1" applyBorder="1"/>
    <xf numFmtId="0" fontId="25" fillId="0" borderId="2" xfId="5" applyFont="1" applyBorder="1" applyAlignment="1">
      <alignment wrapText="1"/>
    </xf>
    <xf numFmtId="0" fontId="21" fillId="2" borderId="2" xfId="3" applyFont="1" applyFill="1" applyBorder="1" applyAlignment="1">
      <alignment wrapText="1"/>
    </xf>
    <xf numFmtId="0" fontId="4" fillId="2" borderId="4" xfId="0" applyFont="1" applyFill="1" applyBorder="1"/>
    <xf numFmtId="0" fontId="2" fillId="5" borderId="6" xfId="0" applyFont="1" applyFill="1" applyBorder="1"/>
    <xf numFmtId="0" fontId="6" fillId="2" borderId="4" xfId="0" applyFont="1" applyFill="1" applyBorder="1"/>
    <xf numFmtId="0" fontId="26" fillId="2" borderId="2" xfId="3" applyFont="1" applyFill="1" applyBorder="1" applyAlignment="1">
      <alignment vertical="center"/>
    </xf>
    <xf numFmtId="0" fontId="27" fillId="0" borderId="2" xfId="7" applyFont="1" applyBorder="1" applyAlignment="1">
      <alignment horizontal="left" vertical="center" wrapText="1"/>
    </xf>
    <xf numFmtId="0" fontId="23" fillId="2" borderId="2" xfId="8" applyFont="1" applyFill="1" applyBorder="1" applyAlignment="1">
      <alignment vertical="center"/>
    </xf>
    <xf numFmtId="0" fontId="27" fillId="0" borderId="2" xfId="7" applyFont="1" applyBorder="1" applyAlignment="1">
      <alignment horizontal="left" wrapText="1"/>
    </xf>
    <xf numFmtId="0" fontId="4" fillId="5" borderId="2" xfId="0" applyFont="1" applyFill="1" applyBorder="1"/>
    <xf numFmtId="0" fontId="16" fillId="0" borderId="2" xfId="5" applyFont="1" applyBorder="1" applyAlignment="1">
      <alignment vertical="center" wrapText="1"/>
    </xf>
    <xf numFmtId="0" fontId="20" fillId="2" borderId="6" xfId="7" applyFont="1" applyFill="1" applyBorder="1" applyAlignment="1">
      <alignment wrapText="1"/>
    </xf>
    <xf numFmtId="0" fontId="16" fillId="0" borderId="2" xfId="5" applyFont="1" applyBorder="1" applyAlignment="1">
      <alignment wrapText="1"/>
    </xf>
    <xf numFmtId="0" fontId="3" fillId="0" borderId="2" xfId="0" applyFont="1" applyBorder="1" applyAlignment="1">
      <alignment horizontal="center" vertical="center"/>
    </xf>
    <xf numFmtId="4" fontId="3" fillId="0" borderId="8" xfId="0" applyNumberFormat="1" applyFont="1" applyBorder="1" applyAlignment="1">
      <alignment horizontal="right" vertical="center"/>
    </xf>
    <xf numFmtId="0" fontId="16" fillId="2" borderId="2" xfId="7" applyFont="1" applyFill="1" applyBorder="1" applyAlignment="1">
      <alignment vertical="center" wrapText="1"/>
    </xf>
    <xf numFmtId="0" fontId="2" fillId="2" borderId="2" xfId="7" applyFill="1" applyBorder="1" applyAlignment="1">
      <alignment vertical="center" wrapText="1"/>
    </xf>
    <xf numFmtId="0" fontId="28" fillId="2" borderId="6" xfId="7" applyFont="1" applyFill="1" applyBorder="1" applyAlignment="1">
      <alignment wrapText="1"/>
    </xf>
    <xf numFmtId="0" fontId="16" fillId="2" borderId="2" xfId="7" applyFont="1" applyFill="1" applyBorder="1" applyAlignment="1">
      <alignment wrapText="1"/>
    </xf>
    <xf numFmtId="0" fontId="4" fillId="5" borderId="4" xfId="0" applyFont="1" applyFill="1" applyBorder="1" applyAlignment="1">
      <alignment horizontal="center"/>
    </xf>
    <xf numFmtId="4" fontId="16" fillId="2" borderId="2" xfId="7" applyNumberFormat="1" applyFont="1" applyFill="1" applyBorder="1" applyAlignment="1">
      <alignment wrapText="1"/>
    </xf>
    <xf numFmtId="0" fontId="16" fillId="0" borderId="4" xfId="7" applyFont="1" applyBorder="1" applyAlignment="1">
      <alignment horizontal="left" vertical="center" wrapText="1"/>
    </xf>
    <xf numFmtId="0" fontId="16" fillId="0" borderId="4" xfId="0" applyFont="1" applyBorder="1"/>
    <xf numFmtId="0" fontId="2" fillId="2" borderId="4" xfId="7" applyFill="1" applyBorder="1" applyAlignment="1">
      <alignment wrapText="1"/>
    </xf>
    <xf numFmtId="0" fontId="16" fillId="0" borderId="4" xfId="0" applyFont="1" applyBorder="1" applyAlignment="1">
      <alignment vertical="center" wrapText="1"/>
    </xf>
    <xf numFmtId="0" fontId="16" fillId="0" borderId="4" xfId="0" applyFont="1" applyBorder="1" applyAlignment="1">
      <alignment vertical="top" wrapText="1"/>
    </xf>
    <xf numFmtId="0" fontId="2" fillId="2" borderId="2" xfId="0" applyFont="1" applyFill="1" applyBorder="1"/>
    <xf numFmtId="0" fontId="16" fillId="2" borderId="2" xfId="0" applyFont="1" applyFill="1" applyBorder="1"/>
    <xf numFmtId="0" fontId="20" fillId="2" borderId="2" xfId="7" applyFont="1" applyFill="1" applyBorder="1" applyAlignment="1">
      <alignment wrapText="1"/>
    </xf>
    <xf numFmtId="0" fontId="20" fillId="2" borderId="2" xfId="0" applyFont="1" applyFill="1" applyBorder="1" applyAlignment="1">
      <alignment wrapText="1"/>
    </xf>
    <xf numFmtId="0" fontId="2" fillId="5" borderId="4" xfId="0" applyFont="1" applyFill="1" applyBorder="1"/>
    <xf numFmtId="0" fontId="16" fillId="2" borderId="2" xfId="6" applyFont="1" applyFill="1" applyBorder="1" applyAlignment="1">
      <alignment wrapText="1"/>
    </xf>
    <xf numFmtId="0" fontId="16" fillId="0" borderId="2" xfId="0" applyFont="1" applyBorder="1"/>
    <xf numFmtId="0" fontId="16" fillId="0" borderId="6" xfId="0" applyFont="1" applyBorder="1"/>
    <xf numFmtId="0" fontId="16" fillId="2" borderId="2" xfId="5" applyFont="1" applyFill="1" applyBorder="1" applyAlignment="1">
      <alignment wrapText="1"/>
    </xf>
    <xf numFmtId="0" fontId="20" fillId="0" borderId="2" xfId="2" applyFont="1" applyBorder="1" applyAlignment="1">
      <alignment horizontal="left" vertical="top" wrapText="1"/>
    </xf>
    <xf numFmtId="2" fontId="25" fillId="2" borderId="6" xfId="0" applyNumberFormat="1" applyFont="1" applyFill="1" applyBorder="1"/>
    <xf numFmtId="0" fontId="20" fillId="2" borderId="2" xfId="2" applyFont="1" applyFill="1" applyBorder="1" applyAlignment="1">
      <alignment horizontal="left" vertical="center" wrapText="1"/>
    </xf>
    <xf numFmtId="0" fontId="4" fillId="2" borderId="6" xfId="0" applyFont="1" applyFill="1" applyBorder="1"/>
    <xf numFmtId="0" fontId="27" fillId="0" borderId="2" xfId="5" applyFont="1" applyBorder="1" applyAlignment="1">
      <alignment vertical="center" wrapText="1"/>
    </xf>
    <xf numFmtId="4" fontId="16" fillId="2" borderId="4" xfId="7" applyNumberFormat="1" applyFont="1" applyFill="1" applyBorder="1"/>
    <xf numFmtId="2" fontId="4" fillId="5" borderId="8" xfId="0" applyNumberFormat="1" applyFont="1" applyFill="1" applyBorder="1" applyAlignment="1">
      <alignment horizontal="right"/>
    </xf>
    <xf numFmtId="0" fontId="23" fillId="2" borderId="2" xfId="7" applyFont="1" applyFill="1" applyBorder="1" applyAlignment="1">
      <alignment wrapText="1"/>
    </xf>
    <xf numFmtId="0" fontId="5" fillId="2" borderId="4" xfId="5" applyFont="1" applyFill="1" applyBorder="1" applyAlignment="1">
      <alignment horizontal="left" wrapText="1"/>
    </xf>
    <xf numFmtId="0" fontId="20" fillId="2" borderId="4" xfId="0" applyFont="1" applyFill="1" applyBorder="1" applyAlignment="1">
      <alignment horizontal="left" wrapText="1"/>
    </xf>
    <xf numFmtId="0" fontId="20" fillId="2" borderId="4" xfId="0" applyFont="1" applyFill="1" applyBorder="1" applyAlignment="1">
      <alignment vertical="center" wrapText="1"/>
    </xf>
    <xf numFmtId="0" fontId="16" fillId="2" borderId="2" xfId="5" applyFont="1" applyFill="1" applyBorder="1" applyAlignment="1">
      <alignment horizontal="left" wrapText="1"/>
    </xf>
    <xf numFmtId="0" fontId="21" fillId="2" borderId="4" xfId="0" applyFont="1" applyFill="1" applyBorder="1" applyAlignment="1">
      <alignment wrapText="1"/>
    </xf>
    <xf numFmtId="0" fontId="16" fillId="0" borderId="2" xfId="3" applyFont="1" applyBorder="1"/>
    <xf numFmtId="0" fontId="16" fillId="2" borderId="2" xfId="3" applyFont="1" applyFill="1" applyBorder="1"/>
    <xf numFmtId="4" fontId="20" fillId="2" borderId="2" xfId="7" applyNumberFormat="1" applyFont="1" applyFill="1" applyBorder="1"/>
    <xf numFmtId="0" fontId="16" fillId="2" borderId="2" xfId="9" applyFont="1" applyFill="1" applyBorder="1"/>
    <xf numFmtId="0" fontId="30" fillId="2" borderId="2" xfId="7" applyFont="1" applyFill="1" applyBorder="1" applyAlignment="1">
      <alignment wrapText="1"/>
    </xf>
    <xf numFmtId="0" fontId="4" fillId="2" borderId="4" xfId="9" applyFont="1" applyFill="1" applyBorder="1" applyAlignment="1">
      <alignment wrapText="1"/>
    </xf>
    <xf numFmtId="0" fontId="8" fillId="5" borderId="2" xfId="0" applyFont="1" applyFill="1" applyBorder="1"/>
    <xf numFmtId="0" fontId="6" fillId="0" borderId="4" xfId="0" applyFont="1" applyBorder="1" applyAlignment="1">
      <alignment wrapText="1"/>
    </xf>
    <xf numFmtId="0" fontId="2" fillId="0" borderId="2" xfId="0" applyFont="1" applyBorder="1" applyAlignment="1">
      <alignment horizontal="center" vertical="center"/>
    </xf>
    <xf numFmtId="4" fontId="2" fillId="0" borderId="8" xfId="0" applyNumberFormat="1" applyFont="1" applyBorder="1" applyAlignment="1">
      <alignment horizontal="right" vertical="center"/>
    </xf>
    <xf numFmtId="0" fontId="12" fillId="5" borderId="0" xfId="0" applyFont="1" applyFill="1" applyAlignment="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left"/>
    </xf>
    <xf numFmtId="4" fontId="16" fillId="2" borderId="2" xfId="7" applyNumberFormat="1" applyFont="1" applyFill="1" applyBorder="1" applyAlignment="1">
      <alignment vertical="top"/>
    </xf>
    <xf numFmtId="0" fontId="21" fillId="2" borderId="4" xfId="7" applyFont="1" applyFill="1" applyBorder="1" applyAlignment="1">
      <alignment vertical="center" wrapText="1"/>
    </xf>
    <xf numFmtId="0" fontId="20" fillId="0" borderId="4" xfId="0" applyFont="1" applyBorder="1" applyAlignment="1">
      <alignment vertical="center" wrapText="1"/>
    </xf>
    <xf numFmtId="0" fontId="15" fillId="2" borderId="4" xfId="9" applyFont="1" applyFill="1" applyBorder="1" applyAlignment="1">
      <alignment vertical="center" wrapText="1"/>
    </xf>
    <xf numFmtId="0" fontId="16" fillId="2" borderId="4" xfId="0" applyFont="1" applyFill="1" applyBorder="1" applyAlignment="1">
      <alignment vertical="center" wrapText="1"/>
    </xf>
    <xf numFmtId="0" fontId="4" fillId="0" borderId="3" xfId="0" applyFont="1" applyBorder="1" applyAlignment="1">
      <alignment wrapText="1"/>
    </xf>
    <xf numFmtId="0" fontId="31" fillId="2" borderId="4" xfId="0" applyFont="1" applyFill="1" applyBorder="1" applyAlignment="1">
      <alignment wrapText="1"/>
    </xf>
    <xf numFmtId="0" fontId="20" fillId="0" borderId="4" xfId="3" applyFont="1" applyBorder="1"/>
    <xf numFmtId="0" fontId="4" fillId="2" borderId="4" xfId="0" applyFont="1" applyFill="1" applyBorder="1" applyAlignment="1">
      <alignment wrapText="1"/>
    </xf>
    <xf numFmtId="0" fontId="2" fillId="2" borderId="4" xfId="0" applyFont="1" applyFill="1" applyBorder="1"/>
    <xf numFmtId="0" fontId="31" fillId="2" borderId="3" xfId="0" applyFont="1" applyFill="1" applyBorder="1"/>
    <xf numFmtId="0" fontId="24" fillId="2" borderId="4" xfId="0" applyFont="1" applyFill="1" applyBorder="1" applyAlignment="1">
      <alignment wrapText="1"/>
    </xf>
    <xf numFmtId="0" fontId="8" fillId="5" borderId="5" xfId="0" applyFont="1" applyFill="1" applyBorder="1"/>
    <xf numFmtId="0" fontId="4" fillId="5" borderId="7" xfId="0" applyFont="1" applyFill="1" applyBorder="1"/>
    <xf numFmtId="0" fontId="32" fillId="5" borderId="0" xfId="0" applyFont="1" applyFill="1"/>
    <xf numFmtId="0" fontId="21" fillId="2" borderId="3" xfId="7" applyFont="1" applyFill="1" applyBorder="1"/>
    <xf numFmtId="4" fontId="0" fillId="0" borderId="2" xfId="0" applyNumberFormat="1" applyBorder="1" applyAlignment="1">
      <alignment horizontal="center"/>
    </xf>
    <xf numFmtId="4" fontId="3" fillId="0" borderId="6" xfId="0" applyNumberFormat="1" applyFont="1" applyBorder="1" applyAlignment="1">
      <alignment horizontal="center"/>
    </xf>
    <xf numFmtId="0" fontId="20" fillId="0" borderId="4" xfId="2" applyFont="1" applyBorder="1" applyAlignment="1">
      <alignment horizontal="left" vertical="center" wrapText="1"/>
    </xf>
    <xf numFmtId="0" fontId="2" fillId="5" borderId="3" xfId="0" applyFont="1" applyFill="1" applyBorder="1" applyAlignment="1">
      <alignment horizontal="center"/>
    </xf>
    <xf numFmtId="0" fontId="3" fillId="5" borderId="7" xfId="0" applyFont="1" applyFill="1" applyBorder="1" applyAlignment="1">
      <alignment horizontal="center"/>
    </xf>
    <xf numFmtId="0" fontId="16" fillId="2" borderId="4" xfId="7" applyFont="1" applyFill="1" applyBorder="1" applyAlignment="1">
      <alignment horizontal="left" vertical="center" wrapText="1"/>
    </xf>
    <xf numFmtId="0" fontId="9" fillId="0" borderId="4" xfId="0" applyFont="1" applyBorder="1" applyAlignment="1">
      <alignment horizontal="left"/>
    </xf>
    <xf numFmtId="0" fontId="13" fillId="0" borderId="5" xfId="0" applyFont="1" applyBorder="1"/>
    <xf numFmtId="0" fontId="3" fillId="0" borderId="3" xfId="0" applyFont="1" applyBorder="1" applyAlignment="1">
      <alignment horizontal="center"/>
    </xf>
    <xf numFmtId="0" fontId="2" fillId="0" borderId="7" xfId="0" applyFont="1" applyBorder="1"/>
    <xf numFmtId="0" fontId="9" fillId="0" borderId="5" xfId="0" applyFont="1" applyBorder="1" applyAlignment="1">
      <alignment horizontal="left"/>
    </xf>
    <xf numFmtId="0" fontId="2" fillId="0" borderId="5" xfId="0" applyFont="1" applyBorder="1"/>
    <xf numFmtId="0" fontId="2" fillId="0" borderId="2" xfId="0" applyFont="1" applyBorder="1"/>
    <xf numFmtId="0" fontId="9" fillId="5" borderId="4" xfId="0" applyFont="1" applyFill="1" applyBorder="1" applyAlignment="1">
      <alignment horizontal="left"/>
    </xf>
    <xf numFmtId="0" fontId="4" fillId="2" borderId="4" xfId="0" applyFont="1" applyFill="1" applyBorder="1" applyAlignment="1">
      <alignment horizontal="center"/>
    </xf>
    <xf numFmtId="4" fontId="4" fillId="2" borderId="8" xfId="0" applyNumberFormat="1" applyFont="1" applyFill="1" applyBorder="1" applyAlignment="1">
      <alignment horizontal="right"/>
    </xf>
    <xf numFmtId="0" fontId="2" fillId="5" borderId="2" xfId="0" applyFont="1" applyFill="1" applyBorder="1" applyAlignment="1">
      <alignment wrapText="1"/>
    </xf>
    <xf numFmtId="0" fontId="3" fillId="5" borderId="2" xfId="0" applyFont="1" applyFill="1" applyBorder="1" applyAlignment="1">
      <alignment horizontal="center" vertical="center"/>
    </xf>
    <xf numFmtId="0" fontId="5" fillId="0" borderId="6" xfId="0" applyFont="1" applyBorder="1" applyAlignment="1">
      <alignment vertical="center"/>
    </xf>
    <xf numFmtId="0" fontId="2"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44" fontId="14" fillId="5" borderId="0" xfId="1" applyFont="1" applyFill="1"/>
    <xf numFmtId="0" fontId="3" fillId="2" borderId="4" xfId="0" applyFont="1" applyFill="1" applyBorder="1" applyAlignment="1">
      <alignment horizontal="left" vertical="top" wrapText="1"/>
    </xf>
    <xf numFmtId="0" fontId="5" fillId="0" borderId="4" xfId="2" applyFont="1" applyBorder="1" applyAlignment="1">
      <alignment horizontal="left" vertical="center" wrapText="1"/>
    </xf>
    <xf numFmtId="0" fontId="2" fillId="2" borderId="4" xfId="2" applyFill="1" applyBorder="1" applyAlignment="1">
      <alignment horizontal="left" vertical="center" wrapText="1"/>
    </xf>
    <xf numFmtId="0" fontId="2" fillId="2" borderId="2" xfId="7" applyFill="1" applyBorder="1" applyAlignment="1">
      <alignment wrapText="1"/>
    </xf>
    <xf numFmtId="0" fontId="16" fillId="0" borderId="2" xfId="2" applyFont="1" applyBorder="1" applyAlignment="1">
      <alignment horizontal="left" vertical="center" wrapText="1"/>
    </xf>
    <xf numFmtId="0" fontId="27" fillId="2" borderId="2" xfId="7" applyFont="1" applyFill="1" applyBorder="1" applyAlignment="1">
      <alignment vertical="center" wrapText="1"/>
    </xf>
    <xf numFmtId="0" fontId="2" fillId="2" borderId="2" xfId="6" applyFill="1" applyBorder="1" applyAlignment="1">
      <alignment vertical="center" wrapText="1"/>
    </xf>
    <xf numFmtId="0" fontId="5" fillId="2" borderId="2" xfId="2" applyFont="1" applyFill="1" applyBorder="1" applyAlignment="1">
      <alignment horizontal="left" vertical="center" wrapText="1"/>
    </xf>
    <xf numFmtId="0" fontId="16" fillId="2" borderId="2" xfId="8" applyFont="1" applyFill="1" applyBorder="1" applyAlignment="1">
      <alignment vertical="center" wrapText="1"/>
    </xf>
    <xf numFmtId="0" fontId="6" fillId="5" borderId="2" xfId="0" applyFont="1" applyFill="1" applyBorder="1"/>
    <xf numFmtId="0" fontId="3" fillId="2" borderId="4" xfId="0" applyFont="1" applyFill="1" applyBorder="1" applyAlignment="1">
      <alignment horizontal="center"/>
    </xf>
    <xf numFmtId="0" fontId="21" fillId="2" borderId="2" xfId="10" applyFont="1" applyFill="1" applyBorder="1" applyAlignment="1">
      <alignment wrapText="1"/>
    </xf>
    <xf numFmtId="0" fontId="16" fillId="2" borderId="2" xfId="3" applyFont="1" applyFill="1" applyBorder="1" applyAlignment="1">
      <alignment vertical="center"/>
    </xf>
    <xf numFmtId="0" fontId="33" fillId="0" borderId="2" xfId="0" applyFont="1" applyBorder="1"/>
    <xf numFmtId="0" fontId="2" fillId="5" borderId="2" xfId="0" applyFont="1" applyFill="1" applyBorder="1"/>
    <xf numFmtId="0" fontId="20" fillId="0" borderId="2" xfId="0" applyFont="1" applyBorder="1" applyAlignment="1">
      <alignment vertical="center" wrapText="1"/>
    </xf>
    <xf numFmtId="0" fontId="20" fillId="0" borderId="2" xfId="0" applyFont="1" applyBorder="1" applyAlignment="1">
      <alignment horizontal="left" vertical="center" wrapText="1"/>
    </xf>
    <xf numFmtId="0" fontId="2" fillId="2" borderId="2" xfId="0" applyFont="1" applyFill="1" applyBorder="1" applyAlignment="1">
      <alignment vertical="center" wrapText="1"/>
    </xf>
    <xf numFmtId="0" fontId="20" fillId="2" borderId="2" xfId="7" applyFont="1" applyFill="1" applyBorder="1" applyAlignment="1">
      <alignment vertical="top" wrapText="1"/>
    </xf>
    <xf numFmtId="4" fontId="12" fillId="5" borderId="8" xfId="0" applyNumberFormat="1" applyFont="1" applyFill="1" applyBorder="1" applyAlignment="1">
      <alignment horizontal="right"/>
    </xf>
    <xf numFmtId="0" fontId="33" fillId="5" borderId="2" xfId="0" applyFont="1" applyFill="1" applyBorder="1" applyAlignment="1">
      <alignment wrapText="1"/>
    </xf>
    <xf numFmtId="0" fontId="2" fillId="2" borderId="2" xfId="0" applyFont="1" applyFill="1" applyBorder="1" applyAlignment="1">
      <alignment horizontal="center" vertical="top"/>
    </xf>
    <xf numFmtId="0" fontId="12" fillId="2" borderId="0" xfId="0" applyFont="1" applyFill="1" applyAlignment="1">
      <alignment vertical="center"/>
    </xf>
    <xf numFmtId="0" fontId="2" fillId="2" borderId="0" xfId="0" applyFont="1" applyFill="1" applyAlignment="1">
      <alignment vertical="center"/>
    </xf>
    <xf numFmtId="0" fontId="2" fillId="0" borderId="2" xfId="7" applyBorder="1" applyAlignment="1">
      <alignment horizontal="left" vertical="center" wrapText="1"/>
    </xf>
    <xf numFmtId="0" fontId="2" fillId="2" borderId="2" xfId="9" applyFont="1" applyFill="1" applyBorder="1" applyAlignment="1">
      <alignment wrapText="1"/>
    </xf>
    <xf numFmtId="0" fontId="2" fillId="5" borderId="2" xfId="0" applyFont="1" applyFill="1" applyBorder="1" applyAlignment="1">
      <alignment vertical="top" wrapText="1"/>
    </xf>
    <xf numFmtId="2" fontId="16" fillId="0" borderId="2" xfId="0" applyNumberFormat="1" applyFont="1" applyBorder="1" applyAlignment="1">
      <alignment vertical="center" wrapText="1"/>
    </xf>
    <xf numFmtId="0" fontId="15" fillId="2" borderId="4" xfId="3" applyFont="1" applyFill="1" applyBorder="1"/>
    <xf numFmtId="0" fontId="20" fillId="2" borderId="2" xfId="6" applyFont="1" applyFill="1" applyBorder="1" applyAlignment="1">
      <alignment wrapText="1"/>
    </xf>
    <xf numFmtId="0" fontId="34" fillId="2" borderId="6" xfId="6" applyFont="1" applyFill="1" applyBorder="1" applyAlignment="1">
      <alignment wrapText="1"/>
    </xf>
    <xf numFmtId="0" fontId="2" fillId="5" borderId="16" xfId="0" applyFont="1" applyFill="1" applyBorder="1" applyAlignment="1">
      <alignment horizontal="center"/>
    </xf>
    <xf numFmtId="0" fontId="9" fillId="5" borderId="6" xfId="0" applyFont="1" applyFill="1" applyBorder="1" applyAlignment="1">
      <alignment wrapText="1"/>
    </xf>
    <xf numFmtId="0" fontId="2" fillId="5" borderId="1" xfId="0" applyFont="1" applyFill="1" applyBorder="1" applyAlignment="1">
      <alignment horizontal="center"/>
    </xf>
    <xf numFmtId="0" fontId="8" fillId="5" borderId="4" xfId="0" applyFont="1" applyFill="1" applyBorder="1" applyAlignment="1">
      <alignment wrapText="1"/>
    </xf>
    <xf numFmtId="0" fontId="20" fillId="2" borderId="4" xfId="0" applyFont="1" applyFill="1" applyBorder="1" applyAlignment="1">
      <alignment horizontal="left" vertical="top" wrapText="1"/>
    </xf>
    <xf numFmtId="0" fontId="35" fillId="5" borderId="2" xfId="0" applyFont="1" applyFill="1" applyBorder="1" applyAlignment="1">
      <alignment wrapText="1"/>
    </xf>
    <xf numFmtId="0" fontId="35" fillId="5" borderId="16" xfId="0" applyFont="1" applyFill="1" applyBorder="1" applyAlignment="1">
      <alignment horizontal="center"/>
    </xf>
    <xf numFmtId="4" fontId="35" fillId="5" borderId="8" xfId="0" applyNumberFormat="1" applyFont="1" applyFill="1" applyBorder="1" applyAlignment="1">
      <alignment horizontal="right"/>
    </xf>
    <xf numFmtId="0" fontId="35" fillId="5" borderId="0" xfId="0" applyFont="1" applyFill="1"/>
    <xf numFmtId="0" fontId="36" fillId="5" borderId="6" xfId="0" applyFont="1" applyFill="1" applyBorder="1" applyAlignment="1">
      <alignment wrapText="1"/>
    </xf>
    <xf numFmtId="0" fontId="35" fillId="5" borderId="1" xfId="0" applyFont="1" applyFill="1" applyBorder="1" applyAlignment="1">
      <alignment horizontal="center"/>
    </xf>
    <xf numFmtId="0" fontId="3" fillId="2" borderId="16" xfId="0" applyFont="1" applyFill="1" applyBorder="1" applyAlignment="1">
      <alignment horizontal="center"/>
    </xf>
    <xf numFmtId="0" fontId="3" fillId="5" borderId="1" xfId="0" applyFont="1" applyFill="1" applyBorder="1" applyAlignment="1">
      <alignment horizontal="center"/>
    </xf>
    <xf numFmtId="0" fontId="25" fillId="2" borderId="2" xfId="0" applyFont="1" applyFill="1" applyBorder="1" applyAlignment="1">
      <alignment wrapText="1"/>
    </xf>
    <xf numFmtId="0" fontId="2" fillId="5" borderId="2" xfId="0" applyFont="1" applyFill="1" applyBorder="1" applyAlignment="1">
      <alignment horizontal="left" vertical="center" wrapText="1"/>
    </xf>
    <xf numFmtId="0" fontId="16" fillId="2" borderId="4" xfId="9" applyFont="1" applyFill="1" applyBorder="1" applyAlignment="1">
      <alignment wrapText="1"/>
    </xf>
    <xf numFmtId="0" fontId="16" fillId="2" borderId="4" xfId="9" applyFont="1" applyFill="1" applyBorder="1"/>
    <xf numFmtId="0" fontId="2" fillId="0" borderId="2" xfId="0" applyFont="1" applyBorder="1" applyAlignment="1">
      <alignment horizontal="left" wrapText="1"/>
    </xf>
    <xf numFmtId="0" fontId="20" fillId="0" borderId="2" xfId="0" applyFont="1" applyBorder="1" applyAlignment="1">
      <alignment wrapText="1"/>
    </xf>
    <xf numFmtId="0" fontId="20" fillId="0" borderId="6" xfId="0" applyFont="1" applyBorder="1" applyAlignment="1">
      <alignment wrapText="1"/>
    </xf>
    <xf numFmtId="0" fontId="3" fillId="2" borderId="1" xfId="0" applyFont="1" applyFill="1" applyBorder="1" applyAlignment="1">
      <alignment horizontal="center"/>
    </xf>
    <xf numFmtId="0" fontId="37" fillId="5" borderId="0" xfId="0" applyFont="1" applyFill="1"/>
    <xf numFmtId="0" fontId="20" fillId="0" borderId="4" xfId="0" applyFont="1" applyBorder="1" applyAlignment="1">
      <alignment wrapText="1"/>
    </xf>
    <xf numFmtId="0" fontId="20" fillId="2" borderId="4" xfId="0" applyFont="1" applyFill="1" applyBorder="1" applyAlignment="1">
      <alignment horizontal="left" vertical="center" wrapText="1"/>
    </xf>
    <xf numFmtId="0" fontId="16" fillId="0" borderId="4" xfId="9" applyFont="1" applyBorder="1" applyAlignment="1">
      <alignment wrapText="1"/>
    </xf>
    <xf numFmtId="0" fontId="16" fillId="2" borderId="4" xfId="3" applyFont="1" applyFill="1" applyBorder="1" applyAlignment="1">
      <alignment vertical="center"/>
    </xf>
    <xf numFmtId="0" fontId="16" fillId="2" borderId="4" xfId="3" applyFont="1" applyFill="1" applyBorder="1" applyAlignment="1">
      <alignment wrapText="1"/>
    </xf>
    <xf numFmtId="0" fontId="16" fillId="0" borderId="4" xfId="3" applyFont="1" applyBorder="1"/>
    <xf numFmtId="0" fontId="16" fillId="0" borderId="4" xfId="3" applyFont="1" applyBorder="1" applyAlignment="1">
      <alignment vertical="center" wrapText="1"/>
    </xf>
    <xf numFmtId="0" fontId="16" fillId="0" borderId="4" xfId="3" applyFont="1" applyBorder="1" applyAlignment="1">
      <alignment wrapText="1"/>
    </xf>
    <xf numFmtId="0" fontId="16" fillId="0" borderId="4" xfId="3" applyFont="1" applyBorder="1" applyAlignment="1">
      <alignment vertical="center"/>
    </xf>
    <xf numFmtId="0" fontId="16" fillId="0" borderId="4" xfId="3" applyFont="1" applyBorder="1" applyAlignment="1">
      <alignment horizontal="left" vertical="center"/>
    </xf>
    <xf numFmtId="0" fontId="16" fillId="2" borderId="4" xfId="9" applyFont="1" applyFill="1" applyBorder="1" applyAlignment="1">
      <alignment vertical="center" wrapText="1"/>
    </xf>
    <xf numFmtId="4" fontId="21" fillId="2" borderId="4" xfId="7" applyNumberFormat="1" applyFont="1" applyFill="1" applyBorder="1" applyAlignment="1">
      <alignment wrapText="1"/>
    </xf>
    <xf numFmtId="0" fontId="16" fillId="0" borderId="4" xfId="0" applyFont="1" applyBorder="1" applyAlignment="1">
      <alignment wrapText="1"/>
    </xf>
    <xf numFmtId="0" fontId="16" fillId="2" borderId="4" xfId="0" applyFont="1" applyFill="1" applyBorder="1" applyAlignment="1">
      <alignment vertical="center"/>
    </xf>
    <xf numFmtId="0" fontId="37" fillId="2" borderId="0" xfId="0" applyFont="1" applyFill="1"/>
    <xf numFmtId="0" fontId="3" fillId="5" borderId="16" xfId="0" applyFont="1" applyFill="1" applyBorder="1" applyAlignment="1">
      <alignment horizontal="center"/>
    </xf>
    <xf numFmtId="0" fontId="21" fillId="2" borderId="2" xfId="9" applyFont="1" applyFill="1" applyBorder="1" applyAlignment="1">
      <alignment wrapText="1"/>
    </xf>
    <xf numFmtId="0" fontId="16" fillId="0" borderId="2" xfId="0" applyFont="1" applyBorder="1" applyAlignment="1">
      <alignment vertical="center"/>
    </xf>
    <xf numFmtId="0" fontId="16" fillId="0" borderId="2" xfId="7" applyFont="1" applyBorder="1" applyAlignment="1">
      <alignment horizontal="left" vertical="center" wrapText="1"/>
    </xf>
    <xf numFmtId="0" fontId="2" fillId="0" borderId="2" xfId="3" applyFont="1" applyBorder="1" applyAlignment="1">
      <alignment vertical="center" wrapText="1"/>
    </xf>
    <xf numFmtId="0" fontId="2" fillId="0" borderId="2" xfId="3" applyFont="1" applyBorder="1" applyAlignment="1">
      <alignment vertical="center"/>
    </xf>
    <xf numFmtId="0" fontId="26" fillId="2" borderId="2" xfId="0" applyFont="1" applyFill="1" applyBorder="1" applyAlignment="1">
      <alignment vertical="center" wrapText="1"/>
    </xf>
    <xf numFmtId="0" fontId="2" fillId="0" borderId="16" xfId="0" applyFont="1" applyBorder="1" applyAlignment="1">
      <alignment horizontal="center"/>
    </xf>
    <xf numFmtId="0" fontId="2" fillId="0" borderId="1" xfId="0" applyFont="1" applyBorder="1" applyAlignment="1">
      <alignment horizontal="center"/>
    </xf>
    <xf numFmtId="4" fontId="20" fillId="2" borderId="2" xfId="7" applyNumberFormat="1" applyFont="1" applyFill="1" applyBorder="1" applyAlignment="1">
      <alignment wrapText="1"/>
    </xf>
    <xf numFmtId="4" fontId="16" fillId="2" borderId="2" xfId="7" applyNumberFormat="1" applyFont="1" applyFill="1" applyBorder="1" applyAlignment="1">
      <alignment vertical="center" wrapText="1"/>
    </xf>
    <xf numFmtId="0" fontId="2" fillId="2" borderId="16" xfId="0" applyFont="1" applyFill="1" applyBorder="1" applyAlignment="1">
      <alignment horizontal="center"/>
    </xf>
    <xf numFmtId="0" fontId="2" fillId="0" borderId="4" xfId="0" applyFont="1" applyBorder="1" applyAlignment="1">
      <alignment horizontal="left" vertical="top" wrapText="1"/>
    </xf>
    <xf numFmtId="0" fontId="2" fillId="6" borderId="4" xfId="0" applyFont="1" applyFill="1" applyBorder="1" applyAlignment="1">
      <alignment vertical="top" wrapText="1"/>
    </xf>
    <xf numFmtId="0" fontId="2" fillId="6" borderId="2" xfId="0" applyFont="1" applyFill="1" applyBorder="1" applyAlignment="1">
      <alignment horizontal="center" vertical="top"/>
    </xf>
    <xf numFmtId="4" fontId="2" fillId="6" borderId="2" xfId="0" applyNumberFormat="1" applyFont="1" applyFill="1" applyBorder="1" applyAlignment="1">
      <alignment horizontal="right"/>
    </xf>
    <xf numFmtId="0" fontId="2" fillId="2" borderId="6" xfId="0" applyFont="1" applyFill="1" applyBorder="1" applyAlignment="1">
      <alignment horizontal="left" vertical="top" wrapText="1"/>
    </xf>
    <xf numFmtId="4" fontId="2" fillId="2" borderId="2" xfId="0" applyNumberFormat="1" applyFont="1" applyFill="1" applyBorder="1" applyAlignment="1">
      <alignment horizontal="right"/>
    </xf>
    <xf numFmtId="0" fontId="18" fillId="5" borderId="0" xfId="0" applyFont="1" applyFill="1"/>
    <xf numFmtId="0" fontId="18" fillId="5" borderId="6" xfId="0" applyFont="1" applyFill="1" applyBorder="1" applyAlignment="1">
      <alignment wrapText="1"/>
    </xf>
    <xf numFmtId="0" fontId="3" fillId="2" borderId="2" xfId="0" applyFont="1" applyFill="1" applyBorder="1" applyAlignment="1">
      <alignment horizontal="center" vertical="top"/>
    </xf>
    <xf numFmtId="0" fontId="3"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2" fillId="2" borderId="2" xfId="0" applyFont="1" applyFill="1" applyBorder="1" applyAlignment="1">
      <alignment horizontal="left" vertical="top" wrapText="1"/>
    </xf>
    <xf numFmtId="4" fontId="2" fillId="0" borderId="2" xfId="0" applyNumberFormat="1" applyFont="1" applyBorder="1" applyAlignment="1">
      <alignment horizontal="right"/>
    </xf>
    <xf numFmtId="0" fontId="2" fillId="2" borderId="2" xfId="0" applyFont="1" applyFill="1" applyBorder="1" applyAlignment="1">
      <alignment horizontal="left" wrapText="1"/>
    </xf>
    <xf numFmtId="0" fontId="2" fillId="2" borderId="2" xfId="7" applyFill="1" applyBorder="1" applyAlignment="1">
      <alignment horizontal="left" wrapText="1"/>
    </xf>
    <xf numFmtId="0" fontId="2" fillId="0" borderId="2" xfId="7" applyBorder="1" applyAlignment="1">
      <alignment horizontal="left" wrapText="1"/>
    </xf>
    <xf numFmtId="0" fontId="3" fillId="2" borderId="2" xfId="7" applyFont="1" applyFill="1" applyBorder="1" applyAlignment="1">
      <alignment horizontal="left" wrapText="1"/>
    </xf>
    <xf numFmtId="0" fontId="3" fillId="5" borderId="3" xfId="0" applyFont="1" applyFill="1" applyBorder="1" applyAlignment="1">
      <alignment horizontal="center"/>
    </xf>
    <xf numFmtId="4" fontId="2" fillId="5" borderId="8" xfId="0" applyNumberFormat="1" applyFont="1" applyFill="1" applyBorder="1"/>
    <xf numFmtId="4" fontId="0" fillId="5" borderId="8" xfId="0" applyNumberFormat="1" applyFill="1" applyBorder="1"/>
    <xf numFmtId="0" fontId="2" fillId="5" borderId="7" xfId="0" applyFont="1" applyFill="1" applyBorder="1" applyAlignment="1">
      <alignment horizontal="center"/>
    </xf>
    <xf numFmtId="0" fontId="38" fillId="2" borderId="0" xfId="0" applyFont="1" applyFill="1"/>
    <xf numFmtId="0" fontId="38" fillId="5" borderId="0" xfId="0" applyFont="1" applyFill="1"/>
    <xf numFmtId="0" fontId="38" fillId="5" borderId="6" xfId="0" applyFont="1" applyFill="1" applyBorder="1" applyAlignment="1">
      <alignment wrapText="1"/>
    </xf>
    <xf numFmtId="0" fontId="27" fillId="0" borderId="2" xfId="0" applyFont="1" applyBorder="1" applyAlignment="1">
      <alignment vertical="center" wrapText="1"/>
    </xf>
    <xf numFmtId="0" fontId="2" fillId="0" borderId="11" xfId="0" applyFont="1" applyBorder="1"/>
    <xf numFmtId="0" fontId="2" fillId="0" borderId="11" xfId="0" applyFont="1" applyBorder="1" applyAlignment="1">
      <alignment horizontal="center"/>
    </xf>
    <xf numFmtId="0" fontId="2" fillId="0" borderId="5" xfId="0" applyFont="1" applyBorder="1" applyAlignment="1">
      <alignment horizontal="center"/>
    </xf>
    <xf numFmtId="0" fontId="3" fillId="5" borderId="2" xfId="0" applyFont="1" applyFill="1" applyBorder="1" applyAlignment="1">
      <alignment vertical="top"/>
    </xf>
    <xf numFmtId="0" fontId="2" fillId="2" borderId="2" xfId="0" applyFont="1" applyFill="1" applyBorder="1" applyAlignment="1">
      <alignment vertical="top" wrapText="1"/>
    </xf>
    <xf numFmtId="0" fontId="2" fillId="2" borderId="6" xfId="0" applyFont="1" applyFill="1" applyBorder="1" applyAlignment="1">
      <alignment vertical="top" wrapText="1"/>
    </xf>
    <xf numFmtId="0" fontId="2" fillId="0" borderId="18" xfId="0" applyFont="1" applyBorder="1" applyAlignment="1">
      <alignment horizontal="center"/>
    </xf>
    <xf numFmtId="0" fontId="8" fillId="0" borderId="6" xfId="0" applyFont="1" applyBorder="1"/>
    <xf numFmtId="0" fontId="24" fillId="2" borderId="4" xfId="3" applyFont="1" applyFill="1" applyBorder="1"/>
    <xf numFmtId="0" fontId="4" fillId="5" borderId="3" xfId="0" applyFont="1" applyFill="1" applyBorder="1" applyAlignment="1">
      <alignment horizontal="center"/>
    </xf>
    <xf numFmtId="0" fontId="4" fillId="5" borderId="7" xfId="0" applyFont="1" applyFill="1" applyBorder="1" applyAlignment="1">
      <alignment horizontal="center"/>
    </xf>
    <xf numFmtId="0" fontId="37" fillId="0" borderId="0" xfId="0" applyFont="1"/>
    <xf numFmtId="0" fontId="20" fillId="2" borderId="2" xfId="7" applyFont="1" applyFill="1" applyBorder="1" applyAlignment="1">
      <alignment vertical="center" wrapText="1"/>
    </xf>
    <xf numFmtId="0" fontId="3" fillId="0" borderId="3" xfId="0" applyFont="1" applyBorder="1"/>
    <xf numFmtId="4" fontId="0" fillId="0" borderId="15" xfId="0" applyNumberFormat="1" applyBorder="1" applyAlignment="1">
      <alignment horizontal="right"/>
    </xf>
    <xf numFmtId="0" fontId="33" fillId="0" borderId="0" xfId="0" applyFont="1"/>
    <xf numFmtId="0" fontId="3" fillId="0" borderId="5" xfId="0" applyFont="1" applyBorder="1"/>
    <xf numFmtId="0" fontId="0" fillId="0" borderId="7" xfId="0" applyBorder="1"/>
    <xf numFmtId="0" fontId="2" fillId="0" borderId="3" xfId="0" applyFont="1" applyBorder="1" applyAlignment="1">
      <alignment vertical="top" wrapText="1"/>
    </xf>
    <xf numFmtId="4" fontId="3" fillId="0" borderId="15" xfId="0" applyNumberFormat="1" applyFont="1" applyBorder="1" applyAlignment="1">
      <alignment horizontal="right"/>
    </xf>
    <xf numFmtId="0" fontId="3" fillId="0" borderId="7" xfId="0" applyFont="1" applyBorder="1"/>
    <xf numFmtId="0" fontId="9" fillId="0" borderId="3" xfId="0" applyFont="1" applyBorder="1"/>
    <xf numFmtId="0" fontId="9" fillId="0" borderId="7" xfId="0" applyFont="1" applyBorder="1"/>
    <xf numFmtId="0" fontId="20" fillId="2" borderId="3" xfId="7" applyFont="1" applyFill="1" applyBorder="1" applyAlignment="1">
      <alignment wrapText="1"/>
    </xf>
    <xf numFmtId="0" fontId="2" fillId="2" borderId="3" xfId="7" applyFill="1" applyBorder="1" applyAlignment="1">
      <alignment horizontal="left" wrapText="1"/>
    </xf>
    <xf numFmtId="4" fontId="2" fillId="0" borderId="15" xfId="0" applyNumberFormat="1" applyFont="1" applyBorder="1" applyAlignment="1">
      <alignment horizontal="right"/>
    </xf>
    <xf numFmtId="0" fontId="15" fillId="2" borderId="2" xfId="3" applyFont="1" applyFill="1" applyBorder="1"/>
    <xf numFmtId="0" fontId="21" fillId="2" borderId="2" xfId="3" applyFont="1" applyFill="1" applyBorder="1"/>
    <xf numFmtId="0" fontId="2" fillId="2" borderId="3" xfId="0" applyFont="1" applyFill="1" applyBorder="1" applyAlignment="1">
      <alignment horizontal="center"/>
    </xf>
    <xf numFmtId="0" fontId="39" fillId="2" borderId="2" xfId="7" applyFont="1" applyFill="1" applyBorder="1" applyAlignment="1">
      <alignment wrapText="1"/>
    </xf>
    <xf numFmtId="0" fontId="4" fillId="0" borderId="3" xfId="0" applyFont="1" applyBorder="1" applyAlignment="1">
      <alignment horizontal="center"/>
    </xf>
    <xf numFmtId="0" fontId="4" fillId="0" borderId="7" xfId="0" applyFont="1" applyBorder="1" applyAlignment="1">
      <alignment horizontal="center"/>
    </xf>
    <xf numFmtId="0" fontId="16" fillId="2" borderId="4" xfId="5" applyFont="1" applyFill="1" applyBorder="1" applyAlignment="1">
      <alignment horizontal="left" wrapText="1"/>
    </xf>
    <xf numFmtId="0" fontId="2" fillId="0" borderId="4" xfId="7" applyBorder="1" applyAlignment="1">
      <alignment horizontal="left" wrapText="1"/>
    </xf>
    <xf numFmtId="0" fontId="4" fillId="2" borderId="2" xfId="4" applyFont="1" applyFill="1" applyBorder="1"/>
    <xf numFmtId="0" fontId="12" fillId="0" borderId="0" xfId="0" applyFont="1" applyAlignment="1">
      <alignment horizontal="center" vertical="center"/>
    </xf>
    <xf numFmtId="0" fontId="20" fillId="2" borderId="4" xfId="6" applyFont="1" applyFill="1" applyBorder="1" applyAlignment="1">
      <alignment wrapText="1"/>
    </xf>
    <xf numFmtId="0" fontId="20" fillId="2" borderId="4" xfId="6" applyFont="1" applyFill="1" applyBorder="1" applyAlignment="1">
      <alignment vertical="center" wrapText="1"/>
    </xf>
    <xf numFmtId="0" fontId="2" fillId="2" borderId="4" xfId="6" applyFill="1" applyBorder="1" applyAlignment="1">
      <alignment wrapText="1"/>
    </xf>
    <xf numFmtId="2" fontId="15" fillId="2" borderId="2" xfId="3" applyNumberFormat="1" applyFont="1" applyFill="1" applyBorder="1"/>
    <xf numFmtId="0" fontId="27" fillId="2" borderId="4" xfId="7" applyFont="1" applyFill="1" applyBorder="1" applyAlignment="1">
      <alignment wrapText="1"/>
    </xf>
    <xf numFmtId="0" fontId="27" fillId="2" borderId="4" xfId="7" applyFont="1" applyFill="1" applyBorder="1" applyAlignment="1">
      <alignment vertical="center" wrapText="1"/>
    </xf>
    <xf numFmtId="0" fontId="3" fillId="2" borderId="3" xfId="0" applyFont="1" applyFill="1" applyBorder="1" applyAlignment="1">
      <alignment horizontal="center"/>
    </xf>
    <xf numFmtId="0" fontId="21" fillId="0" borderId="2" xfId="0" applyFont="1" applyBorder="1" applyAlignment="1">
      <alignment wrapText="1"/>
    </xf>
    <xf numFmtId="0" fontId="4" fillId="0" borderId="6" xfId="0" applyFont="1" applyBorder="1" applyAlignment="1">
      <alignment wrapText="1"/>
    </xf>
    <xf numFmtId="0" fontId="2" fillId="6" borderId="2" xfId="0" applyFont="1" applyFill="1" applyBorder="1" applyAlignment="1">
      <alignment wrapText="1"/>
    </xf>
    <xf numFmtId="0" fontId="2" fillId="6" borderId="3" xfId="0" applyFont="1" applyFill="1" applyBorder="1" applyAlignment="1">
      <alignment horizontal="center"/>
    </xf>
    <xf numFmtId="0" fontId="2" fillId="2" borderId="7" xfId="0" applyFont="1" applyFill="1" applyBorder="1" applyAlignment="1">
      <alignment horizontal="center"/>
    </xf>
    <xf numFmtId="0" fontId="4" fillId="2" borderId="3" xfId="0" applyFont="1" applyFill="1" applyBorder="1" applyAlignment="1">
      <alignment horizontal="center"/>
    </xf>
    <xf numFmtId="0" fontId="4" fillId="2" borderId="6" xfId="0" applyFont="1" applyFill="1" applyBorder="1" applyAlignment="1">
      <alignment wrapText="1"/>
    </xf>
    <xf numFmtId="0" fontId="4" fillId="2" borderId="7" xfId="0" applyFont="1" applyFill="1" applyBorder="1" applyAlignment="1">
      <alignment horizontal="center"/>
    </xf>
    <xf numFmtId="0" fontId="2" fillId="6" borderId="4" xfId="0" applyFont="1" applyFill="1" applyBorder="1" applyAlignment="1">
      <alignment wrapText="1"/>
    </xf>
    <xf numFmtId="0" fontId="4" fillId="6" borderId="0" xfId="0" applyFont="1" applyFill="1"/>
    <xf numFmtId="0" fontId="21" fillId="2" borderId="2" xfId="9" applyFont="1" applyFill="1" applyBorder="1" applyAlignment="1">
      <alignment vertical="top" wrapText="1"/>
    </xf>
    <xf numFmtId="0" fontId="4" fillId="0" borderId="5" xfId="0" applyFont="1" applyBorder="1" applyAlignment="1">
      <alignment horizontal="center"/>
    </xf>
    <xf numFmtId="0" fontId="4" fillId="5" borderId="2" xfId="4" applyFont="1" applyFill="1" applyBorder="1" applyAlignment="1">
      <alignment wrapText="1"/>
    </xf>
    <xf numFmtId="0" fontId="16" fillId="0" borderId="2" xfId="9" applyFont="1" applyBorder="1" applyAlignment="1">
      <alignment wrapText="1"/>
    </xf>
    <xf numFmtId="0" fontId="16" fillId="0" borderId="2" xfId="9" applyFont="1" applyBorder="1"/>
    <xf numFmtId="0" fontId="16" fillId="0" borderId="2" xfId="3" applyFont="1" applyBorder="1" applyAlignment="1">
      <alignment vertical="center"/>
    </xf>
    <xf numFmtId="0" fontId="16" fillId="6" borderId="2" xfId="3" applyFont="1" applyFill="1" applyBorder="1"/>
    <xf numFmtId="0" fontId="9" fillId="6" borderId="6" xfId="0" applyFont="1" applyFill="1" applyBorder="1"/>
    <xf numFmtId="0" fontId="2" fillId="6" borderId="7" xfId="0" applyFont="1" applyFill="1" applyBorder="1" applyAlignment="1">
      <alignment horizontal="center"/>
    </xf>
    <xf numFmtId="0" fontId="16" fillId="0" borderId="2" xfId="3" applyFont="1" applyBorder="1" applyAlignment="1">
      <alignment horizontal="left" vertical="center"/>
    </xf>
    <xf numFmtId="0" fontId="16" fillId="2" borderId="2" xfId="9" applyFont="1" applyFill="1" applyBorder="1" applyAlignment="1">
      <alignment vertical="center" wrapText="1"/>
    </xf>
    <xf numFmtId="0" fontId="16" fillId="10" borderId="2" xfId="9" applyFont="1" applyFill="1" applyBorder="1" applyAlignment="1">
      <alignment vertical="center" wrapText="1"/>
    </xf>
    <xf numFmtId="0" fontId="2" fillId="10" borderId="3" xfId="0" applyFont="1" applyFill="1" applyBorder="1" applyAlignment="1">
      <alignment horizontal="center"/>
    </xf>
    <xf numFmtId="4" fontId="2" fillId="10" borderId="8" xfId="0" applyNumberFormat="1" applyFont="1" applyFill="1" applyBorder="1" applyAlignment="1">
      <alignment horizontal="right"/>
    </xf>
    <xf numFmtId="0" fontId="12" fillId="10" borderId="0" xfId="0" applyFont="1" applyFill="1"/>
    <xf numFmtId="4" fontId="21" fillId="2" borderId="2" xfId="7" applyNumberFormat="1" applyFont="1" applyFill="1" applyBorder="1"/>
    <xf numFmtId="0" fontId="16" fillId="0" borderId="2" xfId="0" applyFont="1" applyBorder="1" applyAlignment="1">
      <alignment vertical="center" wrapText="1"/>
    </xf>
    <xf numFmtId="0" fontId="16" fillId="0" borderId="2" xfId="0" applyFont="1" applyBorder="1" applyAlignment="1">
      <alignment wrapText="1"/>
    </xf>
    <xf numFmtId="0" fontId="26" fillId="2" borderId="2" xfId="0" applyFont="1" applyFill="1" applyBorder="1"/>
    <xf numFmtId="0" fontId="2" fillId="6" borderId="2" xfId="6" applyFill="1" applyBorder="1" applyAlignment="1">
      <alignment wrapText="1"/>
    </xf>
    <xf numFmtId="0" fontId="31" fillId="2" borderId="2" xfId="0" applyFont="1" applyFill="1" applyBorder="1"/>
    <xf numFmtId="0" fontId="20" fillId="2" borderId="2" xfId="5" applyFont="1" applyFill="1" applyBorder="1" applyAlignment="1">
      <alignment horizontal="left" wrapText="1"/>
    </xf>
    <xf numFmtId="4" fontId="16" fillId="0" borderId="2" xfId="7" applyNumberFormat="1" applyFont="1" applyBorder="1" applyAlignment="1">
      <alignment horizontal="left" vertical="center"/>
    </xf>
    <xf numFmtId="0" fontId="4" fillId="2" borderId="2" xfId="0" applyFont="1" applyFill="1" applyBorder="1" applyAlignment="1">
      <alignment vertical="top" wrapText="1"/>
    </xf>
    <xf numFmtId="0" fontId="2" fillId="2" borderId="2" xfId="9" applyFont="1" applyFill="1" applyBorder="1" applyAlignment="1">
      <alignment vertical="center" wrapText="1"/>
    </xf>
    <xf numFmtId="0" fontId="33" fillId="5" borderId="0" xfId="0" applyFont="1" applyFill="1"/>
    <xf numFmtId="0" fontId="8" fillId="5" borderId="6" xfId="0" applyFont="1" applyFill="1" applyBorder="1"/>
    <xf numFmtId="4" fontId="4" fillId="5" borderId="15" xfId="0" applyNumberFormat="1" applyFont="1" applyFill="1" applyBorder="1" applyAlignment="1">
      <alignment horizontal="right"/>
    </xf>
    <xf numFmtId="4" fontId="2" fillId="2" borderId="15" xfId="0" applyNumberFormat="1" applyFont="1" applyFill="1" applyBorder="1" applyAlignment="1">
      <alignment horizontal="right"/>
    </xf>
    <xf numFmtId="0" fontId="31" fillId="0" borderId="2" xfId="0" applyFont="1" applyBorder="1"/>
    <xf numFmtId="4" fontId="2" fillId="5" borderId="15" xfId="0" applyNumberFormat="1" applyFont="1" applyFill="1" applyBorder="1" applyAlignment="1">
      <alignment horizontal="right"/>
    </xf>
    <xf numFmtId="0" fontId="9" fillId="2" borderId="4" xfId="0" applyFont="1" applyFill="1" applyBorder="1"/>
    <xf numFmtId="4" fontId="2" fillId="0" borderId="2" xfId="0" applyNumberFormat="1" applyFont="1" applyBorder="1" applyAlignment="1">
      <alignment horizontal="center"/>
    </xf>
    <xf numFmtId="0" fontId="13" fillId="0" borderId="3" xfId="0" applyFont="1" applyBorder="1"/>
    <xf numFmtId="0" fontId="9" fillId="0" borderId="3" xfId="0" applyFont="1" applyBorder="1" applyAlignment="1">
      <alignment horizontal="left"/>
    </xf>
    <xf numFmtId="0" fontId="8" fillId="0" borderId="5" xfId="0" applyFont="1" applyBorder="1"/>
    <xf numFmtId="0" fontId="3" fillId="2" borderId="3" xfId="0" applyFont="1" applyFill="1" applyBorder="1" applyAlignment="1">
      <alignment wrapText="1"/>
    </xf>
    <xf numFmtId="4" fontId="3" fillId="0" borderId="17" xfId="0" applyNumberFormat="1" applyFont="1" applyBorder="1" applyAlignment="1">
      <alignment horizontal="right"/>
    </xf>
    <xf numFmtId="4" fontId="3" fillId="0" borderId="2" xfId="0" applyNumberFormat="1" applyFont="1" applyBorder="1" applyAlignment="1">
      <alignment horizontal="right"/>
    </xf>
    <xf numFmtId="4" fontId="3" fillId="2" borderId="2" xfId="0" applyNumberFormat="1" applyFont="1" applyFill="1" applyBorder="1" applyAlignment="1">
      <alignment horizontal="right"/>
    </xf>
    <xf numFmtId="4" fontId="0" fillId="0" borderId="6" xfId="0" applyNumberFormat="1" applyBorder="1" applyAlignment="1">
      <alignment horizontal="right"/>
    </xf>
    <xf numFmtId="4" fontId="2" fillId="0" borderId="6" xfId="0" applyNumberFormat="1" applyFont="1" applyBorder="1" applyAlignment="1">
      <alignment horizontal="right"/>
    </xf>
    <xf numFmtId="4" fontId="3" fillId="0" borderId="1" xfId="0" applyNumberFormat="1" applyFont="1" applyBorder="1"/>
    <xf numFmtId="4" fontId="3" fillId="0" borderId="1" xfId="0" applyNumberFormat="1" applyFont="1" applyBorder="1" applyAlignment="1">
      <alignment horizontal="center"/>
    </xf>
    <xf numFmtId="4" fontId="3" fillId="0" borderId="9" xfId="0" applyNumberFormat="1" applyFont="1" applyBorder="1"/>
    <xf numFmtId="0" fontId="6" fillId="0" borderId="8" xfId="0" applyFont="1" applyBorder="1"/>
    <xf numFmtId="0" fontId="3" fillId="0" borderId="8" xfId="0" applyFont="1" applyBorder="1" applyAlignment="1">
      <alignment horizontal="center"/>
    </xf>
    <xf numFmtId="0" fontId="0" fillId="0" borderId="2" xfId="0" applyBorder="1"/>
    <xf numFmtId="0" fontId="9" fillId="0" borderId="0" xfId="0" applyFont="1"/>
    <xf numFmtId="4" fontId="0" fillId="0" borderId="0" xfId="0" applyNumberFormat="1" applyAlignment="1">
      <alignment horizontal="right"/>
    </xf>
    <xf numFmtId="0" fontId="4" fillId="0" borderId="0" xfId="0" applyFont="1" applyAlignment="1">
      <alignment horizontal="center" vertical="center"/>
    </xf>
    <xf numFmtId="0" fontId="3" fillId="0" borderId="0" xfId="0" applyFont="1" applyAlignment="1">
      <alignment horizontal="center" vertical="center"/>
    </xf>
    <xf numFmtId="0" fontId="42" fillId="2" borderId="0" xfId="0" applyFont="1" applyFill="1"/>
    <xf numFmtId="0" fontId="43" fillId="2" borderId="0" xfId="0" applyFont="1" applyFill="1" applyAlignment="1">
      <alignment horizontal="center"/>
    </xf>
    <xf numFmtId="0" fontId="43" fillId="2" borderId="0" xfId="0" applyFont="1" applyFill="1" applyAlignment="1">
      <alignment horizontal="right"/>
    </xf>
    <xf numFmtId="0" fontId="44" fillId="2" borderId="0" xfId="0" applyFont="1" applyFill="1" applyAlignment="1">
      <alignment horizontal="right"/>
    </xf>
    <xf numFmtId="0" fontId="42" fillId="2" borderId="0" xfId="0" applyFont="1" applyFill="1" applyAlignment="1">
      <alignment horizontal="right"/>
    </xf>
    <xf numFmtId="0" fontId="43" fillId="2" borderId="0" xfId="0" applyFont="1" applyFill="1"/>
    <xf numFmtId="0" fontId="22" fillId="2" borderId="0" xfId="0" applyFont="1" applyFill="1" applyAlignment="1">
      <alignment horizontal="center"/>
    </xf>
    <xf numFmtId="0" fontId="45" fillId="2" borderId="0" xfId="0" applyFont="1" applyFill="1"/>
    <xf numFmtId="0" fontId="43" fillId="0" borderId="0" xfId="0" applyFont="1" applyAlignment="1">
      <alignment horizontal="center"/>
    </xf>
    <xf numFmtId="0" fontId="42" fillId="2" borderId="0" xfId="0" applyFont="1" applyFill="1" applyAlignment="1">
      <alignment horizontal="center"/>
    </xf>
    <xf numFmtId="0" fontId="44" fillId="0" borderId="0" xfId="0" applyFont="1" applyAlignment="1">
      <alignment horizontal="right"/>
    </xf>
    <xf numFmtId="0" fontId="43" fillId="2" borderId="3" xfId="0" applyFont="1" applyFill="1" applyBorder="1"/>
    <xf numFmtId="0" fontId="42" fillId="2" borderId="16" xfId="0" applyFont="1" applyFill="1" applyBorder="1"/>
    <xf numFmtId="0" fontId="42" fillId="2" borderId="16" xfId="0" applyFont="1" applyFill="1" applyBorder="1" applyAlignment="1">
      <alignment horizontal="center"/>
    </xf>
    <xf numFmtId="0" fontId="42" fillId="2" borderId="17" xfId="0" applyFont="1" applyFill="1" applyBorder="1" applyAlignment="1">
      <alignment horizontal="right"/>
    </xf>
    <xf numFmtId="0" fontId="44" fillId="2" borderId="0" xfId="0" applyFont="1" applyFill="1"/>
    <xf numFmtId="0" fontId="42" fillId="2" borderId="0" xfId="0" applyFont="1" applyFill="1" applyAlignment="1">
      <alignment horizontal="left"/>
    </xf>
    <xf numFmtId="0" fontId="42" fillId="2" borderId="13" xfId="0" applyFont="1" applyFill="1" applyBorder="1"/>
    <xf numFmtId="0" fontId="42" fillId="2" borderId="14" xfId="0" applyFont="1" applyFill="1" applyBorder="1" applyAlignment="1">
      <alignment horizontal="center"/>
    </xf>
    <xf numFmtId="0" fontId="42" fillId="2" borderId="15" xfId="0" applyFont="1" applyFill="1" applyBorder="1" applyAlignment="1">
      <alignment horizontal="center"/>
    </xf>
    <xf numFmtId="4" fontId="46" fillId="2" borderId="0" xfId="0" applyNumberFormat="1" applyFont="1" applyFill="1" applyAlignment="1">
      <alignment horizontal="center"/>
    </xf>
    <xf numFmtId="2" fontId="43" fillId="2" borderId="0" xfId="0" applyNumberFormat="1" applyFont="1" applyFill="1"/>
    <xf numFmtId="2" fontId="42" fillId="2" borderId="0" xfId="0" applyNumberFormat="1" applyFont="1" applyFill="1" applyAlignment="1">
      <alignment horizontal="right"/>
    </xf>
    <xf numFmtId="0" fontId="43" fillId="2" borderId="5" xfId="0" applyFont="1" applyFill="1" applyBorder="1"/>
    <xf numFmtId="4" fontId="42" fillId="2" borderId="17" xfId="0" applyNumberFormat="1" applyFont="1" applyFill="1" applyBorder="1" applyAlignment="1">
      <alignment horizontal="right"/>
    </xf>
    <xf numFmtId="4" fontId="44" fillId="2" borderId="0" xfId="0" applyNumberFormat="1" applyFont="1" applyFill="1" applyAlignment="1">
      <alignment horizontal="center"/>
    </xf>
    <xf numFmtId="4" fontId="43" fillId="2" borderId="0" xfId="0" applyNumberFormat="1" applyFont="1" applyFill="1" applyAlignment="1">
      <alignment horizontal="center"/>
    </xf>
    <xf numFmtId="4" fontId="43" fillId="2" borderId="0" xfId="0" applyNumberFormat="1" applyFont="1" applyFill="1"/>
    <xf numFmtId="4" fontId="43" fillId="0" borderId="0" xfId="0" applyNumberFormat="1" applyFont="1" applyAlignment="1">
      <alignment horizontal="left"/>
    </xf>
    <xf numFmtId="2" fontId="42" fillId="2" borderId="0" xfId="0" applyNumberFormat="1" applyFont="1" applyFill="1" applyAlignment="1">
      <alignment horizontal="center"/>
    </xf>
    <xf numFmtId="4" fontId="42" fillId="2" borderId="15" xfId="0" applyNumberFormat="1" applyFont="1" applyFill="1" applyBorder="1" applyAlignment="1">
      <alignment horizontal="right"/>
    </xf>
    <xf numFmtId="4" fontId="42" fillId="2" borderId="0" xfId="0" applyNumberFormat="1" applyFont="1" applyFill="1" applyAlignment="1">
      <alignment horizontal="left"/>
    </xf>
    <xf numFmtId="2" fontId="42" fillId="2" borderId="0" xfId="0" applyNumberFormat="1" applyFont="1" applyFill="1"/>
    <xf numFmtId="2" fontId="22" fillId="12" borderId="8" xfId="0" applyNumberFormat="1" applyFont="1" applyFill="1" applyBorder="1"/>
    <xf numFmtId="2" fontId="22" fillId="12" borderId="15" xfId="0" applyNumberFormat="1" applyFont="1" applyFill="1" applyBorder="1"/>
    <xf numFmtId="4" fontId="22" fillId="12" borderId="13" xfId="0" applyNumberFormat="1" applyFont="1" applyFill="1" applyBorder="1" applyAlignment="1">
      <alignment horizontal="right"/>
    </xf>
    <xf numFmtId="4" fontId="22" fillId="12" borderId="14" xfId="0" applyNumberFormat="1" applyFont="1" applyFill="1" applyBorder="1"/>
    <xf numFmtId="4" fontId="22" fillId="12" borderId="8" xfId="0" applyNumberFormat="1" applyFont="1" applyFill="1" applyBorder="1" applyAlignment="1">
      <alignment horizontal="right"/>
    </xf>
    <xf numFmtId="4" fontId="47" fillId="2" borderId="0" xfId="0" applyNumberFormat="1" applyFont="1" applyFill="1" applyAlignment="1">
      <alignment horizontal="center"/>
    </xf>
    <xf numFmtId="4" fontId="47" fillId="2" borderId="0" xfId="0" applyNumberFormat="1" applyFont="1" applyFill="1"/>
    <xf numFmtId="2" fontId="47" fillId="2" borderId="0" xfId="0" applyNumberFormat="1" applyFont="1" applyFill="1"/>
    <xf numFmtId="2" fontId="22" fillId="2" borderId="0" xfId="0" applyNumberFormat="1" applyFont="1" applyFill="1" applyAlignment="1">
      <alignment horizontal="right"/>
    </xf>
    <xf numFmtId="4" fontId="22" fillId="2" borderId="0" xfId="0" applyNumberFormat="1" applyFont="1" applyFill="1" applyAlignment="1">
      <alignment horizontal="left"/>
    </xf>
    <xf numFmtId="2" fontId="22" fillId="2" borderId="0" xfId="0" applyNumberFormat="1" applyFont="1" applyFill="1" applyAlignment="1">
      <alignment horizontal="center"/>
    </xf>
    <xf numFmtId="2" fontId="22" fillId="2" borderId="0" xfId="0" applyNumberFormat="1" applyFont="1" applyFill="1"/>
    <xf numFmtId="0" fontId="47" fillId="2" borderId="0" xfId="0" applyFont="1" applyFill="1"/>
    <xf numFmtId="2" fontId="22" fillId="0" borderId="0" xfId="0" applyNumberFormat="1" applyFont="1"/>
    <xf numFmtId="0" fontId="22" fillId="13" borderId="8" xfId="0" applyFont="1" applyFill="1" applyBorder="1" applyAlignment="1">
      <alignment wrapText="1"/>
    </xf>
    <xf numFmtId="0" fontId="22" fillId="13" borderId="13" xfId="0" applyFont="1" applyFill="1" applyBorder="1" applyAlignment="1">
      <alignment horizontal="center"/>
    </xf>
    <xf numFmtId="4" fontId="22" fillId="13" borderId="8" xfId="0" applyNumberFormat="1" applyFont="1" applyFill="1" applyBorder="1" applyAlignment="1">
      <alignment wrapText="1"/>
    </xf>
    <xf numFmtId="0" fontId="48" fillId="2" borderId="0" xfId="0" applyFont="1" applyFill="1"/>
    <xf numFmtId="0" fontId="22" fillId="2" borderId="13" xfId="0" applyFont="1" applyFill="1" applyBorder="1" applyAlignment="1">
      <alignment wrapText="1"/>
    </xf>
    <xf numFmtId="0" fontId="22" fillId="2" borderId="13" xfId="0" applyFont="1" applyFill="1" applyBorder="1" applyAlignment="1">
      <alignment horizontal="center"/>
    </xf>
    <xf numFmtId="0" fontId="22" fillId="2" borderId="8" xfId="0" applyFont="1" applyFill="1" applyBorder="1" applyAlignment="1">
      <alignment wrapText="1"/>
    </xf>
    <xf numFmtId="4" fontId="22" fillId="2" borderId="15" xfId="0" applyNumberFormat="1" applyFont="1" applyFill="1" applyBorder="1" applyAlignment="1">
      <alignment horizontal="right"/>
    </xf>
    <xf numFmtId="4" fontId="20" fillId="2" borderId="8" xfId="7" applyNumberFormat="1" applyFont="1" applyFill="1" applyBorder="1"/>
    <xf numFmtId="0" fontId="47" fillId="2" borderId="8" xfId="0" applyFont="1" applyFill="1" applyBorder="1" applyAlignment="1">
      <alignment horizontal="center"/>
    </xf>
    <xf numFmtId="4" fontId="47" fillId="2" borderId="15" xfId="0" applyNumberFormat="1" applyFont="1" applyFill="1" applyBorder="1" applyAlignment="1">
      <alignment horizontal="right"/>
    </xf>
    <xf numFmtId="2" fontId="42" fillId="12" borderId="8" xfId="0" applyNumberFormat="1" applyFont="1" applyFill="1" applyBorder="1"/>
    <xf numFmtId="2" fontId="42" fillId="12" borderId="15" xfId="0" applyNumberFormat="1" applyFont="1" applyFill="1" applyBorder="1"/>
    <xf numFmtId="2" fontId="42" fillId="12" borderId="15" xfId="0" applyNumberFormat="1" applyFont="1" applyFill="1" applyBorder="1" applyAlignment="1">
      <alignment horizontal="center"/>
    </xf>
    <xf numFmtId="4" fontId="42" fillId="12" borderId="15" xfId="0" applyNumberFormat="1" applyFont="1" applyFill="1" applyBorder="1" applyAlignment="1">
      <alignment horizontal="right"/>
    </xf>
    <xf numFmtId="4" fontId="43" fillId="0" borderId="0" xfId="0" applyNumberFormat="1" applyFont="1" applyAlignment="1">
      <alignment horizontal="right"/>
    </xf>
    <xf numFmtId="2" fontId="42" fillId="0" borderId="0" xfId="0" applyNumberFormat="1" applyFont="1"/>
    <xf numFmtId="0" fontId="42" fillId="13" borderId="8" xfId="0" applyFont="1" applyFill="1" applyBorder="1" applyAlignment="1">
      <alignment wrapText="1"/>
    </xf>
    <xf numFmtId="0" fontId="42" fillId="13" borderId="13" xfId="0" applyFont="1" applyFill="1" applyBorder="1" applyAlignment="1">
      <alignment horizontal="center"/>
    </xf>
    <xf numFmtId="2" fontId="42" fillId="13" borderId="8" xfId="0" applyNumberFormat="1" applyFont="1" applyFill="1" applyBorder="1" applyAlignment="1">
      <alignment wrapText="1"/>
    </xf>
    <xf numFmtId="2" fontId="43" fillId="2" borderId="0" xfId="0" applyNumberFormat="1" applyFont="1" applyFill="1" applyAlignment="1">
      <alignment horizontal="right"/>
    </xf>
    <xf numFmtId="2" fontId="49" fillId="0" borderId="0" xfId="0" applyNumberFormat="1" applyFont="1"/>
    <xf numFmtId="0" fontId="16" fillId="2" borderId="6" xfId="2" applyFont="1" applyFill="1" applyBorder="1" applyAlignment="1">
      <alignment horizontal="left" vertical="center" wrapText="1"/>
    </xf>
    <xf numFmtId="0" fontId="47" fillId="0" borderId="8" xfId="19" applyFont="1" applyBorder="1" applyAlignment="1">
      <alignment horizontal="center"/>
    </xf>
    <xf numFmtId="4" fontId="47" fillId="2" borderId="8" xfId="20" applyNumberFormat="1" applyFont="1" applyFill="1" applyBorder="1" applyAlignment="1">
      <alignment horizontal="right"/>
    </xf>
    <xf numFmtId="4" fontId="48" fillId="2" borderId="0" xfId="0" applyNumberFormat="1" applyFont="1" applyFill="1" applyAlignment="1">
      <alignment horizontal="center"/>
    </xf>
    <xf numFmtId="4" fontId="48" fillId="2" borderId="0" xfId="0" applyNumberFormat="1" applyFont="1" applyFill="1"/>
    <xf numFmtId="0" fontId="16" fillId="2" borderId="8" xfId="2" applyFont="1" applyFill="1" applyBorder="1" applyAlignment="1">
      <alignment horizontal="left" vertical="center" wrapText="1"/>
    </xf>
    <xf numFmtId="0" fontId="47" fillId="2" borderId="8" xfId="7" applyFont="1" applyFill="1" applyBorder="1" applyAlignment="1">
      <alignment wrapText="1"/>
    </xf>
    <xf numFmtId="0" fontId="47" fillId="0" borderId="6" xfId="21" applyFont="1" applyBorder="1"/>
    <xf numFmtId="0" fontId="47" fillId="2" borderId="8" xfId="19" applyFont="1" applyFill="1" applyBorder="1" applyAlignment="1">
      <alignment horizontal="center"/>
    </xf>
    <xf numFmtId="0" fontId="47" fillId="2" borderId="6" xfId="0" applyFont="1" applyFill="1" applyBorder="1"/>
    <xf numFmtId="0" fontId="20" fillId="2" borderId="8" xfId="2" applyFont="1" applyFill="1" applyBorder="1" applyAlignment="1">
      <alignment horizontal="left" vertical="center" wrapText="1"/>
    </xf>
    <xf numFmtId="0" fontId="47" fillId="0" borderId="6" xfId="0" applyFont="1" applyBorder="1"/>
    <xf numFmtId="0" fontId="20" fillId="2" borderId="13" xfId="6" applyFont="1" applyFill="1" applyBorder="1" applyAlignment="1">
      <alignment wrapText="1"/>
    </xf>
    <xf numFmtId="0" fontId="31" fillId="2" borderId="8" xfId="3" applyFont="1" applyFill="1" applyBorder="1"/>
    <xf numFmtId="0" fontId="22" fillId="2" borderId="8" xfId="0" applyFont="1" applyFill="1" applyBorder="1" applyAlignment="1">
      <alignment horizontal="center"/>
    </xf>
    <xf numFmtId="4" fontId="22" fillId="2" borderId="8" xfId="20" applyNumberFormat="1" applyFont="1" applyFill="1" applyBorder="1" applyAlignment="1">
      <alignment horizontal="right"/>
    </xf>
    <xf numFmtId="0" fontId="16" fillId="2" borderId="6" xfId="7" applyFont="1" applyFill="1" applyBorder="1" applyAlignment="1">
      <alignment wrapText="1"/>
    </xf>
    <xf numFmtId="0" fontId="25" fillId="2" borderId="8" xfId="0" applyFont="1" applyFill="1" applyBorder="1" applyAlignment="1">
      <alignment horizontal="center"/>
    </xf>
    <xf numFmtId="0" fontId="25" fillId="0" borderId="8" xfId="19" applyFont="1" applyBorder="1" applyAlignment="1">
      <alignment horizontal="center"/>
    </xf>
    <xf numFmtId="4" fontId="25" fillId="2" borderId="8" xfId="20" applyNumberFormat="1" applyFont="1" applyFill="1" applyBorder="1" applyAlignment="1">
      <alignment horizontal="right"/>
    </xf>
    <xf numFmtId="0" fontId="21" fillId="2" borderId="8" xfId="3" applyFont="1" applyFill="1" applyBorder="1"/>
    <xf numFmtId="0" fontId="51" fillId="2" borderId="13" xfId="0" applyFont="1" applyFill="1" applyBorder="1" applyAlignment="1">
      <alignment horizontal="center"/>
    </xf>
    <xf numFmtId="4" fontId="51" fillId="2" borderId="8" xfId="20" applyNumberFormat="1" applyFont="1" applyFill="1" applyBorder="1" applyAlignment="1">
      <alignment horizontal="right"/>
    </xf>
    <xf numFmtId="0" fontId="25" fillId="2" borderId="2" xfId="7" applyFont="1" applyFill="1" applyBorder="1" applyAlignment="1">
      <alignment wrapText="1"/>
    </xf>
    <xf numFmtId="0" fontId="25" fillId="2" borderId="8" xfId="7" applyFont="1" applyFill="1" applyBorder="1" applyAlignment="1">
      <alignment wrapText="1"/>
    </xf>
    <xf numFmtId="0" fontId="51" fillId="0" borderId="8" xfId="0" applyFont="1" applyBorder="1"/>
    <xf numFmtId="0" fontId="25" fillId="2" borderId="13" xfId="0" applyFont="1" applyFill="1" applyBorder="1" applyAlignment="1">
      <alignment horizontal="center"/>
    </xf>
    <xf numFmtId="0" fontId="25" fillId="0" borderId="6" xfId="0" applyFont="1" applyBorder="1"/>
    <xf numFmtId="0" fontId="25" fillId="0" borderId="8" xfId="0" applyFont="1" applyBorder="1"/>
    <xf numFmtId="0" fontId="51" fillId="13" borderId="8" xfId="0" applyFont="1" applyFill="1" applyBorder="1" applyAlignment="1">
      <alignment wrapText="1"/>
    </xf>
    <xf numFmtId="0" fontId="51" fillId="13" borderId="13" xfId="0" applyFont="1" applyFill="1" applyBorder="1" applyAlignment="1">
      <alignment horizontal="center"/>
    </xf>
    <xf numFmtId="2" fontId="51" fillId="13" borderId="8" xfId="0" applyNumberFormat="1" applyFont="1" applyFill="1" applyBorder="1" applyAlignment="1">
      <alignment wrapText="1"/>
    </xf>
    <xf numFmtId="0" fontId="16" fillId="2" borderId="8" xfId="7" applyFont="1" applyFill="1" applyBorder="1" applyAlignment="1">
      <alignment horizontal="left" wrapText="1"/>
    </xf>
    <xf numFmtId="0" fontId="51" fillId="2" borderId="8" xfId="19" applyFont="1" applyFill="1" applyBorder="1"/>
    <xf numFmtId="0" fontId="51" fillId="2" borderId="8" xfId="0" applyFont="1" applyFill="1" applyBorder="1" applyAlignment="1">
      <alignment horizontal="center"/>
    </xf>
    <xf numFmtId="4" fontId="51" fillId="2" borderId="15" xfId="0" applyNumberFormat="1" applyFont="1" applyFill="1" applyBorder="1" applyAlignment="1">
      <alignment horizontal="right"/>
    </xf>
    <xf numFmtId="4" fontId="47" fillId="2" borderId="0" xfId="0" applyNumberFormat="1" applyFont="1" applyFill="1" applyAlignment="1">
      <alignment horizontal="right"/>
    </xf>
    <xf numFmtId="0" fontId="16" fillId="2" borderId="8" xfId="3" applyFont="1" applyFill="1" applyBorder="1"/>
    <xf numFmtId="0" fontId="20" fillId="2" borderId="8" xfId="7" applyFont="1" applyFill="1" applyBorder="1" applyAlignment="1">
      <alignment wrapText="1"/>
    </xf>
    <xf numFmtId="0" fontId="20" fillId="2" borderId="8" xfId="3" applyFont="1" applyFill="1" applyBorder="1"/>
    <xf numFmtId="0" fontId="25" fillId="2" borderId="8" xfId="19" applyFont="1" applyFill="1" applyBorder="1" applyAlignment="1">
      <alignment horizontal="center"/>
    </xf>
    <xf numFmtId="4" fontId="47" fillId="2" borderId="15" xfId="20" applyNumberFormat="1" applyFont="1" applyFill="1" applyBorder="1" applyAlignment="1">
      <alignment horizontal="right"/>
    </xf>
    <xf numFmtId="2" fontId="22" fillId="13" borderId="8" xfId="0" applyNumberFormat="1" applyFont="1" applyFill="1" applyBorder="1" applyAlignment="1">
      <alignment wrapText="1"/>
    </xf>
    <xf numFmtId="4" fontId="22" fillId="2" borderId="8" xfId="0" applyNumberFormat="1" applyFont="1" applyFill="1" applyBorder="1" applyAlignment="1">
      <alignment wrapText="1"/>
    </xf>
    <xf numFmtId="0" fontId="47" fillId="0" borderId="8" xfId="5" applyFont="1" applyBorder="1" applyAlignment="1">
      <alignment wrapText="1"/>
    </xf>
    <xf numFmtId="0" fontId="22" fillId="13" borderId="8" xfId="0" applyFont="1" applyFill="1" applyBorder="1" applyAlignment="1">
      <alignment horizontal="center" wrapText="1"/>
    </xf>
    <xf numFmtId="4" fontId="21" fillId="2" borderId="8" xfId="3" applyNumberFormat="1" applyFont="1" applyFill="1" applyBorder="1"/>
    <xf numFmtId="0" fontId="22" fillId="0" borderId="8" xfId="0" applyFont="1" applyBorder="1" applyAlignment="1">
      <alignment wrapText="1"/>
    </xf>
    <xf numFmtId="0" fontId="16" fillId="0" borderId="8" xfId="3" applyFont="1" applyBorder="1"/>
    <xf numFmtId="0" fontId="22" fillId="2" borderId="8" xfId="3" applyFont="1" applyFill="1" applyBorder="1" applyAlignment="1">
      <alignment wrapText="1"/>
    </xf>
    <xf numFmtId="4" fontId="22" fillId="2" borderId="2" xfId="20" applyNumberFormat="1" applyFont="1" applyFill="1" applyBorder="1" applyAlignment="1">
      <alignment horizontal="right"/>
    </xf>
    <xf numFmtId="4" fontId="25" fillId="2" borderId="2" xfId="20" applyNumberFormat="1" applyFont="1" applyFill="1" applyBorder="1" applyAlignment="1">
      <alignment horizontal="right"/>
    </xf>
    <xf numFmtId="0" fontId="47" fillId="2" borderId="0" xfId="0" applyFont="1" applyFill="1" applyAlignment="1">
      <alignment horizontal="center"/>
    </xf>
    <xf numFmtId="4" fontId="25" fillId="2" borderId="8" xfId="5" applyNumberFormat="1" applyFont="1" applyFill="1" applyBorder="1" applyAlignment="1">
      <alignment horizontal="right"/>
    </xf>
    <xf numFmtId="4" fontId="25" fillId="2" borderId="2" xfId="5" applyNumberFormat="1" applyFont="1" applyFill="1" applyBorder="1" applyAlignment="1">
      <alignment horizontal="right"/>
    </xf>
    <xf numFmtId="4" fontId="25" fillId="2" borderId="8" xfId="7" applyNumberFormat="1" applyFont="1" applyFill="1" applyBorder="1"/>
    <xf numFmtId="0" fontId="31" fillId="2" borderId="8" xfId="3" applyFont="1" applyFill="1" applyBorder="1" applyAlignment="1">
      <alignment wrapText="1"/>
    </xf>
    <xf numFmtId="0" fontId="47" fillId="2" borderId="2" xfId="0" applyFont="1" applyFill="1" applyBorder="1"/>
    <xf numFmtId="4" fontId="22" fillId="2" borderId="15" xfId="20" applyNumberFormat="1" applyFont="1" applyFill="1" applyBorder="1" applyAlignment="1">
      <alignment horizontal="right"/>
    </xf>
    <xf numFmtId="0" fontId="47" fillId="2" borderId="8" xfId="0" applyFont="1" applyFill="1" applyBorder="1"/>
    <xf numFmtId="0" fontId="47" fillId="2" borderId="6" xfId="7" applyFont="1" applyFill="1" applyBorder="1" applyAlignment="1">
      <alignment wrapText="1"/>
    </xf>
    <xf numFmtId="2" fontId="25" fillId="2" borderId="6" xfId="0" applyNumberFormat="1" applyFont="1" applyFill="1" applyBorder="1" applyAlignment="1">
      <alignment wrapText="1"/>
    </xf>
    <xf numFmtId="4" fontId="31" fillId="2" borderId="8" xfId="3" applyNumberFormat="1" applyFont="1" applyFill="1" applyBorder="1"/>
    <xf numFmtId="0" fontId="47" fillId="2" borderId="13" xfId="0" applyFont="1" applyFill="1" applyBorder="1" applyAlignment="1">
      <alignment horizontal="center"/>
    </xf>
    <xf numFmtId="0" fontId="47" fillId="2" borderId="0" xfId="0" applyFont="1" applyFill="1" applyAlignment="1">
      <alignment horizontal="right"/>
    </xf>
    <xf numFmtId="4" fontId="16" fillId="2" borderId="8" xfId="7" applyNumberFormat="1" applyFont="1" applyFill="1" applyBorder="1"/>
    <xf numFmtId="4" fontId="25" fillId="2" borderId="8" xfId="0" applyNumberFormat="1" applyFont="1" applyFill="1" applyBorder="1" applyAlignment="1">
      <alignment wrapText="1"/>
    </xf>
    <xf numFmtId="0" fontId="52" fillId="2" borderId="0" xfId="0" applyFont="1" applyFill="1"/>
    <xf numFmtId="4" fontId="52" fillId="2" borderId="0" xfId="0" applyNumberFormat="1" applyFont="1" applyFill="1" applyAlignment="1">
      <alignment horizontal="center"/>
    </xf>
    <xf numFmtId="2" fontId="53" fillId="2" borderId="0" xfId="0" applyNumberFormat="1" applyFont="1" applyFill="1" applyAlignment="1">
      <alignment horizontal="right"/>
    </xf>
    <xf numFmtId="0" fontId="47" fillId="2" borderId="8" xfId="3" applyFont="1" applyFill="1" applyBorder="1"/>
    <xf numFmtId="4" fontId="47" fillId="2" borderId="8" xfId="0" applyNumberFormat="1" applyFont="1" applyFill="1" applyBorder="1" applyAlignment="1">
      <alignment wrapText="1"/>
    </xf>
    <xf numFmtId="0" fontId="21" fillId="2" borderId="8" xfId="3" applyFont="1" applyFill="1" applyBorder="1" applyAlignment="1">
      <alignment wrapText="1"/>
    </xf>
    <xf numFmtId="2" fontId="22" fillId="2" borderId="8" xfId="0" applyNumberFormat="1" applyFont="1" applyFill="1" applyBorder="1" applyAlignment="1">
      <alignment wrapText="1"/>
    </xf>
    <xf numFmtId="0" fontId="47" fillId="2" borderId="0" xfId="0" applyFont="1" applyFill="1" applyAlignment="1">
      <alignment horizontal="center" wrapText="1"/>
    </xf>
    <xf numFmtId="2" fontId="22" fillId="2" borderId="0" xfId="0" applyNumberFormat="1" applyFont="1" applyFill="1" applyAlignment="1">
      <alignment wrapText="1"/>
    </xf>
    <xf numFmtId="0" fontId="25" fillId="2" borderId="8" xfId="0" applyFont="1" applyFill="1" applyBorder="1" applyAlignment="1">
      <alignment vertical="center" wrapText="1"/>
    </xf>
    <xf numFmtId="2" fontId="47" fillId="2" borderId="8" xfId="0" applyNumberFormat="1" applyFont="1" applyFill="1" applyBorder="1" applyAlignment="1">
      <alignment wrapText="1"/>
    </xf>
    <xf numFmtId="0" fontId="21" fillId="2" borderId="8" xfId="7" applyFont="1" applyFill="1" applyBorder="1"/>
    <xf numFmtId="2" fontId="51" fillId="2" borderId="15" xfId="0" applyNumberFormat="1" applyFont="1" applyFill="1" applyBorder="1" applyAlignment="1">
      <alignment wrapText="1"/>
    </xf>
    <xf numFmtId="0" fontId="47" fillId="2" borderId="8" xfId="0" applyFont="1" applyFill="1" applyBorder="1" applyAlignment="1">
      <alignment vertical="center" wrapText="1"/>
    </xf>
    <xf numFmtId="2" fontId="47" fillId="2" borderId="15" xfId="0" applyNumberFormat="1" applyFont="1" applyFill="1" applyBorder="1" applyAlignment="1">
      <alignment wrapText="1"/>
    </xf>
    <xf numFmtId="0" fontId="20" fillId="2" borderId="8" xfId="0" applyFont="1" applyFill="1" applyBorder="1" applyAlignment="1">
      <alignment wrapText="1"/>
    </xf>
    <xf numFmtId="0" fontId="22" fillId="13" borderId="8" xfId="0" applyFont="1" applyFill="1" applyBorder="1" applyAlignment="1">
      <alignment horizontal="center"/>
    </xf>
    <xf numFmtId="0" fontId="20" fillId="2" borderId="8" xfId="7" applyFont="1" applyFill="1" applyBorder="1" applyAlignment="1">
      <alignment horizontal="left" vertical="center" wrapText="1"/>
    </xf>
    <xf numFmtId="4" fontId="47" fillId="2" borderId="8" xfId="0" applyNumberFormat="1" applyFont="1" applyFill="1" applyBorder="1" applyAlignment="1">
      <alignment horizontal="right" wrapText="1"/>
    </xf>
    <xf numFmtId="0" fontId="22" fillId="12" borderId="14" xfId="0" applyFont="1" applyFill="1" applyBorder="1" applyAlignment="1">
      <alignment wrapText="1"/>
    </xf>
    <xf numFmtId="4" fontId="22" fillId="12" borderId="15" xfId="0" applyNumberFormat="1" applyFont="1" applyFill="1" applyBorder="1" applyAlignment="1">
      <alignment horizontal="right"/>
    </xf>
    <xf numFmtId="0" fontId="22" fillId="2" borderId="0" xfId="0" applyFont="1" applyFill="1" applyAlignment="1">
      <alignment wrapText="1"/>
    </xf>
    <xf numFmtId="4" fontId="47" fillId="2" borderId="2" xfId="0" applyNumberFormat="1" applyFont="1" applyFill="1" applyBorder="1" applyAlignment="1">
      <alignment horizontal="right"/>
    </xf>
    <xf numFmtId="4" fontId="47" fillId="2" borderId="8" xfId="0" applyNumberFormat="1" applyFont="1" applyFill="1" applyBorder="1" applyAlignment="1">
      <alignment horizontal="right"/>
    </xf>
    <xf numFmtId="0" fontId="16" fillId="2" borderId="8" xfId="7" applyFont="1" applyFill="1" applyBorder="1" applyAlignment="1">
      <alignment wrapText="1"/>
    </xf>
    <xf numFmtId="0" fontId="16" fillId="0" borderId="8" xfId="2" applyFont="1" applyBorder="1" applyAlignment="1">
      <alignment horizontal="left" vertical="center" wrapText="1"/>
    </xf>
    <xf numFmtId="0" fontId="47" fillId="0" borderId="7" xfId="0" applyFont="1" applyBorder="1" applyAlignment="1">
      <alignment wrapText="1"/>
    </xf>
    <xf numFmtId="4" fontId="51" fillId="2" borderId="8" xfId="0" applyNumberFormat="1" applyFont="1" applyFill="1" applyBorder="1" applyAlignment="1">
      <alignment horizontal="right"/>
    </xf>
    <xf numFmtId="0" fontId="22" fillId="13" borderId="6" xfId="0" applyFont="1" applyFill="1" applyBorder="1" applyAlignment="1">
      <alignment wrapText="1"/>
    </xf>
    <xf numFmtId="4" fontId="22" fillId="13" borderId="8" xfId="0" applyNumberFormat="1" applyFont="1" applyFill="1" applyBorder="1" applyAlignment="1">
      <alignment horizontal="right" wrapText="1"/>
    </xf>
    <xf numFmtId="0" fontId="22" fillId="2" borderId="8" xfId="19" applyFont="1" applyFill="1" applyBorder="1"/>
    <xf numFmtId="2" fontId="22" fillId="2" borderId="15" xfId="0" applyNumberFormat="1" applyFont="1" applyFill="1" applyBorder="1" applyAlignment="1">
      <alignment wrapText="1"/>
    </xf>
    <xf numFmtId="0" fontId="16" fillId="2" borderId="8" xfId="0" applyFont="1" applyFill="1" applyBorder="1" applyAlignment="1">
      <alignment wrapText="1"/>
    </xf>
    <xf numFmtId="4" fontId="22" fillId="2" borderId="8" xfId="0" applyNumberFormat="1" applyFont="1" applyFill="1" applyBorder="1" applyAlignment="1">
      <alignment horizontal="right"/>
    </xf>
    <xf numFmtId="0" fontId="47" fillId="2" borderId="8" xfId="3" applyFont="1" applyFill="1" applyBorder="1" applyAlignment="1">
      <alignment wrapText="1"/>
    </xf>
    <xf numFmtId="0" fontId="16" fillId="0" borderId="8" xfId="9" applyFont="1" applyBorder="1" applyAlignment="1">
      <alignment wrapText="1"/>
    </xf>
    <xf numFmtId="4" fontId="47" fillId="0" borderId="8" xfId="0" applyNumberFormat="1" applyFont="1" applyBorder="1" applyAlignment="1">
      <alignment horizontal="right"/>
    </xf>
    <xf numFmtId="0" fontId="16" fillId="2" borderId="8" xfId="9" applyFont="1" applyFill="1" applyBorder="1"/>
    <xf numFmtId="0" fontId="16" fillId="2" borderId="8" xfId="3" applyFont="1" applyFill="1" applyBorder="1" applyAlignment="1">
      <alignment wrapText="1"/>
    </xf>
    <xf numFmtId="0" fontId="54" fillId="2" borderId="0" xfId="0" applyFont="1" applyFill="1" applyAlignment="1">
      <alignment horizontal="center" wrapText="1"/>
    </xf>
    <xf numFmtId="0" fontId="16" fillId="0" borderId="2" xfId="3" applyFont="1" applyBorder="1" applyAlignment="1">
      <alignment vertical="center" wrapText="1"/>
    </xf>
    <xf numFmtId="0" fontId="16" fillId="0" borderId="2" xfId="3" applyFont="1" applyBorder="1" applyAlignment="1">
      <alignment wrapText="1"/>
    </xf>
    <xf numFmtId="0" fontId="25" fillId="2" borderId="6" xfId="7" applyFont="1" applyFill="1" applyBorder="1" applyAlignment="1">
      <alignment wrapText="1"/>
    </xf>
    <xf numFmtId="4" fontId="47" fillId="0" borderId="8" xfId="0" applyNumberFormat="1" applyFont="1" applyBorder="1" applyAlignment="1">
      <alignment wrapText="1"/>
    </xf>
    <xf numFmtId="0" fontId="16" fillId="0" borderId="8" xfId="3" applyFont="1" applyBorder="1" applyAlignment="1">
      <alignment vertical="center"/>
    </xf>
    <xf numFmtId="0" fontId="16" fillId="2" borderId="8" xfId="21" applyFont="1" applyFill="1" applyBorder="1"/>
    <xf numFmtId="0" fontId="25" fillId="2" borderId="2" xfId="9" applyFont="1" applyFill="1" applyBorder="1" applyAlignment="1">
      <alignment vertical="center" wrapText="1"/>
    </xf>
    <xf numFmtId="0" fontId="25" fillId="2" borderId="8" xfId="9" applyFont="1" applyFill="1" applyBorder="1" applyAlignment="1">
      <alignment vertical="center" wrapText="1"/>
    </xf>
    <xf numFmtId="2" fontId="47" fillId="0" borderId="8" xfId="0" applyNumberFormat="1" applyFont="1" applyBorder="1" applyAlignment="1">
      <alignment wrapText="1"/>
    </xf>
    <xf numFmtId="0" fontId="25" fillId="2" borderId="8" xfId="3" applyFont="1" applyFill="1" applyBorder="1" applyAlignment="1">
      <alignment wrapText="1"/>
    </xf>
    <xf numFmtId="0" fontId="42" fillId="2" borderId="0" xfId="0" applyFont="1" applyFill="1" applyAlignment="1">
      <alignment wrapText="1"/>
    </xf>
    <xf numFmtId="0" fontId="23" fillId="0" borderId="2" xfId="7" applyFont="1" applyBorder="1" applyAlignment="1">
      <alignment horizontal="left" vertical="top" wrapText="1"/>
    </xf>
    <xf numFmtId="0" fontId="43" fillId="2" borderId="8" xfId="0" applyFont="1" applyFill="1" applyBorder="1" applyAlignment="1">
      <alignment horizontal="center"/>
    </xf>
    <xf numFmtId="4" fontId="43" fillId="0" borderId="8" xfId="0" applyNumberFormat="1" applyFont="1" applyBorder="1" applyAlignment="1">
      <alignment wrapText="1"/>
    </xf>
    <xf numFmtId="0" fontId="55" fillId="2" borderId="0" xfId="0" applyFont="1" applyFill="1" applyAlignment="1">
      <alignment horizontal="center" wrapText="1"/>
    </xf>
    <xf numFmtId="0" fontId="16" fillId="0" borderId="8" xfId="0" applyFont="1" applyBorder="1"/>
    <xf numFmtId="0" fontId="16" fillId="0" borderId="8" xfId="0" applyFont="1" applyBorder="1" applyAlignment="1">
      <alignment vertical="center"/>
    </xf>
    <xf numFmtId="0" fontId="16" fillId="0" borderId="8" xfId="0" applyFont="1" applyBorder="1" applyAlignment="1">
      <alignment wrapText="1"/>
    </xf>
    <xf numFmtId="4" fontId="16" fillId="2" borderId="8" xfId="7" applyNumberFormat="1" applyFont="1" applyFill="1" applyBorder="1" applyAlignment="1">
      <alignment wrapText="1"/>
    </xf>
    <xf numFmtId="0" fontId="22" fillId="13" borderId="13" xfId="0" applyFont="1" applyFill="1" applyBorder="1"/>
    <xf numFmtId="0" fontId="22" fillId="13" borderId="8" xfId="0" applyFont="1" applyFill="1" applyBorder="1"/>
    <xf numFmtId="4" fontId="25" fillId="2" borderId="8" xfId="0" applyNumberFormat="1" applyFont="1" applyFill="1" applyBorder="1" applyAlignment="1">
      <alignment horizontal="right" wrapText="1"/>
    </xf>
    <xf numFmtId="0" fontId="47" fillId="0" borderId="8" xfId="0" applyFont="1" applyBorder="1" applyAlignment="1">
      <alignment horizontal="center"/>
    </xf>
    <xf numFmtId="4" fontId="25" fillId="2" borderId="8" xfId="0" applyNumberFormat="1" applyFont="1" applyFill="1" applyBorder="1" applyAlignment="1">
      <alignment horizontal="right"/>
    </xf>
    <xf numFmtId="0" fontId="25" fillId="2" borderId="8" xfId="2" applyFont="1" applyFill="1" applyBorder="1" applyAlignment="1">
      <alignment horizontal="left" vertical="center" wrapText="1"/>
    </xf>
    <xf numFmtId="2" fontId="47" fillId="0" borderId="13" xfId="0" applyNumberFormat="1" applyFont="1" applyBorder="1" applyAlignment="1">
      <alignment wrapText="1"/>
    </xf>
    <xf numFmtId="0" fontId="43" fillId="0" borderId="13" xfId="0" applyFont="1" applyBorder="1" applyAlignment="1">
      <alignment vertical="top" wrapText="1"/>
    </xf>
    <xf numFmtId="0" fontId="43" fillId="0" borderId="8" xfId="0" applyFont="1" applyBorder="1" applyAlignment="1">
      <alignment horizontal="center"/>
    </xf>
    <xf numFmtId="4" fontId="43" fillId="2" borderId="8" xfId="0" applyNumberFormat="1" applyFont="1" applyFill="1" applyBorder="1" applyAlignment="1">
      <alignment horizontal="right"/>
    </xf>
    <xf numFmtId="2" fontId="22" fillId="12" borderId="14" xfId="0" applyNumberFormat="1" applyFont="1" applyFill="1" applyBorder="1" applyAlignment="1">
      <alignment horizontal="center"/>
    </xf>
    <xf numFmtId="0" fontId="22" fillId="2" borderId="0" xfId="0" applyFont="1" applyFill="1" applyAlignment="1">
      <alignment horizontal="right"/>
    </xf>
    <xf numFmtId="0" fontId="56" fillId="2" borderId="0" xfId="0" applyFont="1" applyFill="1" applyAlignment="1">
      <alignment wrapText="1"/>
    </xf>
    <xf numFmtId="0" fontId="47" fillId="2" borderId="8" xfId="0" applyFont="1" applyFill="1" applyBorder="1" applyAlignment="1">
      <alignment vertical="top" wrapText="1"/>
    </xf>
    <xf numFmtId="0" fontId="22" fillId="2" borderId="0" xfId="0" applyFont="1" applyFill="1"/>
    <xf numFmtId="0" fontId="22" fillId="2" borderId="0" xfId="0" applyFont="1" applyFill="1" applyAlignment="1">
      <alignment horizontal="left"/>
    </xf>
    <xf numFmtId="0" fontId="22" fillId="2" borderId="8" xfId="0" applyFont="1" applyFill="1" applyBorder="1" applyAlignment="1">
      <alignment horizontal="center" wrapText="1"/>
    </xf>
    <xf numFmtId="0" fontId="25" fillId="0" borderId="8" xfId="5" applyFont="1" applyBorder="1" applyAlignment="1">
      <alignment wrapText="1"/>
    </xf>
    <xf numFmtId="4" fontId="22" fillId="2" borderId="8" xfId="0" applyNumberFormat="1" applyFont="1" applyFill="1" applyBorder="1" applyAlignment="1">
      <alignment horizontal="right" wrapText="1"/>
    </xf>
    <xf numFmtId="0" fontId="3" fillId="0" borderId="13" xfId="0" applyFont="1" applyBorder="1"/>
    <xf numFmtId="4" fontId="47" fillId="2" borderId="0" xfId="0" applyNumberFormat="1" applyFont="1" applyFill="1" applyAlignment="1">
      <alignment horizontal="center" wrapText="1"/>
    </xf>
    <xf numFmtId="4" fontId="51" fillId="2" borderId="8" xfId="0" applyNumberFormat="1" applyFont="1" applyFill="1" applyBorder="1" applyAlignment="1">
      <alignment wrapText="1"/>
    </xf>
    <xf numFmtId="0" fontId="16" fillId="0" borderId="8" xfId="9" applyFont="1" applyBorder="1"/>
    <xf numFmtId="0" fontId="20" fillId="0" borderId="8" xfId="3" applyFont="1" applyBorder="1"/>
    <xf numFmtId="0" fontId="16" fillId="0" borderId="8" xfId="3" applyFont="1" applyBorder="1" applyAlignment="1">
      <alignment horizontal="left"/>
    </xf>
    <xf numFmtId="0" fontId="47" fillId="2" borderId="8" xfId="9" applyFont="1" applyFill="1" applyBorder="1" applyAlignment="1">
      <alignment vertical="center" wrapText="1"/>
    </xf>
    <xf numFmtId="0" fontId="25" fillId="0" borderId="8" xfId="9" applyFont="1" applyBorder="1" applyAlignment="1">
      <alignment vertical="center" wrapText="1"/>
    </xf>
    <xf numFmtId="0" fontId="47" fillId="0" borderId="8" xfId="8" applyFont="1" applyBorder="1" applyAlignment="1">
      <alignment wrapText="1"/>
    </xf>
    <xf numFmtId="0" fontId="20" fillId="0" borderId="8" xfId="0" applyFont="1" applyBorder="1"/>
    <xf numFmtId="0" fontId="31" fillId="2" borderId="8" xfId="7" applyFont="1" applyFill="1" applyBorder="1"/>
    <xf numFmtId="0" fontId="57" fillId="2" borderId="13" xfId="7" applyFont="1" applyFill="1" applyBorder="1" applyAlignment="1">
      <alignment wrapText="1"/>
    </xf>
    <xf numFmtId="4" fontId="43" fillId="2" borderId="0" xfId="0" applyNumberFormat="1" applyFont="1" applyFill="1" applyAlignment="1">
      <alignment horizontal="center" wrapText="1"/>
    </xf>
    <xf numFmtId="0" fontId="22" fillId="14" borderId="13" xfId="0" applyFont="1" applyFill="1" applyBorder="1" applyAlignment="1">
      <alignment horizontal="right"/>
    </xf>
    <xf numFmtId="0" fontId="22" fillId="14" borderId="8" xfId="0" applyFont="1" applyFill="1" applyBorder="1"/>
    <xf numFmtId="4" fontId="22" fillId="14" borderId="8" xfId="0" applyNumberFormat="1" applyFont="1" applyFill="1" applyBorder="1" applyAlignment="1">
      <alignment horizontal="right"/>
    </xf>
    <xf numFmtId="0" fontId="47" fillId="0" borderId="0" xfId="0" applyFont="1"/>
    <xf numFmtId="4" fontId="22" fillId="2" borderId="0" xfId="0" applyNumberFormat="1" applyFont="1" applyFill="1" applyAlignment="1">
      <alignment horizontal="right"/>
    </xf>
    <xf numFmtId="0" fontId="22" fillId="12" borderId="13" xfId="0" applyFont="1" applyFill="1" applyBorder="1"/>
    <xf numFmtId="0" fontId="56" fillId="12" borderId="14" xfId="0" applyFont="1" applyFill="1" applyBorder="1"/>
    <xf numFmtId="0" fontId="22" fillId="12" borderId="14" xfId="0" applyFont="1" applyFill="1" applyBorder="1" applyAlignment="1">
      <alignment horizontal="center"/>
    </xf>
    <xf numFmtId="0" fontId="22" fillId="12" borderId="14" xfId="0" applyFont="1" applyFill="1" applyBorder="1"/>
    <xf numFmtId="0" fontId="22" fillId="13" borderId="6" xfId="0" applyFont="1" applyFill="1" applyBorder="1"/>
    <xf numFmtId="4" fontId="22" fillId="13" borderId="6" xfId="0" applyNumberFormat="1" applyFont="1" applyFill="1" applyBorder="1" applyAlignment="1">
      <alignment horizontal="right"/>
    </xf>
    <xf numFmtId="0" fontId="22" fillId="0" borderId="8" xfId="0" applyFont="1" applyBorder="1"/>
    <xf numFmtId="0" fontId="47" fillId="0" borderId="8" xfId="0" applyFont="1" applyBorder="1"/>
    <xf numFmtId="4" fontId="22" fillId="0" borderId="8" xfId="0" applyNumberFormat="1" applyFont="1" applyBorder="1"/>
    <xf numFmtId="3" fontId="16" fillId="2" borderId="8" xfId="3" applyNumberFormat="1" applyFont="1" applyFill="1" applyBorder="1" applyAlignment="1">
      <alignment horizontal="center"/>
    </xf>
    <xf numFmtId="0" fontId="25" fillId="2" borderId="8" xfId="5" applyFont="1" applyFill="1" applyBorder="1" applyAlignment="1">
      <alignment wrapText="1"/>
    </xf>
    <xf numFmtId="4" fontId="47" fillId="2" borderId="8" xfId="0" applyNumberFormat="1" applyFont="1" applyFill="1" applyBorder="1" applyAlignment="1">
      <alignment horizontal="left"/>
    </xf>
    <xf numFmtId="0" fontId="22" fillId="2" borderId="8" xfId="0" applyFont="1" applyFill="1" applyBorder="1" applyAlignment="1">
      <alignment horizontal="left"/>
    </xf>
    <xf numFmtId="4" fontId="57" fillId="2" borderId="8" xfId="7" applyNumberFormat="1" applyFont="1" applyFill="1" applyBorder="1" applyAlignment="1">
      <alignment wrapText="1"/>
    </xf>
    <xf numFmtId="4" fontId="43" fillId="2" borderId="0" xfId="0" applyNumberFormat="1" applyFont="1" applyFill="1" applyAlignment="1">
      <alignment horizontal="right"/>
    </xf>
    <xf numFmtId="0" fontId="47" fillId="0" borderId="0" xfId="0" applyFont="1" applyAlignment="1">
      <alignment horizontal="right"/>
    </xf>
    <xf numFmtId="0" fontId="22" fillId="2" borderId="8" xfId="12" applyFont="1" applyFill="1" applyBorder="1" applyAlignment="1">
      <alignment wrapText="1"/>
    </xf>
    <xf numFmtId="0" fontId="47" fillId="2" borderId="0" xfId="12" applyFont="1" applyFill="1"/>
    <xf numFmtId="0" fontId="16" fillId="2" borderId="8" xfId="6" applyFont="1" applyFill="1" applyBorder="1" applyAlignment="1">
      <alignment wrapText="1"/>
    </xf>
    <xf numFmtId="0" fontId="16" fillId="2" borderId="13" xfId="6" applyFont="1" applyFill="1" applyBorder="1" applyAlignment="1">
      <alignment wrapText="1"/>
    </xf>
    <xf numFmtId="2" fontId="47" fillId="2" borderId="6" xfId="8" applyNumberFormat="1" applyFont="1" applyFill="1" applyBorder="1" applyAlignment="1">
      <alignment wrapText="1"/>
    </xf>
    <xf numFmtId="2" fontId="47" fillId="2" borderId="8" xfId="8" applyNumberFormat="1" applyFont="1" applyFill="1" applyBorder="1" applyAlignment="1">
      <alignment wrapText="1"/>
    </xf>
    <xf numFmtId="0" fontId="22" fillId="0" borderId="0" xfId="0" applyFont="1" applyAlignment="1">
      <alignment horizontal="right"/>
    </xf>
    <xf numFmtId="2" fontId="21" fillId="2" borderId="8" xfId="3" applyNumberFormat="1" applyFont="1" applyFill="1" applyBorder="1"/>
    <xf numFmtId="0" fontId="51" fillId="2" borderId="8" xfId="19" applyFont="1" applyFill="1" applyBorder="1" applyAlignment="1">
      <alignment horizontal="center"/>
    </xf>
    <xf numFmtId="4" fontId="22" fillId="2" borderId="0" xfId="0" applyNumberFormat="1" applyFont="1" applyFill="1" applyAlignment="1">
      <alignment horizontal="center"/>
    </xf>
    <xf numFmtId="0" fontId="22" fillId="2" borderId="0" xfId="12" applyFont="1" applyFill="1"/>
    <xf numFmtId="0" fontId="16" fillId="2" borderId="8" xfId="3" applyFont="1" applyFill="1" applyBorder="1" applyAlignment="1">
      <alignment horizontal="center"/>
    </xf>
    <xf numFmtId="0" fontId="16" fillId="2" borderId="8" xfId="7" applyFont="1" applyFill="1" applyBorder="1" applyAlignment="1">
      <alignment horizontal="center" wrapText="1"/>
    </xf>
    <xf numFmtId="0" fontId="20" fillId="2" borderId="8" xfId="7" applyFont="1" applyFill="1" applyBorder="1" applyAlignment="1">
      <alignment horizontal="center" wrapText="1"/>
    </xf>
    <xf numFmtId="0" fontId="47" fillId="2" borderId="2" xfId="7" applyFont="1" applyFill="1" applyBorder="1" applyAlignment="1">
      <alignment wrapText="1"/>
    </xf>
    <xf numFmtId="0" fontId="22" fillId="0" borderId="8" xfId="0" applyFont="1" applyBorder="1" applyAlignment="1">
      <alignment horizontal="center"/>
    </xf>
    <xf numFmtId="4" fontId="22" fillId="0" borderId="8" xfId="0" applyNumberFormat="1" applyFont="1" applyBorder="1" applyAlignment="1">
      <alignment horizontal="right"/>
    </xf>
    <xf numFmtId="0" fontId="59" fillId="2" borderId="0" xfId="0" applyFont="1" applyFill="1"/>
    <xf numFmtId="1" fontId="47" fillId="2" borderId="8" xfId="0" applyNumberFormat="1" applyFont="1" applyFill="1" applyBorder="1" applyAlignment="1">
      <alignment horizontal="center"/>
    </xf>
    <xf numFmtId="2" fontId="25" fillId="2" borderId="8" xfId="0" applyNumberFormat="1" applyFont="1" applyFill="1" applyBorder="1" applyAlignment="1">
      <alignment wrapText="1"/>
    </xf>
    <xf numFmtId="1" fontId="25" fillId="2" borderId="8" xfId="0" applyNumberFormat="1" applyFont="1" applyFill="1" applyBorder="1" applyAlignment="1">
      <alignment horizontal="center"/>
    </xf>
    <xf numFmtId="4" fontId="22" fillId="13" borderId="8" xfId="0" applyNumberFormat="1" applyFont="1" applyFill="1" applyBorder="1" applyAlignment="1">
      <alignment horizontal="right"/>
    </xf>
    <xf numFmtId="0" fontId="22" fillId="0" borderId="0" xfId="0" applyFont="1"/>
    <xf numFmtId="4" fontId="47" fillId="0" borderId="15" xfId="0" applyNumberFormat="1" applyFont="1" applyBorder="1" applyAlignment="1">
      <alignment horizontal="right"/>
    </xf>
    <xf numFmtId="0" fontId="20" fillId="15" borderId="8" xfId="0" applyFont="1" applyFill="1" applyBorder="1" applyAlignment="1">
      <alignment wrapText="1"/>
    </xf>
    <xf numFmtId="0" fontId="20" fillId="2" borderId="8" xfId="0" applyFont="1" applyFill="1" applyBorder="1"/>
    <xf numFmtId="0" fontId="16" fillId="15" borderId="8" xfId="0" applyFont="1" applyFill="1" applyBorder="1" applyAlignment="1">
      <alignment wrapText="1"/>
    </xf>
    <xf numFmtId="4" fontId="25" fillId="2" borderId="15" xfId="20" applyNumberFormat="1" applyFont="1" applyFill="1" applyBorder="1" applyAlignment="1">
      <alignment horizontal="right"/>
    </xf>
    <xf numFmtId="0" fontId="60" fillId="2" borderId="6" xfId="7" applyFont="1" applyFill="1" applyBorder="1" applyAlignment="1">
      <alignment wrapText="1"/>
    </xf>
    <xf numFmtId="0" fontId="22" fillId="2" borderId="8" xfId="0" applyFont="1" applyFill="1" applyBorder="1"/>
    <xf numFmtId="0" fontId="22" fillId="2" borderId="6" xfId="0" applyFont="1" applyFill="1" applyBorder="1" applyAlignment="1">
      <alignment wrapText="1"/>
    </xf>
    <xf numFmtId="4" fontId="22" fillId="2" borderId="6" xfId="0" applyNumberFormat="1" applyFont="1" applyFill="1" applyBorder="1" applyAlignment="1">
      <alignment horizontal="right"/>
    </xf>
    <xf numFmtId="0" fontId="47" fillId="2" borderId="8" xfId="0" applyFont="1" applyFill="1" applyBorder="1" applyAlignment="1">
      <alignment horizontal="center" wrapText="1"/>
    </xf>
    <xf numFmtId="4" fontId="25" fillId="2" borderId="6" xfId="0" applyNumberFormat="1" applyFont="1" applyFill="1" applyBorder="1" applyAlignment="1">
      <alignment horizontal="right"/>
    </xf>
    <xf numFmtId="0" fontId="25" fillId="2" borderId="8" xfId="0" applyFont="1" applyFill="1" applyBorder="1" applyAlignment="1">
      <alignment horizontal="center" wrapText="1"/>
    </xf>
    <xf numFmtId="4" fontId="47" fillId="2" borderId="6" xfId="0" applyNumberFormat="1" applyFont="1" applyFill="1" applyBorder="1" applyAlignment="1">
      <alignment horizontal="right"/>
    </xf>
    <xf numFmtId="0" fontId="47" fillId="2" borderId="6" xfId="0" applyFont="1" applyFill="1" applyBorder="1" applyAlignment="1">
      <alignment horizontal="center"/>
    </xf>
    <xf numFmtId="0" fontId="47" fillId="2" borderId="6" xfId="0" applyFont="1" applyFill="1" applyBorder="1" applyAlignment="1">
      <alignment horizontal="center" wrapText="1"/>
    </xf>
    <xf numFmtId="0" fontId="47" fillId="2" borderId="0" xfId="0" applyFont="1" applyFill="1" applyAlignment="1">
      <alignment wrapText="1"/>
    </xf>
    <xf numFmtId="4" fontId="47" fillId="2" borderId="0" xfId="12" applyNumberFormat="1" applyFont="1" applyFill="1" applyAlignment="1">
      <alignment horizontal="center" wrapText="1"/>
    </xf>
    <xf numFmtId="0" fontId="47" fillId="2" borderId="0" xfId="0" applyFont="1" applyFill="1" applyAlignment="1">
      <alignment vertical="center"/>
    </xf>
    <xf numFmtId="0" fontId="47" fillId="13" borderId="8" xfId="0" applyFont="1" applyFill="1" applyBorder="1" applyAlignment="1">
      <alignment horizontal="center" wrapText="1"/>
    </xf>
    <xf numFmtId="4" fontId="51" fillId="13" borderId="8" xfId="0" applyNumberFormat="1" applyFont="1" applyFill="1" applyBorder="1" applyAlignment="1">
      <alignment horizontal="right"/>
    </xf>
    <xf numFmtId="0" fontId="21" fillId="2" borderId="8" xfId="7" applyFont="1" applyFill="1" applyBorder="1" applyAlignment="1">
      <alignment wrapText="1"/>
    </xf>
    <xf numFmtId="0" fontId="43" fillId="2" borderId="0" xfId="0" applyFont="1" applyFill="1" applyAlignment="1">
      <alignment wrapText="1"/>
    </xf>
    <xf numFmtId="4" fontId="43" fillId="2" borderId="0" xfId="12" applyNumberFormat="1" applyFont="1" applyFill="1" applyAlignment="1">
      <alignment horizontal="center" wrapText="1"/>
    </xf>
    <xf numFmtId="0" fontId="43" fillId="2" borderId="0" xfId="12" applyFont="1" applyFill="1"/>
    <xf numFmtId="0" fontId="47" fillId="12" borderId="8" xfId="0" applyFont="1" applyFill="1" applyBorder="1" applyAlignment="1">
      <alignment horizontal="center"/>
    </xf>
    <xf numFmtId="0" fontId="47" fillId="2" borderId="2" xfId="7" applyFont="1" applyFill="1" applyBorder="1" applyAlignment="1">
      <alignment vertical="center" wrapText="1"/>
    </xf>
    <xf numFmtId="0" fontId="47" fillId="2" borderId="0" xfId="14" applyFont="1" applyFill="1"/>
    <xf numFmtId="4" fontId="47" fillId="2" borderId="8" xfId="20" applyNumberFormat="1" applyFont="1" applyFill="1" applyBorder="1"/>
    <xf numFmtId="4" fontId="47" fillId="2" borderId="0" xfId="12" applyNumberFormat="1" applyFont="1" applyFill="1" applyAlignment="1">
      <alignment horizontal="center"/>
    </xf>
    <xf numFmtId="0" fontId="47" fillId="2" borderId="0" xfId="12" applyFont="1" applyFill="1" applyAlignment="1">
      <alignment horizontal="center"/>
    </xf>
    <xf numFmtId="4" fontId="47" fillId="2" borderId="8" xfId="12" applyNumberFormat="1" applyFont="1" applyFill="1" applyBorder="1"/>
    <xf numFmtId="4" fontId="22" fillId="2" borderId="8" xfId="12" applyNumberFormat="1" applyFont="1" applyFill="1" applyBorder="1"/>
    <xf numFmtId="2" fontId="31" fillId="2" borderId="8" xfId="3" applyNumberFormat="1" applyFont="1" applyFill="1" applyBorder="1"/>
    <xf numFmtId="0" fontId="22" fillId="5" borderId="8" xfId="0" applyFont="1" applyFill="1" applyBorder="1"/>
    <xf numFmtId="4" fontId="22" fillId="2" borderId="8" xfId="0" applyNumberFormat="1" applyFont="1" applyFill="1" applyBorder="1"/>
    <xf numFmtId="4" fontId="47" fillId="0" borderId="8" xfId="0" applyNumberFormat="1" applyFont="1" applyBorder="1"/>
    <xf numFmtId="0" fontId="20" fillId="2" borderId="8" xfId="6" applyFont="1" applyFill="1" applyBorder="1" applyAlignment="1">
      <alignment wrapText="1"/>
    </xf>
    <xf numFmtId="0" fontId="20" fillId="0" borderId="8" xfId="7" applyFont="1" applyBorder="1" applyAlignment="1">
      <alignment horizontal="left" wrapText="1"/>
    </xf>
    <xf numFmtId="4" fontId="22" fillId="13" borderId="8" xfId="0" applyNumberFormat="1" applyFont="1" applyFill="1" applyBorder="1"/>
    <xf numFmtId="4" fontId="43" fillId="2" borderId="0" xfId="12" applyNumberFormat="1" applyFont="1" applyFill="1" applyAlignment="1">
      <alignment horizontal="center"/>
    </xf>
    <xf numFmtId="0" fontId="63" fillId="2" borderId="0" xfId="0" applyFont="1" applyFill="1"/>
    <xf numFmtId="0" fontId="22" fillId="16" borderId="8" xfId="22" applyFont="1" applyFill="1" applyBorder="1"/>
    <xf numFmtId="4" fontId="22" fillId="16" borderId="8" xfId="22" applyNumberFormat="1" applyFont="1" applyFill="1" applyBorder="1"/>
    <xf numFmtId="0" fontId="31" fillId="0" borderId="8" xfId="0" applyFont="1" applyBorder="1"/>
    <xf numFmtId="4" fontId="22" fillId="2" borderId="8" xfId="22" applyNumberFormat="1" applyFont="1" applyFill="1" applyBorder="1"/>
    <xf numFmtId="2" fontId="47" fillId="0" borderId="0" xfId="0" applyNumberFormat="1" applyFont="1" applyAlignment="1">
      <alignment horizontal="center"/>
    </xf>
    <xf numFmtId="0" fontId="64" fillId="2" borderId="8" xfId="0" applyFont="1" applyFill="1" applyBorder="1" applyAlignment="1">
      <alignment wrapText="1"/>
    </xf>
    <xf numFmtId="4" fontId="47" fillId="2" borderId="8" xfId="22" applyNumberFormat="1" applyFont="1" applyFill="1" applyBorder="1"/>
    <xf numFmtId="0" fontId="22" fillId="2" borderId="8" xfId="22" applyFont="1" applyFill="1" applyBorder="1"/>
    <xf numFmtId="0" fontId="47" fillId="2" borderId="13" xfId="0" applyFont="1" applyFill="1" applyBorder="1" applyAlignment="1">
      <alignment horizontal="center" wrapText="1"/>
    </xf>
    <xf numFmtId="4" fontId="25" fillId="2" borderId="8" xfId="0" applyNumberFormat="1" applyFont="1" applyFill="1" applyBorder="1"/>
    <xf numFmtId="0" fontId="47" fillId="2" borderId="8" xfId="8" applyFont="1" applyFill="1" applyBorder="1"/>
    <xf numFmtId="4" fontId="47" fillId="2" borderId="8" xfId="0" applyNumberFormat="1" applyFont="1" applyFill="1" applyBorder="1"/>
    <xf numFmtId="0" fontId="15" fillId="2" borderId="8" xfId="3" applyFont="1" applyFill="1" applyBorder="1"/>
    <xf numFmtId="4" fontId="51" fillId="2" borderId="8" xfId="22" applyNumberFormat="1" applyFont="1" applyFill="1" applyBorder="1"/>
    <xf numFmtId="0" fontId="44" fillId="0" borderId="0" xfId="0" applyFont="1"/>
    <xf numFmtId="0" fontId="65" fillId="2" borderId="8" xfId="7" applyFont="1" applyFill="1" applyBorder="1" applyAlignment="1">
      <alignment wrapText="1"/>
    </xf>
    <xf numFmtId="4" fontId="65" fillId="2" borderId="8" xfId="0" applyNumberFormat="1" applyFont="1" applyFill="1" applyBorder="1" applyAlignment="1">
      <alignment horizontal="right"/>
    </xf>
    <xf numFmtId="0" fontId="47" fillId="2" borderId="0" xfId="7" applyFont="1" applyFill="1" applyAlignment="1">
      <alignment wrapText="1"/>
    </xf>
    <xf numFmtId="4" fontId="47" fillId="2" borderId="0" xfId="22" applyNumberFormat="1" applyFont="1" applyFill="1"/>
    <xf numFmtId="0" fontId="48" fillId="0" borderId="0" xfId="0" applyFont="1" applyAlignment="1">
      <alignment horizontal="right"/>
    </xf>
    <xf numFmtId="0" fontId="66" fillId="0" borderId="0" xfId="0" applyFont="1" applyAlignment="1">
      <alignment wrapText="1"/>
    </xf>
    <xf numFmtId="0" fontId="42" fillId="0" borderId="0" xfId="0" applyFont="1"/>
    <xf numFmtId="2" fontId="67" fillId="0" borderId="0" xfId="0" applyNumberFormat="1" applyFont="1" applyAlignment="1">
      <alignment horizontal="center"/>
    </xf>
    <xf numFmtId="0" fontId="49" fillId="2" borderId="0" xfId="0" applyFont="1" applyFill="1" applyAlignment="1">
      <alignment horizontal="right"/>
    </xf>
    <xf numFmtId="0" fontId="68" fillId="2" borderId="0" xfId="0" applyFont="1" applyFill="1"/>
    <xf numFmtId="0" fontId="48" fillId="0" borderId="0" xfId="0" applyFont="1"/>
    <xf numFmtId="0" fontId="42" fillId="0" borderId="0" xfId="0" applyFont="1" applyAlignment="1">
      <alignment horizontal="center"/>
    </xf>
    <xf numFmtId="0" fontId="48" fillId="0" borderId="0" xfId="0" applyFont="1" applyAlignment="1">
      <alignment horizontal="center"/>
    </xf>
    <xf numFmtId="0" fontId="48" fillId="2" borderId="0" xfId="0" applyFont="1" applyFill="1" applyAlignment="1">
      <alignment horizontal="center"/>
    </xf>
    <xf numFmtId="0" fontId="43" fillId="0" borderId="0" xfId="0" applyFont="1"/>
    <xf numFmtId="2" fontId="48" fillId="0" borderId="0" xfId="0" applyNumberFormat="1" applyFont="1" applyAlignment="1">
      <alignment horizontal="center"/>
    </xf>
    <xf numFmtId="0" fontId="49" fillId="2" borderId="0" xfId="0" applyFont="1" applyFill="1"/>
    <xf numFmtId="0" fontId="67" fillId="0" borderId="0" xfId="0" applyFont="1" applyAlignment="1">
      <alignment horizontal="center"/>
    </xf>
    <xf numFmtId="0" fontId="69" fillId="0" borderId="0" xfId="0" applyFont="1" applyAlignment="1">
      <alignment horizontal="center"/>
    </xf>
    <xf numFmtId="0" fontId="70" fillId="0" borderId="0" xfId="0" applyFont="1" applyAlignment="1">
      <alignment horizontal="left"/>
    </xf>
    <xf numFmtId="0" fontId="70" fillId="0" borderId="0" xfId="0" applyFont="1"/>
    <xf numFmtId="0" fontId="22" fillId="12" borderId="8" xfId="0" applyFont="1" applyFill="1" applyBorder="1" applyAlignment="1">
      <alignment wrapText="1"/>
    </xf>
    <xf numFmtId="0" fontId="47" fillId="12" borderId="8" xfId="0" applyFont="1" applyFill="1" applyBorder="1" applyAlignment="1">
      <alignment wrapText="1"/>
    </xf>
    <xf numFmtId="0" fontId="22" fillId="12" borderId="13" xfId="0" applyFont="1" applyFill="1" applyBorder="1" applyAlignment="1">
      <alignment horizontal="left"/>
    </xf>
    <xf numFmtId="0" fontId="22" fillId="12" borderId="14" xfId="0" applyFont="1" applyFill="1" applyBorder="1" applyAlignment="1">
      <alignment horizontal="left"/>
    </xf>
    <xf numFmtId="0" fontId="64" fillId="14" borderId="8" xfId="0" applyFont="1" applyFill="1" applyBorder="1" applyAlignment="1">
      <alignment horizontal="left" wrapText="1"/>
    </xf>
    <xf numFmtId="0" fontId="47" fillId="0" borderId="8" xfId="0" applyFont="1" applyBorder="1" applyAlignment="1">
      <alignment horizontal="left" wrapText="1"/>
    </xf>
    <xf numFmtId="0" fontId="0" fillId="2" borderId="0" xfId="0" applyFill="1" applyAlignment="1">
      <alignment horizontal="center" wrapText="1"/>
    </xf>
    <xf numFmtId="0" fontId="54" fillId="2" borderId="0" xfId="0" applyFont="1" applyFill="1" applyAlignment="1">
      <alignment horizontal="center" wrapText="1"/>
    </xf>
    <xf numFmtId="0" fontId="22" fillId="12" borderId="13" xfId="0" applyFont="1" applyFill="1" applyBorder="1" applyAlignment="1">
      <alignment horizontal="left" wrapText="1"/>
    </xf>
    <xf numFmtId="0" fontId="47" fillId="12" borderId="14" xfId="0" applyFont="1" applyFill="1" applyBorder="1" applyAlignment="1">
      <alignment horizontal="left" wrapText="1"/>
    </xf>
    <xf numFmtId="44" fontId="47" fillId="14" borderId="13" xfId="1" applyFont="1" applyFill="1" applyBorder="1" applyAlignment="1">
      <alignment horizontal="center"/>
    </xf>
    <xf numFmtId="44" fontId="47" fillId="14" borderId="15" xfId="1" applyFont="1" applyFill="1" applyBorder="1" applyAlignment="1">
      <alignment horizontal="center"/>
    </xf>
    <xf numFmtId="0" fontId="22" fillId="2" borderId="0" xfId="0" applyFont="1" applyFill="1" applyAlignment="1">
      <alignment horizontal="center"/>
    </xf>
    <xf numFmtId="0" fontId="42" fillId="2" borderId="0" xfId="0" applyFont="1" applyFill="1" applyAlignment="1">
      <alignment horizontal="center"/>
    </xf>
    <xf numFmtId="0" fontId="43" fillId="2" borderId="0" xfId="0" applyFont="1" applyFill="1" applyAlignment="1">
      <alignment horizontal="center"/>
    </xf>
    <xf numFmtId="0" fontId="42" fillId="2" borderId="0" xfId="0" applyFont="1" applyFill="1" applyAlignment="1">
      <alignment horizontal="left"/>
    </xf>
    <xf numFmtId="0" fontId="42" fillId="2" borderId="13" xfId="0" applyFont="1" applyFill="1" applyBorder="1"/>
    <xf numFmtId="0" fontId="43" fillId="2" borderId="14" xfId="0" applyFont="1" applyFill="1" applyBorder="1"/>
    <xf numFmtId="0" fontId="22" fillId="12" borderId="13" xfId="0" applyFont="1" applyFill="1" applyBorder="1" applyAlignment="1">
      <alignment wrapText="1"/>
    </xf>
    <xf numFmtId="0" fontId="47" fillId="12" borderId="14" xfId="0" applyFont="1" applyFill="1" applyBorder="1" applyAlignment="1">
      <alignment wrapText="1"/>
    </xf>
    <xf numFmtId="0" fontId="2" fillId="0" borderId="0" xfId="0" applyFont="1" applyAlignment="1">
      <alignment horizont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xf>
    <xf numFmtId="0" fontId="0" fillId="0" borderId="0" xfId="0" applyAlignment="1">
      <alignment horizontal="center"/>
    </xf>
    <xf numFmtId="0" fontId="0" fillId="0" borderId="0" xfId="0"/>
    <xf numFmtId="0" fontId="2" fillId="0" borderId="0" xfId="0" applyFont="1" applyAlignment="1">
      <alignment horizontal="left"/>
    </xf>
    <xf numFmtId="0" fontId="6" fillId="11" borderId="13" xfId="0" applyFont="1" applyFill="1" applyBorder="1" applyAlignment="1">
      <alignment horizontal="left"/>
    </xf>
    <xf numFmtId="0" fontId="6" fillId="11" borderId="14" xfId="0" applyFont="1" applyFill="1" applyBorder="1" applyAlignment="1">
      <alignment horizontal="left"/>
    </xf>
    <xf numFmtId="0" fontId="6" fillId="11" borderId="15" xfId="0" applyFont="1" applyFill="1" applyBorder="1" applyAlignment="1">
      <alignment horizontal="left"/>
    </xf>
    <xf numFmtId="0" fontId="4" fillId="11" borderId="13" xfId="0" applyFont="1" applyFill="1" applyBorder="1" applyAlignment="1">
      <alignment horizontal="left"/>
    </xf>
    <xf numFmtId="0" fontId="4" fillId="11" borderId="14" xfId="0" applyFont="1" applyFill="1" applyBorder="1" applyAlignment="1">
      <alignment horizontal="left"/>
    </xf>
    <xf numFmtId="0" fontId="4" fillId="11" borderId="15" xfId="0" applyFont="1" applyFill="1" applyBorder="1" applyAlignment="1">
      <alignment horizontal="left"/>
    </xf>
    <xf numFmtId="0" fontId="6" fillId="11" borderId="13" xfId="0" applyFont="1" applyFill="1" applyBorder="1" applyAlignment="1">
      <alignment horizontal="left" wrapText="1"/>
    </xf>
    <xf numFmtId="0" fontId="6" fillId="11" borderId="14" xfId="0" applyFont="1" applyFill="1" applyBorder="1" applyAlignment="1">
      <alignment horizontal="left" wrapText="1"/>
    </xf>
    <xf numFmtId="0" fontId="6" fillId="11" borderId="15" xfId="0" applyFont="1" applyFill="1" applyBorder="1" applyAlignment="1">
      <alignment horizontal="left" wrapText="1"/>
    </xf>
    <xf numFmtId="0" fontId="6" fillId="0" borderId="3"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11" borderId="7" xfId="0" applyFont="1" applyFill="1" applyBorder="1" applyAlignment="1">
      <alignment horizontal="left"/>
    </xf>
    <xf numFmtId="0" fontId="6" fillId="11" borderId="1" xfId="0" applyFont="1" applyFill="1" applyBorder="1" applyAlignment="1">
      <alignment horizontal="left"/>
    </xf>
    <xf numFmtId="0" fontId="6" fillId="11" borderId="9" xfId="0" applyFont="1" applyFill="1" applyBorder="1" applyAlignment="1">
      <alignment horizontal="left"/>
    </xf>
    <xf numFmtId="0" fontId="4" fillId="0" borderId="0" xfId="0" applyFont="1" applyAlignment="1">
      <alignment horizontal="center" vertical="center"/>
    </xf>
    <xf numFmtId="0" fontId="0" fillId="0" borderId="0" xfId="0" applyAlignment="1">
      <alignment vertical="center"/>
    </xf>
    <xf numFmtId="0" fontId="2" fillId="2" borderId="5" xfId="0" applyFont="1" applyFill="1" applyBorder="1" applyAlignment="1">
      <alignment vertical="top"/>
    </xf>
    <xf numFmtId="0" fontId="2" fillId="2" borderId="0" xfId="0" applyFont="1" applyFill="1" applyAlignment="1">
      <alignment vertical="top"/>
    </xf>
    <xf numFmtId="0" fontId="2" fillId="0" borderId="0" xfId="0" applyFont="1"/>
    <xf numFmtId="0" fontId="12" fillId="5" borderId="5" xfId="0" applyFont="1" applyFill="1" applyBorder="1" applyAlignment="1">
      <alignment vertical="center" wrapText="1"/>
    </xf>
    <xf numFmtId="0" fontId="12" fillId="5" borderId="0" xfId="0" applyFont="1" applyFill="1" applyAlignment="1">
      <alignment vertical="center" wrapText="1"/>
    </xf>
    <xf numFmtId="0" fontId="6" fillId="9" borderId="13" xfId="0" applyFont="1" applyFill="1" applyBorder="1" applyAlignment="1">
      <alignment wrapText="1"/>
    </xf>
    <xf numFmtId="0" fontId="0" fillId="0" borderId="14" xfId="0" applyBorder="1" applyAlignment="1">
      <alignment wrapText="1"/>
    </xf>
    <xf numFmtId="0" fontId="0" fillId="0" borderId="15" xfId="0" applyBorder="1" applyAlignment="1">
      <alignment wrapText="1"/>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2" fillId="2" borderId="5" xfId="0" applyFont="1" applyFill="1" applyBorder="1" applyAlignment="1">
      <alignment vertical="center" wrapText="1"/>
    </xf>
    <xf numFmtId="0" fontId="2" fillId="2" borderId="0" xfId="0" applyFont="1" applyFill="1" applyAlignment="1">
      <alignment vertical="center" wrapText="1"/>
    </xf>
    <xf numFmtId="0" fontId="4" fillId="4" borderId="7" xfId="0" applyFont="1" applyFill="1" applyBorder="1" applyAlignment="1">
      <alignment horizontal="left"/>
    </xf>
    <xf numFmtId="0" fontId="4" fillId="4" borderId="1" xfId="0" applyFont="1" applyFill="1" applyBorder="1" applyAlignment="1">
      <alignment horizontal="left"/>
    </xf>
    <xf numFmtId="0" fontId="4" fillId="4" borderId="14" xfId="0" applyFont="1" applyFill="1" applyBorder="1" applyAlignment="1">
      <alignment horizontal="left"/>
    </xf>
    <xf numFmtId="0" fontId="4" fillId="4" borderId="15" xfId="0" applyFont="1" applyFill="1" applyBorder="1" applyAlignment="1">
      <alignment horizontal="left"/>
    </xf>
    <xf numFmtId="0" fontId="4" fillId="4" borderId="13" xfId="0" applyFont="1" applyFill="1" applyBorder="1" applyAlignment="1">
      <alignment horizontal="left"/>
    </xf>
    <xf numFmtId="0" fontId="2" fillId="5" borderId="5" xfId="0" applyFont="1" applyFill="1" applyBorder="1" applyAlignment="1">
      <alignment vertical="center" wrapText="1"/>
    </xf>
    <xf numFmtId="0" fontId="2" fillId="5" borderId="0" xfId="0" applyFont="1" applyFill="1" applyAlignment="1">
      <alignment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14" fillId="0" borderId="5" xfId="0" applyFont="1" applyBorder="1"/>
    <xf numFmtId="0" fontId="14" fillId="0" borderId="0" xfId="0" applyFont="1"/>
    <xf numFmtId="0" fontId="2" fillId="2" borderId="5" xfId="0" applyFont="1" applyFill="1" applyBorder="1" applyAlignment="1">
      <alignment wrapText="1"/>
    </xf>
    <xf numFmtId="0" fontId="2" fillId="2" borderId="0" xfId="0" applyFont="1" applyFill="1" applyAlignment="1">
      <alignment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14" fillId="0" borderId="5" xfId="0" applyFont="1" applyBorder="1" applyAlignment="1">
      <alignment horizontal="center" vertical="top"/>
    </xf>
    <xf numFmtId="0" fontId="14" fillId="0" borderId="0" xfId="0" applyFont="1" applyAlignment="1">
      <alignment horizontal="center" vertical="top"/>
    </xf>
    <xf numFmtId="0" fontId="12" fillId="2" borderId="5" xfId="0" applyFont="1" applyFill="1" applyBorder="1" applyAlignment="1">
      <alignment vertical="center" wrapText="1"/>
    </xf>
    <xf numFmtId="0" fontId="12" fillId="2" borderId="0" xfId="0" applyFont="1" applyFill="1" applyAlignment="1">
      <alignment vertical="center" wrapText="1"/>
    </xf>
    <xf numFmtId="0" fontId="14" fillId="5" borderId="5" xfId="0" applyFont="1" applyFill="1" applyBorder="1" applyAlignment="1">
      <alignment wrapText="1"/>
    </xf>
    <xf numFmtId="0" fontId="0" fillId="0" borderId="0" xfId="0" applyAlignment="1">
      <alignment wrapText="1"/>
    </xf>
    <xf numFmtId="0" fontId="0" fillId="0" borderId="5" xfId="0" applyBorder="1" applyAlignment="1">
      <alignment wrapText="1"/>
    </xf>
    <xf numFmtId="0" fontId="14" fillId="2" borderId="5" xfId="0" applyFont="1" applyFill="1" applyBorder="1" applyAlignment="1">
      <alignment vertical="center" wrapText="1"/>
    </xf>
    <xf numFmtId="0" fontId="14" fillId="2" borderId="0" xfId="0" applyFont="1" applyFill="1" applyAlignment="1">
      <alignment vertical="center" wrapText="1"/>
    </xf>
    <xf numFmtId="0" fontId="6" fillId="4" borderId="13" xfId="0" applyFont="1" applyFill="1" applyBorder="1" applyAlignment="1">
      <alignment horizontal="left" wrapText="1"/>
    </xf>
    <xf numFmtId="0" fontId="6" fillId="4" borderId="14" xfId="0" applyFont="1" applyFill="1" applyBorder="1" applyAlignment="1">
      <alignment horizontal="left" wrapText="1"/>
    </xf>
    <xf numFmtId="0" fontId="0" fillId="0" borderId="14" xfId="0" applyBorder="1"/>
    <xf numFmtId="0" fontId="0" fillId="0" borderId="15" xfId="0" applyBorder="1"/>
    <xf numFmtId="0" fontId="6" fillId="6" borderId="13" xfId="0" applyFont="1" applyFill="1" applyBorder="1" applyAlignment="1">
      <alignment horizontal="left" wrapText="1"/>
    </xf>
    <xf numFmtId="0" fontId="3" fillId="0" borderId="5" xfId="0" applyFont="1" applyBorder="1"/>
    <xf numFmtId="0" fontId="3" fillId="0" borderId="0" xfId="0" applyFont="1"/>
    <xf numFmtId="0" fontId="14" fillId="0" borderId="5" xfId="0" applyFont="1" applyBorder="1" applyAlignment="1">
      <alignment vertical="center" wrapText="1"/>
    </xf>
    <xf numFmtId="0" fontId="14" fillId="0" borderId="0" xfId="0" applyFont="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12" fillId="2" borderId="5" xfId="0" applyFont="1" applyFill="1" applyBorder="1" applyAlignment="1">
      <alignment horizontal="left" vertical="center" wrapText="1"/>
    </xf>
    <xf numFmtId="0" fontId="12" fillId="2" borderId="0" xfId="0" applyFont="1" applyFill="1" applyAlignment="1">
      <alignment horizontal="left" vertical="center" wrapText="1"/>
    </xf>
    <xf numFmtId="0" fontId="4" fillId="3" borderId="3" xfId="0" applyFont="1" applyFill="1" applyBorder="1" applyAlignment="1">
      <alignment horizontal="left"/>
    </xf>
    <xf numFmtId="0" fontId="4" fillId="3" borderId="16" xfId="0" applyFont="1" applyFill="1" applyBorder="1" applyAlignment="1">
      <alignment horizontal="left"/>
    </xf>
    <xf numFmtId="0" fontId="4" fillId="3" borderId="0" xfId="0" applyFont="1" applyFill="1" applyAlignment="1">
      <alignment horizontal="left"/>
    </xf>
    <xf numFmtId="0" fontId="4" fillId="3" borderId="17" xfId="0" applyFont="1" applyFill="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6" fillId="4" borderId="13" xfId="0" applyFont="1" applyFill="1" applyBorder="1" applyAlignment="1">
      <alignment horizontal="left"/>
    </xf>
    <xf numFmtId="0" fontId="6" fillId="4" borderId="1" xfId="0" applyFont="1" applyFill="1" applyBorder="1" applyAlignment="1">
      <alignment horizontal="left"/>
    </xf>
    <xf numFmtId="0" fontId="6" fillId="4" borderId="14" xfId="0" applyFont="1" applyFill="1" applyBorder="1" applyAlignment="1">
      <alignment horizontal="left"/>
    </xf>
    <xf numFmtId="0" fontId="6" fillId="4" borderId="15" xfId="0" applyFont="1" applyFill="1" applyBorder="1" applyAlignment="1">
      <alignment horizontal="left"/>
    </xf>
    <xf numFmtId="0" fontId="6" fillId="4" borderId="7" xfId="0" applyFont="1" applyFill="1" applyBorder="1" applyAlignment="1">
      <alignment horizontal="left"/>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6" fillId="3" borderId="3" xfId="0" applyFont="1" applyFill="1" applyBorder="1" applyAlignment="1">
      <alignment horizontal="left"/>
    </xf>
    <xf numFmtId="0" fontId="6" fillId="3" borderId="16" xfId="0" applyFont="1" applyFill="1" applyBorder="1" applyAlignment="1">
      <alignment horizontal="left"/>
    </xf>
    <xf numFmtId="0" fontId="6" fillId="3" borderId="17" xfId="0" applyFont="1" applyFill="1" applyBorder="1" applyAlignment="1">
      <alignment horizontal="left"/>
    </xf>
    <xf numFmtId="0" fontId="12" fillId="5" borderId="5" xfId="0" applyFont="1" applyFill="1" applyBorder="1" applyAlignment="1">
      <alignment wrapText="1"/>
    </xf>
    <xf numFmtId="0" fontId="12" fillId="5" borderId="0" xfId="0" applyFont="1" applyFill="1" applyAlignment="1">
      <alignment wrapText="1"/>
    </xf>
    <xf numFmtId="0" fontId="2" fillId="5" borderId="5" xfId="0" applyFont="1" applyFill="1" applyBorder="1" applyAlignment="1">
      <alignment wrapText="1"/>
    </xf>
    <xf numFmtId="0" fontId="2" fillId="5" borderId="0" xfId="0" applyFont="1" applyFill="1" applyAlignment="1">
      <alignment wrapText="1"/>
    </xf>
    <xf numFmtId="0" fontId="12" fillId="2" borderId="5" xfId="0" applyFont="1" applyFill="1" applyBorder="1" applyAlignment="1">
      <alignment vertical="center"/>
    </xf>
    <xf numFmtId="0" fontId="2" fillId="2" borderId="2" xfId="7" applyFill="1" applyBorder="1" applyAlignment="1">
      <alignment horizontal="left" vertical="top" wrapText="1"/>
    </xf>
    <xf numFmtId="0" fontId="2" fillId="2" borderId="6" xfId="7" applyFill="1" applyBorder="1" applyAlignment="1">
      <alignment horizontal="left" vertical="top" wrapText="1"/>
    </xf>
    <xf numFmtId="0" fontId="6" fillId="3" borderId="13" xfId="0" applyFont="1" applyFill="1" applyBorder="1" applyAlignment="1">
      <alignment horizontal="left"/>
    </xf>
    <xf numFmtId="0" fontId="6" fillId="3" borderId="1" xfId="0" applyFont="1" applyFill="1" applyBorder="1" applyAlignment="1">
      <alignment horizontal="left"/>
    </xf>
    <xf numFmtId="0" fontId="6" fillId="3" borderId="14" xfId="0" applyFont="1" applyFill="1" applyBorder="1" applyAlignment="1">
      <alignment horizontal="left"/>
    </xf>
    <xf numFmtId="0" fontId="6" fillId="3" borderId="15" xfId="0" applyFont="1" applyFill="1" applyBorder="1" applyAlignment="1">
      <alignment horizontal="left"/>
    </xf>
    <xf numFmtId="0" fontId="14" fillId="2" borderId="0" xfId="0" applyFont="1" applyFill="1" applyAlignment="1">
      <alignment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6" fillId="4" borderId="15" xfId="0" applyFont="1" applyFill="1" applyBorder="1" applyAlignment="1">
      <alignment horizontal="left" wrapText="1"/>
    </xf>
    <xf numFmtId="0" fontId="3" fillId="5" borderId="5" xfId="0" applyFont="1" applyFill="1" applyBorder="1" applyAlignment="1">
      <alignment vertical="center" wrapText="1"/>
    </xf>
    <xf numFmtId="0" fontId="3" fillId="5" borderId="0" xfId="0" applyFont="1" applyFill="1" applyAlignment="1">
      <alignment vertical="center" wrapText="1"/>
    </xf>
    <xf numFmtId="0" fontId="2" fillId="5" borderId="2" xfId="0" applyFont="1" applyFill="1" applyBorder="1" applyAlignment="1">
      <alignment horizontal="left" vertical="top" wrapText="1"/>
    </xf>
    <xf numFmtId="0" fontId="2" fillId="5" borderId="6" xfId="0" applyFont="1" applyFill="1" applyBorder="1" applyAlignment="1">
      <alignment horizontal="left" vertical="top" wrapText="1"/>
    </xf>
    <xf numFmtId="0" fontId="3" fillId="5" borderId="2" xfId="0" applyFont="1" applyFill="1" applyBorder="1" applyAlignment="1">
      <alignment wrapText="1"/>
    </xf>
    <xf numFmtId="0" fontId="3" fillId="0" borderId="6" xfId="0" applyFont="1" applyBorder="1" applyAlignment="1">
      <alignment wrapText="1"/>
    </xf>
    <xf numFmtId="0" fontId="5" fillId="5" borderId="2" xfId="0" applyFont="1" applyFill="1" applyBorder="1" applyAlignment="1">
      <alignment vertical="center" wrapText="1"/>
    </xf>
    <xf numFmtId="0" fontId="5" fillId="0" borderId="6" xfId="0" applyFont="1" applyBorder="1" applyAlignment="1">
      <alignment vertical="center"/>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12" fillId="0" borderId="5" xfId="0" applyFont="1" applyBorder="1" applyAlignment="1">
      <alignment vertical="center"/>
    </xf>
    <xf numFmtId="0" fontId="12" fillId="0" borderId="0" xfId="0" applyFont="1" applyAlignment="1">
      <alignment vertical="center"/>
    </xf>
    <xf numFmtId="0" fontId="6" fillId="3" borderId="13" xfId="0" applyFont="1" applyFill="1" applyBorder="1" applyAlignment="1">
      <alignment horizontal="left" wrapText="1"/>
    </xf>
    <xf numFmtId="0" fontId="6" fillId="3" borderId="14" xfId="0" applyFont="1" applyFill="1" applyBorder="1" applyAlignment="1">
      <alignment horizontal="left" wrapText="1"/>
    </xf>
    <xf numFmtId="0" fontId="6" fillId="3" borderId="15" xfId="0" applyFont="1" applyFill="1" applyBorder="1" applyAlignment="1">
      <alignment horizontal="left" wrapText="1"/>
    </xf>
    <xf numFmtId="14" fontId="2" fillId="2" borderId="5" xfId="0" applyNumberFormat="1" applyFont="1" applyFill="1" applyBorder="1" applyAlignment="1">
      <alignment horizontal="left" wrapText="1"/>
    </xf>
    <xf numFmtId="0" fontId="2" fillId="0" borderId="0" xfId="0" applyFont="1" applyAlignment="1">
      <alignment horizontal="left" wrapText="1"/>
    </xf>
    <xf numFmtId="0" fontId="12" fillId="0" borderId="5" xfId="0" applyFont="1" applyBorder="1" applyAlignment="1">
      <alignment wrapText="1"/>
    </xf>
    <xf numFmtId="0" fontId="12" fillId="0" borderId="0" xfId="0" applyFont="1" applyAlignment="1">
      <alignment wrapText="1"/>
    </xf>
    <xf numFmtId="0" fontId="12" fillId="0" borderId="5" xfId="0" applyFont="1" applyBorder="1" applyAlignment="1">
      <alignment vertical="center" wrapText="1"/>
    </xf>
    <xf numFmtId="0" fontId="12" fillId="0" borderId="0" xfId="0" applyFont="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14" fillId="5" borderId="5" xfId="0" applyFont="1" applyFill="1" applyBorder="1" applyAlignment="1">
      <alignment horizontal="left" vertical="top" wrapText="1"/>
    </xf>
    <xf numFmtId="0" fontId="14" fillId="5" borderId="0" xfId="0" applyFont="1" applyFill="1" applyAlignment="1">
      <alignment horizontal="left" vertical="top" wrapText="1"/>
    </xf>
    <xf numFmtId="0" fontId="3" fillId="2" borderId="5" xfId="0" applyFont="1" applyFill="1" applyBorder="1"/>
    <xf numFmtId="0" fontId="3" fillId="2" borderId="0" xfId="0" applyFont="1" applyFill="1"/>
    <xf numFmtId="0" fontId="14" fillId="5" borderId="0" xfId="0" applyFont="1" applyFill="1" applyAlignment="1">
      <alignment wrapText="1"/>
    </xf>
    <xf numFmtId="0" fontId="4" fillId="9" borderId="13" xfId="0" applyFont="1" applyFill="1" applyBorder="1" applyAlignment="1">
      <alignment horizontal="left"/>
    </xf>
    <xf numFmtId="0" fontId="4" fillId="9" borderId="14" xfId="0" applyFont="1" applyFill="1" applyBorder="1" applyAlignment="1">
      <alignment horizontal="left"/>
    </xf>
    <xf numFmtId="0" fontId="4" fillId="9" borderId="15" xfId="0" applyFont="1" applyFill="1" applyBorder="1" applyAlignment="1">
      <alignment horizontal="left"/>
    </xf>
    <xf numFmtId="0" fontId="12" fillId="6" borderId="5" xfId="0" applyFont="1" applyFill="1" applyBorder="1" applyAlignment="1">
      <alignment horizontal="center" vertical="center" wrapText="1"/>
    </xf>
    <xf numFmtId="0" fontId="12" fillId="6" borderId="0" xfId="0" applyFont="1" applyFill="1" applyAlignment="1">
      <alignment horizontal="center" vertical="center" wrapText="1"/>
    </xf>
    <xf numFmtId="0" fontId="6" fillId="6" borderId="14" xfId="0" applyFont="1" applyFill="1" applyBorder="1" applyAlignment="1">
      <alignment horizontal="left" wrapText="1"/>
    </xf>
    <xf numFmtId="0" fontId="6" fillId="6" borderId="15" xfId="0" applyFont="1" applyFill="1" applyBorder="1" applyAlignment="1">
      <alignment horizontal="left" wrapText="1"/>
    </xf>
    <xf numFmtId="0" fontId="6" fillId="3" borderId="5" xfId="0" applyFont="1" applyFill="1" applyBorder="1" applyAlignment="1">
      <alignment horizontal="left"/>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2" borderId="0" xfId="0" applyFill="1" applyAlignment="1">
      <alignment wrapText="1"/>
    </xf>
    <xf numFmtId="0" fontId="2" fillId="6" borderId="5" xfId="0" applyFont="1" applyFill="1" applyBorder="1" applyAlignment="1">
      <alignment vertical="center" wrapText="1"/>
    </xf>
    <xf numFmtId="0" fontId="2" fillId="6" borderId="0" xfId="0" applyFont="1" applyFill="1" applyAlignment="1">
      <alignment vertical="center" wrapText="1"/>
    </xf>
    <xf numFmtId="0" fontId="0" fillId="0" borderId="14" xfId="0" applyBorder="1" applyAlignment="1">
      <alignment horizontal="left" wrapText="1"/>
    </xf>
    <xf numFmtId="0" fontId="0" fillId="0" borderId="15" xfId="0" applyBorder="1" applyAlignment="1">
      <alignment horizontal="left" wrapText="1"/>
    </xf>
    <xf numFmtId="0" fontId="0" fillId="2" borderId="0" xfId="0" applyFill="1" applyAlignment="1">
      <alignment vertical="center" wrapText="1"/>
    </xf>
    <xf numFmtId="0" fontId="0" fillId="2" borderId="5" xfId="0" applyFill="1" applyBorder="1" applyAlignment="1">
      <alignment vertical="center" wrapText="1"/>
    </xf>
    <xf numFmtId="0" fontId="6" fillId="4" borderId="7" xfId="0" applyFont="1" applyFill="1" applyBorder="1" applyAlignment="1">
      <alignment horizontal="left" wrapText="1"/>
    </xf>
    <xf numFmtId="0" fontId="6" fillId="5" borderId="13" xfId="0" applyFont="1" applyFill="1" applyBorder="1" applyAlignment="1">
      <alignment horizontal="left"/>
    </xf>
    <xf numFmtId="0" fontId="6" fillId="5" borderId="14" xfId="0" applyFont="1" applyFill="1" applyBorder="1" applyAlignment="1">
      <alignment horizontal="left"/>
    </xf>
    <xf numFmtId="0" fontId="6" fillId="5" borderId="15" xfId="0" applyFont="1" applyFill="1" applyBorder="1" applyAlignment="1">
      <alignment horizontal="left"/>
    </xf>
    <xf numFmtId="0" fontId="0" fillId="2" borderId="0" xfId="0" applyFill="1" applyAlignment="1">
      <alignment horizontal="left" vertical="center" wrapText="1"/>
    </xf>
    <xf numFmtId="0" fontId="0" fillId="2" borderId="5" xfId="0" applyFill="1" applyBorder="1" applyAlignment="1">
      <alignment horizontal="left" vertical="center" wrapText="1"/>
    </xf>
    <xf numFmtId="0" fontId="14" fillId="2" borderId="5" xfId="0" applyFont="1" applyFill="1" applyBorder="1" applyAlignment="1">
      <alignment horizontal="center" vertical="center" wrapText="1"/>
    </xf>
    <xf numFmtId="0" fontId="0" fillId="2" borderId="5" xfId="0" applyFill="1" applyBorder="1" applyAlignment="1">
      <alignment horizontal="center" wrapText="1"/>
    </xf>
    <xf numFmtId="0" fontId="14" fillId="2" borderId="5" xfId="0" applyFont="1" applyFill="1" applyBorder="1" applyAlignment="1">
      <alignment horizontal="left" vertical="center" wrapText="1"/>
    </xf>
    <xf numFmtId="0" fontId="14" fillId="2" borderId="0" xfId="0" applyFont="1" applyFill="1" applyAlignment="1">
      <alignment horizontal="left" vertical="center" wrapText="1"/>
    </xf>
    <xf numFmtId="0" fontId="3" fillId="0" borderId="5" xfId="0" applyFont="1" applyBorder="1" applyAlignment="1">
      <alignment vertical="center" wrapText="1"/>
    </xf>
    <xf numFmtId="0" fontId="3" fillId="2" borderId="5" xfId="0" applyFont="1" applyFill="1" applyBorder="1" applyAlignment="1">
      <alignment vertical="center" wrapText="1"/>
    </xf>
    <xf numFmtId="0" fontId="14" fillId="2" borderId="5"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5" xfId="0" applyFont="1" applyFill="1" applyBorder="1" applyAlignment="1">
      <alignment wrapText="1"/>
    </xf>
    <xf numFmtId="0" fontId="14" fillId="5" borderId="5" xfId="0" applyFont="1" applyFill="1" applyBorder="1" applyAlignment="1">
      <alignment vertical="center" wrapText="1"/>
    </xf>
    <xf numFmtId="0" fontId="14" fillId="5" borderId="0" xfId="0" applyFont="1" applyFill="1" applyAlignment="1">
      <alignment vertical="center" wrapText="1"/>
    </xf>
    <xf numFmtId="0" fontId="3" fillId="2" borderId="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8" fillId="0" borderId="5" xfId="0" applyFont="1" applyBorder="1" applyAlignment="1">
      <alignment vertical="top" wrapText="1"/>
    </xf>
    <xf numFmtId="0" fontId="18" fillId="0" borderId="0" xfId="0" applyFont="1" applyAlignment="1">
      <alignment vertical="top" wrapText="1"/>
    </xf>
    <xf numFmtId="0" fontId="2" fillId="2" borderId="2" xfId="0" applyFont="1" applyFill="1" applyBorder="1" applyAlignment="1">
      <alignment wrapText="1"/>
    </xf>
    <xf numFmtId="0" fontId="2" fillId="2" borderId="6" xfId="0" applyFont="1" applyFill="1" applyBorder="1" applyAlignment="1">
      <alignment wrapText="1"/>
    </xf>
    <xf numFmtId="0" fontId="2" fillId="6" borderId="5" xfId="0" applyFont="1" applyFill="1" applyBorder="1"/>
    <xf numFmtId="0" fontId="2" fillId="6" borderId="0" xfId="0" applyFont="1" applyFill="1"/>
    <xf numFmtId="0" fontId="2" fillId="2" borderId="5" xfId="0" applyFont="1" applyFill="1" applyBorder="1" applyAlignment="1">
      <alignment vertical="top" wrapText="1"/>
    </xf>
    <xf numFmtId="0" fontId="0" fillId="2" borderId="0" xfId="0" applyFill="1" applyAlignment="1">
      <alignment vertical="top" wrapText="1"/>
    </xf>
    <xf numFmtId="0" fontId="0" fillId="2" borderId="5" xfId="0" applyFill="1" applyBorder="1" applyAlignment="1">
      <alignment vertical="top" wrapText="1"/>
    </xf>
    <xf numFmtId="0" fontId="4" fillId="4" borderId="13" xfId="0" applyFont="1" applyFill="1" applyBorder="1"/>
    <xf numFmtId="0" fontId="0" fillId="4" borderId="14" xfId="0" applyFill="1" applyBorder="1"/>
    <xf numFmtId="0" fontId="0" fillId="4" borderId="15" xfId="0" applyFill="1" applyBorder="1"/>
    <xf numFmtId="0" fontId="2" fillId="0" borderId="5"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12" fillId="2" borderId="5" xfId="0" applyFont="1" applyFill="1" applyBorder="1" applyAlignment="1">
      <alignment horizontal="center" vertical="center"/>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6" borderId="5" xfId="0" applyFont="1" applyFill="1" applyBorder="1" applyAlignment="1">
      <alignment vertical="center" wrapText="1"/>
    </xf>
    <xf numFmtId="0" fontId="0" fillId="6" borderId="0" xfId="0" applyFill="1" applyAlignment="1">
      <alignment vertical="center" wrapText="1"/>
    </xf>
    <xf numFmtId="0" fontId="0" fillId="6" borderId="5" xfId="0" applyFill="1" applyBorder="1" applyAlignment="1">
      <alignment vertical="center" wrapText="1"/>
    </xf>
    <xf numFmtId="0" fontId="12" fillId="2" borderId="5" xfId="0" applyFont="1" applyFill="1" applyBorder="1" applyAlignment="1">
      <alignment vertical="top" wrapText="1"/>
    </xf>
    <xf numFmtId="0" fontId="12" fillId="0" borderId="0" xfId="0" applyFont="1" applyAlignment="1">
      <alignment vertical="top" wrapText="1"/>
    </xf>
    <xf numFmtId="0" fontId="12" fillId="0" borderId="5" xfId="0" applyFont="1" applyBorder="1" applyAlignment="1">
      <alignment vertical="top"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wrapText="1"/>
    </xf>
    <xf numFmtId="0" fontId="4" fillId="0" borderId="6" xfId="0" applyFont="1" applyBorder="1" applyAlignment="1">
      <alignment horizontal="center" wrapText="1"/>
    </xf>
    <xf numFmtId="0" fontId="4" fillId="0" borderId="3" xfId="0" applyFont="1" applyBorder="1" applyAlignment="1">
      <alignment horizontal="center" vertical="center" wrapText="1"/>
    </xf>
    <xf numFmtId="0" fontId="4" fillId="0" borderId="5" xfId="0" applyFont="1" applyBorder="1" applyAlignment="1">
      <alignment horizontal="center" wrapText="1"/>
    </xf>
    <xf numFmtId="0" fontId="4" fillId="0" borderId="7" xfId="0" applyFont="1" applyBorder="1" applyAlignment="1">
      <alignment horizont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2" fillId="0" borderId="0" xfId="0" applyFont="1" applyAlignment="1">
      <alignment horizontal="left" vertical="center"/>
    </xf>
    <xf numFmtId="0" fontId="6" fillId="0" borderId="0" xfId="0" applyFont="1" applyAlignment="1">
      <alignment horizontal="center"/>
    </xf>
    <xf numFmtId="14" fontId="4" fillId="0" borderId="0" xfId="0" applyNumberFormat="1" applyFont="1" applyAlignment="1">
      <alignment horizontal="right" vertical="center"/>
    </xf>
    <xf numFmtId="0" fontId="0" fillId="0" borderId="0" xfId="0" applyAlignment="1">
      <alignment horizontal="right" vertical="center"/>
    </xf>
    <xf numFmtId="0" fontId="2" fillId="0" borderId="0" xfId="0" applyFont="1" applyAlignment="1">
      <alignment vertical="center"/>
    </xf>
  </cellXfs>
  <cellStyles count="28">
    <cellStyle name="Currency" xfId="1" builtinId="4"/>
    <cellStyle name="Normal" xfId="0" builtinId="0"/>
    <cellStyle name="Normal 2" xfId="4" xr:uid="{00000000-0005-0000-0000-000002000000}"/>
    <cellStyle name="Normal 2 2" xfId="23" xr:uid="{00000000-0005-0000-0000-000003000000}"/>
    <cellStyle name="Normal 3" xfId="11" xr:uid="{00000000-0005-0000-0000-000004000000}"/>
    <cellStyle name="Normal 3 2" xfId="12" xr:uid="{00000000-0005-0000-0000-000005000000}"/>
    <cellStyle name="Normal 3 2 2" xfId="13" xr:uid="{00000000-0005-0000-0000-000006000000}"/>
    <cellStyle name="Normal 3 2 2 2" xfId="7" xr:uid="{00000000-0005-0000-0000-000007000000}"/>
    <cellStyle name="Normal 3 2 2 3" xfId="20" xr:uid="{00000000-0005-0000-0000-000008000000}"/>
    <cellStyle name="Normal 4" xfId="6" xr:uid="{00000000-0005-0000-0000-000009000000}"/>
    <cellStyle name="Normal 5" xfId="14" xr:uid="{00000000-0005-0000-0000-00000A000000}"/>
    <cellStyle name="Normal 5 2" xfId="24" xr:uid="{00000000-0005-0000-0000-00000B000000}"/>
    <cellStyle name="Normal 5 3" xfId="22" xr:uid="{00000000-0005-0000-0000-00000C000000}"/>
    <cellStyle name="Normal 5 4" xfId="3" xr:uid="{00000000-0005-0000-0000-00000D000000}"/>
    <cellStyle name="Normal 5 4 2" xfId="19" xr:uid="{00000000-0005-0000-0000-00000E000000}"/>
    <cellStyle name="Normal 5 4 3" xfId="25" xr:uid="{00000000-0005-0000-0000-00000F000000}"/>
    <cellStyle name="Normal 5 4 4" xfId="15" xr:uid="{00000000-0005-0000-0000-000010000000}"/>
    <cellStyle name="Normal 5 4 4 2" xfId="16" xr:uid="{00000000-0005-0000-0000-000011000000}"/>
    <cellStyle name="Normal 5 4 4 2 2" xfId="9" xr:uid="{00000000-0005-0000-0000-000012000000}"/>
    <cellStyle name="Normal 5 4 5 2" xfId="10" xr:uid="{00000000-0005-0000-0000-000013000000}"/>
    <cellStyle name="Normal 5 4 6" xfId="26" xr:uid="{00000000-0005-0000-0000-000014000000}"/>
    <cellStyle name="Normal 5 4 6 3" xfId="21" xr:uid="{00000000-0005-0000-0000-000015000000}"/>
    <cellStyle name="Normal 6" xfId="27" xr:uid="{00000000-0005-0000-0000-000016000000}"/>
    <cellStyle name="Normal 7" xfId="17" xr:uid="{00000000-0005-0000-0000-000017000000}"/>
    <cellStyle name="Normal 7 2" xfId="18" xr:uid="{00000000-0005-0000-0000-000018000000}"/>
    <cellStyle name="Normal 7 2 2" xfId="5" xr:uid="{00000000-0005-0000-0000-000019000000}"/>
    <cellStyle name="Normal 9" xfId="8" xr:uid="{00000000-0005-0000-0000-00001A000000}"/>
    <cellStyle name="Normal_Anexa F 140 146 10.07" xfId="2"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NVESTITII%202024\SEDINTE%202024\Lista%20de%20dotari%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12.2024"/>
      <sheetName val="11.12.2024"/>
      <sheetName val="26.11.2024"/>
      <sheetName val="31.10.2024"/>
      <sheetName val="11.10.2024"/>
      <sheetName val="26.09.2024"/>
      <sheetName val="9.09.2024 "/>
      <sheetName val="29.08.2024"/>
      <sheetName val="25.07.2024"/>
      <sheetName val="27.06.2024"/>
      <sheetName val="30.05.2024"/>
      <sheetName val="25.04.2024"/>
      <sheetName val="19.04.2024"/>
      <sheetName val="09.04.2024 "/>
      <sheetName val="28.03.2024"/>
      <sheetName val="18.03.2024 "/>
      <sheetName val="29.02.2024 "/>
      <sheetName val="07.02.2024 "/>
    </sheetNames>
    <sheetDataSet>
      <sheetData sheetId="0" refreshError="1"/>
      <sheetData sheetId="1" refreshError="1"/>
      <sheetData sheetId="2">
        <row r="8">
          <cell r="E8">
            <v>172894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577"/>
  <sheetViews>
    <sheetView zoomScaleNormal="100" zoomScaleSheetLayoutView="61" workbookViewId="0">
      <selection activeCell="E19" sqref="E19"/>
    </sheetView>
  </sheetViews>
  <sheetFormatPr defaultColWidth="9.15234375" defaultRowHeight="15.45" x14ac:dyDescent="0.4"/>
  <cols>
    <col min="1" max="1" width="6.3828125" style="947" customWidth="1"/>
    <col min="2" max="2" width="88.69140625" style="947" customWidth="1"/>
    <col min="3" max="3" width="9.3828125" style="949" customWidth="1"/>
    <col min="4" max="4" width="8.3046875" style="950" customWidth="1"/>
    <col min="5" max="5" width="36.84375" style="941" customWidth="1"/>
    <col min="6" max="6" width="8.84375" style="620" customWidth="1"/>
    <col min="7" max="7" width="49.84375" style="954" customWidth="1"/>
    <col min="8" max="8" width="16.3046875" style="945" customWidth="1"/>
    <col min="9" max="9" width="12" style="660" customWidth="1"/>
    <col min="10" max="10" width="16.3046875" style="660" customWidth="1"/>
    <col min="11" max="11" width="10.15234375" style="660" bestFit="1" customWidth="1"/>
    <col min="12" max="12" width="12.3046875" style="660" customWidth="1"/>
    <col min="13" max="13" width="9.15234375" style="660"/>
    <col min="14" max="14" width="9.53515625" style="660" bestFit="1" customWidth="1"/>
    <col min="15" max="15" width="9.15234375" style="660"/>
    <col min="16" max="16" width="9.53515625" style="660" bestFit="1" customWidth="1"/>
    <col min="17" max="61" width="9.15234375" style="660"/>
    <col min="62" max="16384" width="9.15234375" style="947"/>
  </cols>
  <sheetData>
    <row r="1" spans="1:18" s="615" customFormat="1" x14ac:dyDescent="0.4">
      <c r="A1" s="610" t="s">
        <v>993</v>
      </c>
      <c r="B1" s="610"/>
      <c r="C1" s="611"/>
      <c r="D1" s="611"/>
      <c r="E1" s="612"/>
      <c r="F1" s="613"/>
      <c r="G1" s="611"/>
      <c r="H1" s="614"/>
      <c r="I1" s="610"/>
      <c r="J1" s="610"/>
    </row>
    <row r="2" spans="1:18" s="615" customFormat="1" x14ac:dyDescent="0.4">
      <c r="A2" s="610"/>
      <c r="B2" s="610"/>
      <c r="C2" s="970" t="s">
        <v>994</v>
      </c>
      <c r="D2" s="970"/>
      <c r="E2" s="970"/>
      <c r="F2" s="617"/>
      <c r="G2" s="618"/>
      <c r="H2" s="614"/>
      <c r="I2" s="610"/>
      <c r="J2" s="610"/>
    </row>
    <row r="3" spans="1:18" s="615" customFormat="1" x14ac:dyDescent="0.4">
      <c r="A3" s="971"/>
      <c r="B3" s="972"/>
      <c r="C3" s="972"/>
      <c r="D3" s="972"/>
      <c r="E3" s="972"/>
      <c r="F3" s="972"/>
      <c r="G3" s="972"/>
      <c r="H3" s="972"/>
      <c r="I3" s="972"/>
      <c r="J3" s="972"/>
    </row>
    <row r="4" spans="1:18" s="615" customFormat="1" x14ac:dyDescent="0.4">
      <c r="A4" s="971" t="s">
        <v>995</v>
      </c>
      <c r="B4" s="971"/>
      <c r="C4" s="971"/>
      <c r="D4" s="971"/>
      <c r="E4" s="971"/>
      <c r="F4" s="971"/>
      <c r="G4" s="611"/>
    </row>
    <row r="5" spans="1:18" s="615" customFormat="1" x14ac:dyDescent="0.4">
      <c r="C5" s="611"/>
      <c r="D5" s="611"/>
      <c r="E5" s="612" t="s">
        <v>996</v>
      </c>
      <c r="F5" s="620"/>
      <c r="G5" s="611"/>
      <c r="H5" s="614"/>
      <c r="J5" s="610"/>
    </row>
    <row r="6" spans="1:18" s="615" customFormat="1" ht="15.75" customHeight="1" x14ac:dyDescent="0.4">
      <c r="A6" s="621"/>
      <c r="B6" s="622"/>
      <c r="C6" s="623" t="s">
        <v>997</v>
      </c>
      <c r="D6" s="623" t="s">
        <v>998</v>
      </c>
      <c r="E6" s="624" t="s">
        <v>999</v>
      </c>
      <c r="F6" s="625"/>
      <c r="G6" s="611"/>
      <c r="H6" s="973"/>
      <c r="I6" s="973"/>
      <c r="J6" s="973"/>
    </row>
    <row r="7" spans="1:18" s="615" customFormat="1" ht="15.75" customHeight="1" x14ac:dyDescent="0.4">
      <c r="A7" s="627">
        <v>1</v>
      </c>
      <c r="B7" s="628">
        <v>2</v>
      </c>
      <c r="C7" s="628">
        <v>3</v>
      </c>
      <c r="D7" s="628">
        <v>4</v>
      </c>
      <c r="E7" s="629">
        <v>5</v>
      </c>
      <c r="F7" s="625"/>
      <c r="G7" s="630">
        <f>E8-'[1]26.11.2024'!E8</f>
        <v>236</v>
      </c>
      <c r="H7" s="614"/>
      <c r="I7" s="619"/>
      <c r="J7" s="619"/>
      <c r="K7" s="631"/>
      <c r="L7" s="632"/>
      <c r="M7" s="631"/>
    </row>
    <row r="8" spans="1:18" s="615" customFormat="1" ht="14.25" customHeight="1" x14ac:dyDescent="0.4">
      <c r="A8" s="633"/>
      <c r="B8" s="622"/>
      <c r="C8" s="623"/>
      <c r="D8" s="623"/>
      <c r="E8" s="634">
        <f>E9+E323+E542+E549</f>
        <v>173130</v>
      </c>
      <c r="F8" s="625"/>
      <c r="G8" s="635"/>
      <c r="H8" s="636"/>
      <c r="I8" s="637"/>
      <c r="J8" s="637"/>
      <c r="L8" s="638"/>
      <c r="M8" s="631"/>
      <c r="N8" s="639"/>
      <c r="O8" s="631"/>
    </row>
    <row r="9" spans="1:18" s="615" customFormat="1" ht="17.25" customHeight="1" x14ac:dyDescent="0.4">
      <c r="A9" s="974" t="s">
        <v>1000</v>
      </c>
      <c r="B9" s="975"/>
      <c r="C9" s="628"/>
      <c r="D9" s="628"/>
      <c r="E9" s="640">
        <f>E14+E236++E121+E232+E10</f>
        <v>116510.5</v>
      </c>
      <c r="F9" s="625"/>
      <c r="G9" s="636"/>
      <c r="H9" s="636"/>
      <c r="I9" s="637"/>
      <c r="J9" s="631"/>
      <c r="K9" s="631"/>
      <c r="L9" s="632"/>
      <c r="M9" s="641"/>
      <c r="N9" s="639"/>
      <c r="O9" s="642"/>
      <c r="P9" s="642"/>
      <c r="R9" s="631"/>
    </row>
    <row r="10" spans="1:18" s="655" customFormat="1" ht="17.25" customHeight="1" x14ac:dyDescent="0.4">
      <c r="A10" s="643" t="s">
        <v>1001</v>
      </c>
      <c r="B10" s="644"/>
      <c r="C10" s="645"/>
      <c r="D10" s="646"/>
      <c r="E10" s="647">
        <f>E12</f>
        <v>710.2</v>
      </c>
      <c r="F10" s="625"/>
      <c r="G10" s="648"/>
      <c r="H10" s="636"/>
      <c r="I10" s="649"/>
      <c r="J10" s="631"/>
      <c r="K10" s="650"/>
      <c r="L10" s="651"/>
      <c r="M10" s="652"/>
      <c r="N10" s="653"/>
      <c r="O10" s="654"/>
      <c r="P10" s="654"/>
      <c r="R10" s="650"/>
    </row>
    <row r="11" spans="1:18" s="655" customFormat="1" ht="17.25" customHeight="1" x14ac:dyDescent="0.4">
      <c r="A11" s="656"/>
      <c r="B11" s="657" t="s">
        <v>1002</v>
      </c>
      <c r="C11" s="658" t="s">
        <v>1003</v>
      </c>
      <c r="D11" s="657"/>
      <c r="E11" s="659">
        <f>E12</f>
        <v>710.2</v>
      </c>
      <c r="F11" s="625"/>
      <c r="G11" s="648"/>
      <c r="H11" s="636"/>
      <c r="I11" s="660"/>
      <c r="J11" s="631"/>
      <c r="K11" s="650"/>
      <c r="L11" s="651"/>
      <c r="M11" s="652"/>
      <c r="N11" s="653"/>
      <c r="O11" s="654"/>
      <c r="P11" s="654"/>
      <c r="R11" s="650"/>
    </row>
    <row r="12" spans="1:18" s="655" customFormat="1" ht="17.25" customHeight="1" x14ac:dyDescent="0.4">
      <c r="A12" s="656"/>
      <c r="B12" s="661" t="s">
        <v>1004</v>
      </c>
      <c r="C12" s="662"/>
      <c r="D12" s="663"/>
      <c r="E12" s="664">
        <f>SUM(E13:E13)</f>
        <v>710.2</v>
      </c>
      <c r="F12" s="625"/>
      <c r="G12" s="648"/>
      <c r="H12" s="636"/>
      <c r="I12" s="660"/>
      <c r="J12" s="631"/>
      <c r="K12" s="650"/>
      <c r="L12" s="651"/>
      <c r="M12" s="652"/>
      <c r="N12" s="653"/>
      <c r="O12" s="654"/>
      <c r="P12" s="654"/>
      <c r="R12" s="650"/>
    </row>
    <row r="13" spans="1:18" s="655" customFormat="1" ht="17.25" customHeight="1" x14ac:dyDescent="0.4">
      <c r="A13" s="656"/>
      <c r="B13" s="665" t="s">
        <v>251</v>
      </c>
      <c r="C13" s="666" t="s">
        <v>1005</v>
      </c>
      <c r="D13" s="666">
        <v>1</v>
      </c>
      <c r="E13" s="667">
        <v>710.2</v>
      </c>
      <c r="F13" s="625"/>
      <c r="G13" s="648"/>
      <c r="H13" s="636"/>
      <c r="I13" s="660"/>
      <c r="J13" s="631"/>
      <c r="K13" s="650"/>
      <c r="L13" s="651"/>
      <c r="M13" s="652"/>
      <c r="N13" s="653"/>
      <c r="O13" s="654"/>
      <c r="P13" s="654"/>
      <c r="R13" s="650"/>
    </row>
    <row r="14" spans="1:18" s="615" customFormat="1" ht="15.75" customHeight="1" x14ac:dyDescent="0.4">
      <c r="A14" s="668" t="s">
        <v>1006</v>
      </c>
      <c r="B14" s="669"/>
      <c r="C14" s="670"/>
      <c r="D14" s="670"/>
      <c r="E14" s="671">
        <f>E105+E50+E15+E75+E119+E70+E35+E39+E46</f>
        <v>19851.5</v>
      </c>
      <c r="F14" s="625"/>
      <c r="G14" s="636"/>
      <c r="H14" s="636"/>
      <c r="I14" s="637"/>
      <c r="J14" s="672"/>
      <c r="K14" s="637"/>
    </row>
    <row r="15" spans="1:18" s="615" customFormat="1" ht="15.75" customHeight="1" x14ac:dyDescent="0.4">
      <c r="A15" s="673"/>
      <c r="B15" s="674" t="s">
        <v>1007</v>
      </c>
      <c r="C15" s="675" t="s">
        <v>1008</v>
      </c>
      <c r="D15" s="674"/>
      <c r="E15" s="676">
        <f>SUM(E16:E34)</f>
        <v>7932</v>
      </c>
      <c r="F15" s="625"/>
      <c r="G15" s="636"/>
      <c r="H15" s="636"/>
      <c r="I15" s="677"/>
      <c r="K15" s="637"/>
    </row>
    <row r="16" spans="1:18" s="660" customFormat="1" ht="15.75" customHeight="1" x14ac:dyDescent="0.4">
      <c r="A16" s="678"/>
      <c r="B16" s="679" t="s">
        <v>262</v>
      </c>
      <c r="C16" s="666" t="s">
        <v>1005</v>
      </c>
      <c r="D16" s="680">
        <v>9</v>
      </c>
      <c r="E16" s="681">
        <v>58</v>
      </c>
      <c r="F16" s="625"/>
      <c r="G16" s="682"/>
      <c r="H16" s="683"/>
      <c r="K16" s="683"/>
    </row>
    <row r="17" spans="1:11" s="660" customFormat="1" ht="15.75" customHeight="1" x14ac:dyDescent="0.4">
      <c r="A17" s="678"/>
      <c r="B17" s="684" t="s">
        <v>263</v>
      </c>
      <c r="C17" s="666" t="s">
        <v>1005</v>
      </c>
      <c r="D17" s="680">
        <v>2</v>
      </c>
      <c r="E17" s="681">
        <v>8</v>
      </c>
      <c r="F17" s="625"/>
      <c r="G17" s="682"/>
      <c r="H17" s="683"/>
      <c r="K17" s="683"/>
    </row>
    <row r="18" spans="1:11" s="660" customFormat="1" ht="15.75" customHeight="1" x14ac:dyDescent="0.4">
      <c r="A18" s="678"/>
      <c r="B18" s="679" t="s">
        <v>276</v>
      </c>
      <c r="C18" s="666" t="s">
        <v>1005</v>
      </c>
      <c r="D18" s="680">
        <v>1</v>
      </c>
      <c r="E18" s="681">
        <v>1</v>
      </c>
      <c r="F18" s="625"/>
      <c r="G18" s="682"/>
      <c r="H18" s="683"/>
      <c r="K18" s="683"/>
    </row>
    <row r="19" spans="1:11" s="655" customFormat="1" ht="15.75" customHeight="1" x14ac:dyDescent="0.4">
      <c r="A19" s="656"/>
      <c r="B19" s="685" t="s">
        <v>1009</v>
      </c>
      <c r="C19" s="666" t="s">
        <v>1005</v>
      </c>
      <c r="D19" s="680">
        <v>2</v>
      </c>
      <c r="E19" s="681">
        <v>2</v>
      </c>
      <c r="G19" s="648"/>
      <c r="H19" s="649"/>
      <c r="K19" s="649"/>
    </row>
    <row r="20" spans="1:11" s="655" customFormat="1" ht="15.75" customHeight="1" x14ac:dyDescent="0.4">
      <c r="A20" s="656"/>
      <c r="B20" s="686" t="s">
        <v>280</v>
      </c>
      <c r="C20" s="666" t="s">
        <v>1005</v>
      </c>
      <c r="D20" s="680">
        <v>2</v>
      </c>
      <c r="E20" s="681">
        <v>3</v>
      </c>
      <c r="G20" s="648"/>
      <c r="H20" s="649"/>
      <c r="K20" s="649"/>
    </row>
    <row r="21" spans="1:11" s="655" customFormat="1" ht="15.75" customHeight="1" x14ac:dyDescent="0.4">
      <c r="A21" s="654"/>
      <c r="B21" s="685" t="s">
        <v>277</v>
      </c>
      <c r="C21" s="666" t="s">
        <v>1005</v>
      </c>
      <c r="D21" s="687">
        <v>10</v>
      </c>
      <c r="E21" s="681">
        <f>9+1</f>
        <v>10</v>
      </c>
      <c r="G21" s="648"/>
      <c r="H21" s="649"/>
      <c r="K21" s="649"/>
    </row>
    <row r="22" spans="1:11" s="655" customFormat="1" ht="15.75" customHeight="1" x14ac:dyDescent="0.4">
      <c r="A22" s="654"/>
      <c r="B22" s="688" t="s">
        <v>278</v>
      </c>
      <c r="C22" s="666" t="s">
        <v>1005</v>
      </c>
      <c r="D22" s="687">
        <v>5</v>
      </c>
      <c r="E22" s="681">
        <v>10</v>
      </c>
      <c r="G22" s="648"/>
      <c r="H22" s="649"/>
      <c r="K22" s="649"/>
    </row>
    <row r="23" spans="1:11" s="655" customFormat="1" ht="15.75" customHeight="1" x14ac:dyDescent="0.4">
      <c r="A23" s="654"/>
      <c r="B23" s="685" t="s">
        <v>282</v>
      </c>
      <c r="C23" s="666" t="s">
        <v>1005</v>
      </c>
      <c r="D23" s="687">
        <v>1</v>
      </c>
      <c r="E23" s="681">
        <v>275</v>
      </c>
      <c r="G23" s="648"/>
      <c r="H23" s="649"/>
      <c r="K23" s="649"/>
    </row>
    <row r="24" spans="1:11" s="655" customFormat="1" ht="15.75" customHeight="1" x14ac:dyDescent="0.4">
      <c r="A24" s="656"/>
      <c r="B24" s="685" t="s">
        <v>267</v>
      </c>
      <c r="C24" s="666" t="s">
        <v>1005</v>
      </c>
      <c r="D24" s="680">
        <v>1</v>
      </c>
      <c r="E24" s="681">
        <f>9+16+24+8</f>
        <v>57</v>
      </c>
      <c r="G24" s="648"/>
      <c r="H24" s="649"/>
      <c r="K24" s="649"/>
    </row>
    <row r="25" spans="1:11" s="655" customFormat="1" ht="15.75" customHeight="1" x14ac:dyDescent="0.4">
      <c r="A25" s="656"/>
      <c r="B25" s="685" t="s">
        <v>268</v>
      </c>
      <c r="C25" s="666" t="s">
        <v>1005</v>
      </c>
      <c r="D25" s="680">
        <v>5</v>
      </c>
      <c r="E25" s="681">
        <f>14+24</f>
        <v>38</v>
      </c>
      <c r="G25" s="648"/>
      <c r="H25" s="649"/>
      <c r="K25" s="649"/>
    </row>
    <row r="26" spans="1:11" s="655" customFormat="1" ht="15.75" customHeight="1" x14ac:dyDescent="0.4">
      <c r="A26" s="656"/>
      <c r="B26" s="685" t="s">
        <v>269</v>
      </c>
      <c r="C26" s="666" t="s">
        <v>1005</v>
      </c>
      <c r="D26" s="680">
        <v>1</v>
      </c>
      <c r="E26" s="681">
        <v>30</v>
      </c>
      <c r="G26" s="648"/>
      <c r="H26" s="649"/>
      <c r="K26" s="649"/>
    </row>
    <row r="27" spans="1:11" s="655" customFormat="1" ht="15.75" customHeight="1" x14ac:dyDescent="0.4">
      <c r="A27" s="656"/>
      <c r="B27" s="685" t="s">
        <v>270</v>
      </c>
      <c r="C27" s="666" t="s">
        <v>1005</v>
      </c>
      <c r="D27" s="680">
        <v>1</v>
      </c>
      <c r="E27" s="681">
        <v>9</v>
      </c>
      <c r="G27" s="648"/>
      <c r="H27" s="649"/>
      <c r="K27" s="649"/>
    </row>
    <row r="28" spans="1:11" s="655" customFormat="1" ht="15.75" customHeight="1" x14ac:dyDescent="0.4">
      <c r="A28" s="656"/>
      <c r="B28" s="685" t="s">
        <v>281</v>
      </c>
      <c r="C28" s="666" t="s">
        <v>1005</v>
      </c>
      <c r="D28" s="680">
        <v>1</v>
      </c>
      <c r="E28" s="681">
        <v>26</v>
      </c>
      <c r="G28" s="648"/>
      <c r="H28" s="649"/>
      <c r="K28" s="649"/>
    </row>
    <row r="29" spans="1:11" s="655" customFormat="1" ht="15.75" customHeight="1" x14ac:dyDescent="0.4">
      <c r="A29" s="656"/>
      <c r="B29" s="689" t="s">
        <v>275</v>
      </c>
      <c r="C29" s="666" t="s">
        <v>1005</v>
      </c>
      <c r="D29" s="680">
        <v>1</v>
      </c>
      <c r="E29" s="681">
        <v>11</v>
      </c>
      <c r="G29" s="648"/>
      <c r="H29" s="649"/>
      <c r="K29" s="649"/>
    </row>
    <row r="30" spans="1:11" s="655" customFormat="1" ht="15.75" customHeight="1" x14ac:dyDescent="0.4">
      <c r="A30" s="656"/>
      <c r="B30" s="685" t="s">
        <v>271</v>
      </c>
      <c r="C30" s="666" t="s">
        <v>1005</v>
      </c>
      <c r="D30" s="680">
        <v>1</v>
      </c>
      <c r="E30" s="681">
        <v>4</v>
      </c>
      <c r="G30" s="648"/>
      <c r="H30" s="649"/>
      <c r="K30" s="649"/>
    </row>
    <row r="31" spans="1:11" s="655" customFormat="1" ht="15.75" customHeight="1" x14ac:dyDescent="0.4">
      <c r="A31" s="656"/>
      <c r="B31" s="690" t="s">
        <v>272</v>
      </c>
      <c r="C31" s="666" t="s">
        <v>1005</v>
      </c>
      <c r="D31" s="680">
        <v>1</v>
      </c>
      <c r="E31" s="681">
        <v>4</v>
      </c>
      <c r="G31" s="648"/>
      <c r="H31" s="649"/>
      <c r="K31" s="649"/>
    </row>
    <row r="32" spans="1:11" s="655" customFormat="1" ht="28.75" x14ac:dyDescent="0.4">
      <c r="A32" s="656"/>
      <c r="B32" s="691" t="s">
        <v>1010</v>
      </c>
      <c r="C32" s="666" t="s">
        <v>1005</v>
      </c>
      <c r="D32" s="680">
        <v>1</v>
      </c>
      <c r="E32" s="681">
        <v>30</v>
      </c>
      <c r="G32" s="648"/>
      <c r="H32" s="649"/>
      <c r="K32" s="649"/>
    </row>
    <row r="33" spans="1:11" s="655" customFormat="1" x14ac:dyDescent="0.4">
      <c r="A33" s="656"/>
      <c r="B33" s="691" t="s">
        <v>266</v>
      </c>
      <c r="C33" s="666" t="s">
        <v>1005</v>
      </c>
      <c r="D33" s="680">
        <v>1</v>
      </c>
      <c r="E33" s="681">
        <v>4</v>
      </c>
      <c r="G33" s="648"/>
      <c r="H33" s="649"/>
      <c r="K33" s="649"/>
    </row>
    <row r="34" spans="1:11" s="655" customFormat="1" x14ac:dyDescent="0.4">
      <c r="A34" s="656"/>
      <c r="B34" s="691" t="s">
        <v>264</v>
      </c>
      <c r="C34" s="666" t="s">
        <v>1005</v>
      </c>
      <c r="D34" s="680">
        <v>5</v>
      </c>
      <c r="E34" s="681">
        <v>7352</v>
      </c>
      <c r="G34" s="648"/>
      <c r="H34" s="649"/>
      <c r="K34" s="649"/>
    </row>
    <row r="35" spans="1:11" s="655" customFormat="1" ht="15.75" customHeight="1" x14ac:dyDescent="0.4">
      <c r="A35" s="656"/>
      <c r="B35" s="692" t="s">
        <v>1011</v>
      </c>
      <c r="C35" s="693" t="s">
        <v>1012</v>
      </c>
      <c r="D35" s="680"/>
      <c r="E35" s="694">
        <f>SUM(E36:E38)</f>
        <v>61</v>
      </c>
      <c r="G35" s="648"/>
      <c r="H35" s="649"/>
      <c r="K35" s="649"/>
    </row>
    <row r="36" spans="1:11" s="655" customFormat="1" ht="15.75" customHeight="1" x14ac:dyDescent="0.4">
      <c r="A36" s="656"/>
      <c r="B36" s="695" t="s">
        <v>263</v>
      </c>
      <c r="C36" s="696" t="s">
        <v>1005</v>
      </c>
      <c r="D36" s="697">
        <v>1</v>
      </c>
      <c r="E36" s="698">
        <v>4</v>
      </c>
      <c r="G36" s="648"/>
      <c r="H36" s="649"/>
      <c r="K36" s="649"/>
    </row>
    <row r="37" spans="1:11" s="655" customFormat="1" ht="15.75" customHeight="1" x14ac:dyDescent="0.4">
      <c r="A37" s="656"/>
      <c r="B37" s="679" t="s">
        <v>262</v>
      </c>
      <c r="C37" s="696" t="s">
        <v>1005</v>
      </c>
      <c r="D37" s="697">
        <v>10</v>
      </c>
      <c r="E37" s="698">
        <v>55</v>
      </c>
      <c r="G37" s="648"/>
      <c r="H37" s="649"/>
      <c r="K37" s="649"/>
    </row>
    <row r="38" spans="1:11" s="655" customFormat="1" ht="15.75" customHeight="1" x14ac:dyDescent="0.4">
      <c r="A38" s="656"/>
      <c r="B38" s="695" t="s">
        <v>285</v>
      </c>
      <c r="C38" s="696" t="s">
        <v>1005</v>
      </c>
      <c r="D38" s="697">
        <v>11</v>
      </c>
      <c r="E38" s="698">
        <v>2</v>
      </c>
      <c r="G38" s="648"/>
      <c r="H38" s="649"/>
      <c r="K38" s="649"/>
    </row>
    <row r="39" spans="1:11" s="655" customFormat="1" ht="15.75" customHeight="1" x14ac:dyDescent="0.4">
      <c r="A39" s="656"/>
      <c r="B39" s="699" t="s">
        <v>852</v>
      </c>
      <c r="C39" s="700" t="s">
        <v>1013</v>
      </c>
      <c r="D39" s="697"/>
      <c r="E39" s="701">
        <f>SUM(E40:E45)</f>
        <v>31</v>
      </c>
      <c r="G39" s="648"/>
      <c r="H39" s="649"/>
      <c r="K39" s="649"/>
    </row>
    <row r="40" spans="1:11" s="655" customFormat="1" ht="15.75" customHeight="1" x14ac:dyDescent="0.4">
      <c r="A40" s="656"/>
      <c r="B40" s="702" t="s">
        <v>1014</v>
      </c>
      <c r="C40" s="696" t="s">
        <v>1005</v>
      </c>
      <c r="D40" s="697">
        <v>1</v>
      </c>
      <c r="E40" s="698">
        <v>5</v>
      </c>
      <c r="G40" s="648"/>
      <c r="H40" s="649"/>
      <c r="K40" s="649"/>
    </row>
    <row r="41" spans="1:11" s="655" customFormat="1" ht="15.75" customHeight="1" x14ac:dyDescent="0.4">
      <c r="A41" s="656"/>
      <c r="B41" s="703" t="s">
        <v>289</v>
      </c>
      <c r="C41" s="696" t="s">
        <v>1005</v>
      </c>
      <c r="D41" s="697">
        <v>1</v>
      </c>
      <c r="E41" s="698">
        <v>5</v>
      </c>
      <c r="G41" s="648"/>
      <c r="H41" s="649"/>
      <c r="K41" s="649"/>
    </row>
    <row r="42" spans="1:11" s="655" customFormat="1" ht="15.75" customHeight="1" x14ac:dyDescent="0.4">
      <c r="A42" s="656"/>
      <c r="B42" s="685" t="s">
        <v>297</v>
      </c>
      <c r="C42" s="666" t="s">
        <v>1005</v>
      </c>
      <c r="D42" s="680">
        <v>1</v>
      </c>
      <c r="E42" s="681">
        <v>1</v>
      </c>
      <c r="G42" s="648"/>
      <c r="H42" s="649"/>
      <c r="K42" s="649"/>
    </row>
    <row r="43" spans="1:11" s="655" customFormat="1" ht="15.75" customHeight="1" x14ac:dyDescent="0.4">
      <c r="A43" s="656"/>
      <c r="B43" s="688" t="s">
        <v>290</v>
      </c>
      <c r="C43" s="666" t="s">
        <v>1005</v>
      </c>
      <c r="D43" s="680">
        <v>1</v>
      </c>
      <c r="E43" s="681">
        <v>6</v>
      </c>
      <c r="G43" s="648"/>
      <c r="H43" s="649"/>
      <c r="K43" s="649"/>
    </row>
    <row r="44" spans="1:11" s="655" customFormat="1" ht="15.75" customHeight="1" x14ac:dyDescent="0.4">
      <c r="A44" s="656"/>
      <c r="B44" s="685" t="s">
        <v>294</v>
      </c>
      <c r="C44" s="666" t="s">
        <v>1005</v>
      </c>
      <c r="D44" s="680">
        <v>1</v>
      </c>
      <c r="E44" s="681">
        <v>3</v>
      </c>
      <c r="G44" s="648"/>
      <c r="H44" s="649"/>
      <c r="K44" s="649"/>
    </row>
    <row r="45" spans="1:11" s="655" customFormat="1" ht="15.75" customHeight="1" x14ac:dyDescent="0.4">
      <c r="A45" s="656"/>
      <c r="B45" s="685" t="s">
        <v>296</v>
      </c>
      <c r="C45" s="666" t="s">
        <v>1005</v>
      </c>
      <c r="D45" s="680">
        <v>1</v>
      </c>
      <c r="E45" s="681">
        <v>11</v>
      </c>
      <c r="G45" s="648"/>
      <c r="H45" s="649"/>
      <c r="K45" s="649"/>
    </row>
    <row r="46" spans="1:11" s="655" customFormat="1" ht="15.75" customHeight="1" x14ac:dyDescent="0.4">
      <c r="A46" s="656"/>
      <c r="B46" s="704" t="s">
        <v>1015</v>
      </c>
      <c r="C46" s="705"/>
      <c r="D46" s="697"/>
      <c r="E46" s="701">
        <f>SUM(E47:E49)</f>
        <v>14</v>
      </c>
      <c r="G46" s="648"/>
      <c r="H46" s="649"/>
      <c r="K46" s="649"/>
    </row>
    <row r="47" spans="1:11" s="655" customFormat="1" ht="15.75" customHeight="1" x14ac:dyDescent="0.4">
      <c r="A47" s="656"/>
      <c r="B47" s="706" t="s">
        <v>292</v>
      </c>
      <c r="C47" s="696" t="s">
        <v>1005</v>
      </c>
      <c r="D47" s="697">
        <v>1</v>
      </c>
      <c r="E47" s="698">
        <v>7</v>
      </c>
      <c r="G47" s="648"/>
      <c r="H47" s="649"/>
      <c r="K47" s="649"/>
    </row>
    <row r="48" spans="1:11" s="655" customFormat="1" ht="15.75" customHeight="1" x14ac:dyDescent="0.4">
      <c r="A48" s="656"/>
      <c r="B48" s="707" t="s">
        <v>293</v>
      </c>
      <c r="C48" s="696" t="s">
        <v>1005</v>
      </c>
      <c r="D48" s="697">
        <v>1</v>
      </c>
      <c r="E48" s="698">
        <v>4</v>
      </c>
      <c r="G48" s="648"/>
      <c r="H48" s="649"/>
      <c r="K48" s="649"/>
    </row>
    <row r="49" spans="1:12" s="655" customFormat="1" ht="15.75" customHeight="1" x14ac:dyDescent="0.4">
      <c r="A49" s="656"/>
      <c r="B49" s="707" t="s">
        <v>294</v>
      </c>
      <c r="C49" s="696" t="s">
        <v>1005</v>
      </c>
      <c r="D49" s="697">
        <v>1</v>
      </c>
      <c r="E49" s="698">
        <v>3</v>
      </c>
      <c r="G49" s="648"/>
      <c r="H49" s="649"/>
      <c r="K49" s="649"/>
    </row>
    <row r="50" spans="1:12" s="655" customFormat="1" ht="15.75" customHeight="1" x14ac:dyDescent="0.4">
      <c r="A50" s="656"/>
      <c r="B50" s="708" t="s">
        <v>1016</v>
      </c>
      <c r="C50" s="709" t="s">
        <v>1017</v>
      </c>
      <c r="D50" s="708"/>
      <c r="E50" s="710">
        <f>E56+E51</f>
        <v>961</v>
      </c>
      <c r="G50" s="648"/>
      <c r="H50" s="649"/>
      <c r="K50" s="649"/>
    </row>
    <row r="51" spans="1:12" s="655" customFormat="1" ht="15.75" customHeight="1" x14ac:dyDescent="0.4">
      <c r="A51" s="656"/>
      <c r="B51" s="699" t="s">
        <v>1018</v>
      </c>
      <c r="C51" s="705"/>
      <c r="D51" s="697"/>
      <c r="E51" s="701">
        <f>SUM(E52:E55)</f>
        <v>90</v>
      </c>
      <c r="G51" s="648"/>
      <c r="H51" s="649"/>
      <c r="K51" s="649"/>
    </row>
    <row r="52" spans="1:12" s="655" customFormat="1" ht="15.75" customHeight="1" x14ac:dyDescent="0.4">
      <c r="A52" s="656"/>
      <c r="B52" s="711" t="s">
        <v>1019</v>
      </c>
      <c r="C52" s="666" t="s">
        <v>1005</v>
      </c>
      <c r="D52" s="697">
        <v>2</v>
      </c>
      <c r="E52" s="698">
        <v>20</v>
      </c>
      <c r="G52" s="648"/>
      <c r="H52" s="649"/>
      <c r="K52" s="649"/>
    </row>
    <row r="53" spans="1:12" s="655" customFormat="1" ht="15.75" customHeight="1" x14ac:dyDescent="0.4">
      <c r="A53" s="656"/>
      <c r="B53" s="711" t="s">
        <v>1020</v>
      </c>
      <c r="C53" s="666" t="s">
        <v>1005</v>
      </c>
      <c r="D53" s="697">
        <v>6</v>
      </c>
      <c r="E53" s="698">
        <v>45</v>
      </c>
      <c r="G53" s="648"/>
      <c r="H53" s="649"/>
      <c r="K53" s="649"/>
    </row>
    <row r="54" spans="1:12" s="655" customFormat="1" ht="15.75" customHeight="1" x14ac:dyDescent="0.4">
      <c r="A54" s="656"/>
      <c r="B54" s="711" t="s">
        <v>320</v>
      </c>
      <c r="C54" s="666" t="s">
        <v>1005</v>
      </c>
      <c r="D54" s="697">
        <v>1</v>
      </c>
      <c r="E54" s="698">
        <v>13</v>
      </c>
      <c r="G54" s="648"/>
      <c r="H54" s="649"/>
      <c r="K54" s="649"/>
    </row>
    <row r="55" spans="1:12" s="655" customFormat="1" ht="15.75" customHeight="1" x14ac:dyDescent="0.4">
      <c r="A55" s="656"/>
      <c r="B55" s="711" t="s">
        <v>321</v>
      </c>
      <c r="C55" s="666" t="s">
        <v>1005</v>
      </c>
      <c r="D55" s="697">
        <v>1</v>
      </c>
      <c r="E55" s="698">
        <v>12</v>
      </c>
      <c r="G55" s="648"/>
      <c r="H55" s="649"/>
      <c r="K55" s="649"/>
    </row>
    <row r="56" spans="1:12" s="655" customFormat="1" ht="15.75" customHeight="1" x14ac:dyDescent="0.4">
      <c r="A56" s="654"/>
      <c r="B56" s="712" t="s">
        <v>1021</v>
      </c>
      <c r="C56" s="713"/>
      <c r="D56" s="713"/>
      <c r="E56" s="714">
        <f>SUM(E57:E69)</f>
        <v>871</v>
      </c>
      <c r="G56" s="648"/>
      <c r="H56" s="715"/>
      <c r="K56" s="649"/>
    </row>
    <row r="57" spans="1:12" s="655" customFormat="1" ht="15.75" customHeight="1" x14ac:dyDescent="0.4">
      <c r="A57" s="654"/>
      <c r="B57" s="716" t="s">
        <v>307</v>
      </c>
      <c r="C57" s="666" t="s">
        <v>1005</v>
      </c>
      <c r="D57" s="696">
        <v>1</v>
      </c>
      <c r="E57" s="667">
        <v>400</v>
      </c>
      <c r="G57" s="648"/>
      <c r="H57" s="715"/>
      <c r="K57" s="649"/>
    </row>
    <row r="58" spans="1:12" s="655" customFormat="1" ht="15.75" customHeight="1" x14ac:dyDescent="0.4">
      <c r="A58" s="654"/>
      <c r="B58" s="717" t="s">
        <v>303</v>
      </c>
      <c r="C58" s="666" t="s">
        <v>1005</v>
      </c>
      <c r="D58" s="696">
        <v>1</v>
      </c>
      <c r="E58" s="667">
        <v>7</v>
      </c>
      <c r="G58" s="648"/>
      <c r="H58" s="715"/>
      <c r="K58" s="649"/>
    </row>
    <row r="59" spans="1:12" s="655" customFormat="1" ht="15.75" customHeight="1" x14ac:dyDescent="0.4">
      <c r="A59" s="654"/>
      <c r="B59" s="718" t="s">
        <v>308</v>
      </c>
      <c r="C59" s="666" t="s">
        <v>1005</v>
      </c>
      <c r="D59" s="666">
        <v>1</v>
      </c>
      <c r="E59" s="667">
        <f>100-10</f>
        <v>90</v>
      </c>
      <c r="G59" s="648"/>
      <c r="H59" s="715"/>
      <c r="K59" s="649"/>
    </row>
    <row r="60" spans="1:12" s="655" customFormat="1" ht="15.75" customHeight="1" x14ac:dyDescent="0.4">
      <c r="A60" s="654"/>
      <c r="B60" s="716" t="s">
        <v>309</v>
      </c>
      <c r="C60" s="666" t="s">
        <v>1005</v>
      </c>
      <c r="D60" s="696">
        <v>1</v>
      </c>
      <c r="E60" s="667">
        <v>100</v>
      </c>
      <c r="G60" s="648"/>
      <c r="L60" s="649"/>
    </row>
    <row r="61" spans="1:12" s="655" customFormat="1" ht="15.75" customHeight="1" x14ac:dyDescent="0.4">
      <c r="A61" s="654"/>
      <c r="B61" s="718" t="s">
        <v>1022</v>
      </c>
      <c r="C61" s="666" t="s">
        <v>1005</v>
      </c>
      <c r="D61" s="666">
        <v>1</v>
      </c>
      <c r="E61" s="667">
        <f>50+10</f>
        <v>60</v>
      </c>
      <c r="G61" s="648"/>
      <c r="K61" s="649"/>
    </row>
    <row r="62" spans="1:12" s="655" customFormat="1" ht="15.75" customHeight="1" x14ac:dyDescent="0.4">
      <c r="A62" s="654"/>
      <c r="B62" s="716" t="s">
        <v>311</v>
      </c>
      <c r="C62" s="666" t="s">
        <v>1005</v>
      </c>
      <c r="D62" s="696">
        <v>4</v>
      </c>
      <c r="E62" s="667">
        <v>80</v>
      </c>
      <c r="G62" s="648"/>
      <c r="K62" s="649"/>
    </row>
    <row r="63" spans="1:12" s="655" customFormat="1" ht="15.75" customHeight="1" x14ac:dyDescent="0.4">
      <c r="A63" s="654"/>
      <c r="B63" s="718" t="s">
        <v>1023</v>
      </c>
      <c r="C63" s="666" t="s">
        <v>1005</v>
      </c>
      <c r="D63" s="666">
        <v>2</v>
      </c>
      <c r="E63" s="667">
        <v>20</v>
      </c>
      <c r="G63" s="648"/>
      <c r="H63" s="715"/>
      <c r="K63" s="649"/>
    </row>
    <row r="64" spans="1:12" s="655" customFormat="1" ht="15.75" customHeight="1" x14ac:dyDescent="0.4">
      <c r="A64" s="654"/>
      <c r="B64" s="716" t="s">
        <v>1024</v>
      </c>
      <c r="C64" s="666" t="s">
        <v>1005</v>
      </c>
      <c r="D64" s="696">
        <v>2</v>
      </c>
      <c r="E64" s="667">
        <v>14</v>
      </c>
      <c r="G64" s="648"/>
      <c r="H64" s="715"/>
      <c r="K64" s="649"/>
    </row>
    <row r="65" spans="1:12" s="655" customFormat="1" ht="15.75" customHeight="1" x14ac:dyDescent="0.4">
      <c r="A65" s="654"/>
      <c r="B65" s="716" t="s">
        <v>302</v>
      </c>
      <c r="C65" s="666" t="s">
        <v>1005</v>
      </c>
      <c r="D65" s="696">
        <v>1</v>
      </c>
      <c r="E65" s="667">
        <v>35</v>
      </c>
      <c r="G65" s="648"/>
      <c r="H65" s="715"/>
      <c r="K65" s="649"/>
    </row>
    <row r="66" spans="1:12" s="655" customFormat="1" ht="15.75" customHeight="1" x14ac:dyDescent="0.4">
      <c r="A66" s="654"/>
      <c r="B66" s="716" t="s">
        <v>312</v>
      </c>
      <c r="C66" s="666" t="s">
        <v>1005</v>
      </c>
      <c r="D66" s="696">
        <v>5</v>
      </c>
      <c r="E66" s="667">
        <v>45</v>
      </c>
      <c r="G66" s="648"/>
      <c r="H66" s="715"/>
      <c r="K66" s="649"/>
    </row>
    <row r="67" spans="1:12" s="655" customFormat="1" ht="15.75" customHeight="1" x14ac:dyDescent="0.4">
      <c r="A67" s="654"/>
      <c r="B67" s="716" t="s">
        <v>313</v>
      </c>
      <c r="C67" s="666" t="s">
        <v>1005</v>
      </c>
      <c r="D67" s="719">
        <v>5</v>
      </c>
      <c r="E67" s="720">
        <v>13</v>
      </c>
      <c r="G67" s="648"/>
      <c r="H67" s="715"/>
      <c r="K67" s="648"/>
      <c r="L67" s="715"/>
    </row>
    <row r="68" spans="1:12" s="655" customFormat="1" ht="15.75" customHeight="1" x14ac:dyDescent="0.4">
      <c r="A68" s="654"/>
      <c r="B68" s="685" t="s">
        <v>314</v>
      </c>
      <c r="C68" s="666" t="s">
        <v>1005</v>
      </c>
      <c r="D68" s="666">
        <v>1</v>
      </c>
      <c r="E68" s="720">
        <v>4</v>
      </c>
      <c r="G68" s="648"/>
      <c r="H68" s="715"/>
      <c r="K68" s="648"/>
      <c r="L68" s="715"/>
    </row>
    <row r="69" spans="1:12" s="655" customFormat="1" ht="15.75" customHeight="1" x14ac:dyDescent="0.4">
      <c r="A69" s="654"/>
      <c r="B69" s="685" t="s">
        <v>315</v>
      </c>
      <c r="C69" s="666" t="s">
        <v>1005</v>
      </c>
      <c r="D69" s="666">
        <v>1</v>
      </c>
      <c r="E69" s="720">
        <v>3</v>
      </c>
      <c r="G69" s="648"/>
      <c r="H69" s="715"/>
      <c r="K69" s="648"/>
      <c r="L69" s="715"/>
    </row>
    <row r="70" spans="1:12" s="655" customFormat="1" ht="15.75" customHeight="1" x14ac:dyDescent="0.4">
      <c r="A70" s="654"/>
      <c r="B70" s="657" t="s">
        <v>1025</v>
      </c>
      <c r="C70" s="658" t="s">
        <v>1026</v>
      </c>
      <c r="D70" s="657"/>
      <c r="E70" s="721">
        <f>E71+E73</f>
        <v>584</v>
      </c>
      <c r="G70" s="648"/>
      <c r="H70" s="715"/>
      <c r="K70" s="648"/>
      <c r="L70" s="715"/>
    </row>
    <row r="71" spans="1:12" s="655" customFormat="1" ht="15.75" customHeight="1" x14ac:dyDescent="0.4">
      <c r="A71" s="654"/>
      <c r="B71" s="692" t="s">
        <v>1027</v>
      </c>
      <c r="C71" s="663"/>
      <c r="D71" s="663"/>
      <c r="E71" s="722">
        <f>E72</f>
        <v>284</v>
      </c>
      <c r="G71" s="648"/>
      <c r="H71" s="715"/>
      <c r="K71" s="648"/>
      <c r="L71" s="715"/>
    </row>
    <row r="72" spans="1:12" s="655" customFormat="1" ht="15.75" customHeight="1" x14ac:dyDescent="0.4">
      <c r="A72" s="654"/>
      <c r="B72" s="723" t="s">
        <v>325</v>
      </c>
      <c r="C72" s="666" t="s">
        <v>1005</v>
      </c>
      <c r="D72" s="687">
        <v>1</v>
      </c>
      <c r="E72" s="681">
        <f>250+34</f>
        <v>284</v>
      </c>
      <c r="G72" s="648"/>
      <c r="H72" s="715"/>
      <c r="K72" s="648"/>
      <c r="L72" s="715"/>
    </row>
    <row r="73" spans="1:12" s="655" customFormat="1" ht="15.75" customHeight="1" x14ac:dyDescent="0.4">
      <c r="A73" s="654"/>
      <c r="B73" s="692" t="s">
        <v>1028</v>
      </c>
      <c r="C73" s="666"/>
      <c r="D73" s="687"/>
      <c r="E73" s="701">
        <f>E74</f>
        <v>300</v>
      </c>
      <c r="G73" s="648"/>
      <c r="H73" s="715"/>
      <c r="K73" s="648"/>
      <c r="L73" s="715"/>
    </row>
    <row r="74" spans="1:12" s="655" customFormat="1" ht="15.75" customHeight="1" x14ac:dyDescent="0.4">
      <c r="A74" s="654"/>
      <c r="B74" s="723" t="s">
        <v>325</v>
      </c>
      <c r="C74" s="666" t="s">
        <v>1005</v>
      </c>
      <c r="D74" s="687">
        <v>1</v>
      </c>
      <c r="E74" s="681">
        <f>250+50</f>
        <v>300</v>
      </c>
      <c r="G74" s="648"/>
      <c r="H74" s="715"/>
      <c r="K74" s="648"/>
      <c r="L74" s="715"/>
    </row>
    <row r="75" spans="1:12" s="655" customFormat="1" ht="15.75" customHeight="1" x14ac:dyDescent="0.4">
      <c r="A75" s="654"/>
      <c r="B75" s="657" t="s">
        <v>1029</v>
      </c>
      <c r="C75" s="724" t="s">
        <v>1030</v>
      </c>
      <c r="D75" s="657"/>
      <c r="E75" s="721">
        <f>E76+E98+E78+E102</f>
        <v>7840.5</v>
      </c>
      <c r="G75" s="648"/>
      <c r="K75" s="648"/>
      <c r="L75" s="715"/>
    </row>
    <row r="76" spans="1:12" s="655" customFormat="1" ht="15.75" customHeight="1" x14ac:dyDescent="0.4">
      <c r="A76" s="654"/>
      <c r="B76" s="725" t="s">
        <v>1031</v>
      </c>
      <c r="C76" s="663"/>
      <c r="D76" s="726"/>
      <c r="E76" s="664">
        <f>SUM(E77:E77)</f>
        <v>26</v>
      </c>
      <c r="G76" s="648"/>
      <c r="H76" s="715"/>
      <c r="K76" s="648"/>
      <c r="L76" s="715"/>
    </row>
    <row r="77" spans="1:12" s="655" customFormat="1" ht="15.75" customHeight="1" x14ac:dyDescent="0.4">
      <c r="A77" s="654"/>
      <c r="B77" s="727" t="s">
        <v>515</v>
      </c>
      <c r="C77" s="666" t="s">
        <v>1005</v>
      </c>
      <c r="D77" s="666">
        <v>1</v>
      </c>
      <c r="E77" s="681">
        <v>26</v>
      </c>
      <c r="G77" s="648"/>
      <c r="H77" s="649"/>
      <c r="K77" s="648"/>
      <c r="L77" s="715"/>
    </row>
    <row r="78" spans="1:12" s="655" customFormat="1" ht="15.75" customHeight="1" x14ac:dyDescent="0.4">
      <c r="A78" s="654"/>
      <c r="B78" s="728" t="s">
        <v>1032</v>
      </c>
      <c r="C78" s="666" t="s">
        <v>1005</v>
      </c>
      <c r="D78" s="666">
        <v>1</v>
      </c>
      <c r="E78" s="729">
        <f>SUM(E79:E97)</f>
        <v>7778</v>
      </c>
      <c r="G78" s="648"/>
      <c r="H78" s="715"/>
      <c r="K78" s="648"/>
      <c r="L78" s="715"/>
    </row>
    <row r="79" spans="1:12" s="655" customFormat="1" ht="15.75" customHeight="1" x14ac:dyDescent="0.4">
      <c r="A79" s="654"/>
      <c r="B79" s="716" t="s">
        <v>1033</v>
      </c>
      <c r="C79" s="666" t="s">
        <v>1005</v>
      </c>
      <c r="D79" s="666">
        <v>1</v>
      </c>
      <c r="E79" s="730">
        <v>1370</v>
      </c>
      <c r="G79" s="648"/>
      <c r="H79" s="715"/>
      <c r="K79" s="648"/>
      <c r="L79" s="715"/>
    </row>
    <row r="80" spans="1:12" s="655" customFormat="1" ht="15.75" customHeight="1" x14ac:dyDescent="0.4">
      <c r="A80" s="654"/>
      <c r="B80" s="716" t="s">
        <v>1034</v>
      </c>
      <c r="C80" s="666" t="s">
        <v>1005</v>
      </c>
      <c r="D80" s="666">
        <v>1</v>
      </c>
      <c r="E80" s="730">
        <v>1087</v>
      </c>
      <c r="G80" s="648"/>
      <c r="H80" s="715"/>
      <c r="K80" s="648"/>
      <c r="L80" s="715"/>
    </row>
    <row r="81" spans="1:12" s="655" customFormat="1" ht="15.75" customHeight="1" x14ac:dyDescent="0.4">
      <c r="A81" s="654"/>
      <c r="B81" s="716" t="s">
        <v>1035</v>
      </c>
      <c r="C81" s="666" t="s">
        <v>1005</v>
      </c>
      <c r="D81" s="666">
        <v>1</v>
      </c>
      <c r="E81" s="730">
        <v>1401</v>
      </c>
      <c r="G81" s="731"/>
      <c r="H81" s="715"/>
      <c r="K81" s="648"/>
      <c r="L81" s="715"/>
    </row>
    <row r="82" spans="1:12" s="655" customFormat="1" ht="15.75" customHeight="1" x14ac:dyDescent="0.4">
      <c r="A82" s="654"/>
      <c r="B82" s="716" t="s">
        <v>1036</v>
      </c>
      <c r="C82" s="666" t="s">
        <v>1005</v>
      </c>
      <c r="D82" s="666">
        <v>1</v>
      </c>
      <c r="E82" s="730">
        <v>77</v>
      </c>
      <c r="G82" s="648"/>
      <c r="H82" s="715"/>
      <c r="K82" s="648"/>
      <c r="L82" s="715"/>
    </row>
    <row r="83" spans="1:12" s="655" customFormat="1" ht="15.75" customHeight="1" x14ac:dyDescent="0.4">
      <c r="A83" s="654"/>
      <c r="B83" s="716" t="s">
        <v>1037</v>
      </c>
      <c r="C83" s="666" t="s">
        <v>1005</v>
      </c>
      <c r="D83" s="666">
        <v>1</v>
      </c>
      <c r="E83" s="730">
        <v>1838</v>
      </c>
      <c r="G83" s="648"/>
      <c r="H83" s="715"/>
      <c r="K83" s="648"/>
      <c r="L83" s="715"/>
    </row>
    <row r="84" spans="1:12" s="655" customFormat="1" ht="15.75" customHeight="1" x14ac:dyDescent="0.4">
      <c r="A84" s="654"/>
      <c r="B84" s="716" t="s">
        <v>1038</v>
      </c>
      <c r="C84" s="666" t="s">
        <v>1005</v>
      </c>
      <c r="D84" s="666">
        <v>1</v>
      </c>
      <c r="E84" s="698">
        <v>1498</v>
      </c>
      <c r="G84" s="648"/>
      <c r="H84" s="715"/>
      <c r="K84" s="648"/>
      <c r="L84" s="715"/>
    </row>
    <row r="85" spans="1:12" s="655" customFormat="1" ht="15.75" customHeight="1" x14ac:dyDescent="0.4">
      <c r="A85" s="654"/>
      <c r="B85" s="716" t="s">
        <v>1039</v>
      </c>
      <c r="C85" s="666" t="s">
        <v>1005</v>
      </c>
      <c r="D85" s="666">
        <v>1</v>
      </c>
      <c r="E85" s="698">
        <v>316</v>
      </c>
      <c r="G85" s="648"/>
      <c r="H85" s="715"/>
      <c r="K85" s="648"/>
      <c r="L85" s="715"/>
    </row>
    <row r="86" spans="1:12" s="655" customFormat="1" ht="15.75" customHeight="1" x14ac:dyDescent="0.4">
      <c r="A86" s="654"/>
      <c r="B86" s="716" t="s">
        <v>495</v>
      </c>
      <c r="C86" s="666" t="s">
        <v>1005</v>
      </c>
      <c r="D86" s="666">
        <v>1</v>
      </c>
      <c r="E86" s="730">
        <v>17</v>
      </c>
      <c r="G86" s="648"/>
      <c r="H86" s="715"/>
      <c r="K86" s="648"/>
      <c r="L86" s="715"/>
    </row>
    <row r="87" spans="1:12" s="655" customFormat="1" ht="15.75" customHeight="1" x14ac:dyDescent="0.4">
      <c r="A87" s="654"/>
      <c r="B87" s="716" t="s">
        <v>496</v>
      </c>
      <c r="C87" s="666" t="s">
        <v>1005</v>
      </c>
      <c r="D87" s="666">
        <v>1</v>
      </c>
      <c r="E87" s="698">
        <v>14</v>
      </c>
      <c r="G87" s="648"/>
      <c r="H87" s="715"/>
      <c r="K87" s="648"/>
      <c r="L87" s="715"/>
    </row>
    <row r="88" spans="1:12" s="655" customFormat="1" ht="15.75" customHeight="1" x14ac:dyDescent="0.4">
      <c r="A88" s="654"/>
      <c r="B88" s="716" t="s">
        <v>497</v>
      </c>
      <c r="C88" s="666" t="s">
        <v>1005</v>
      </c>
      <c r="D88" s="666">
        <v>1</v>
      </c>
      <c r="E88" s="698">
        <v>31</v>
      </c>
      <c r="G88" s="648"/>
      <c r="H88" s="715"/>
      <c r="K88" s="648"/>
      <c r="L88" s="715"/>
    </row>
    <row r="89" spans="1:12" s="655" customFormat="1" ht="15.75" customHeight="1" x14ac:dyDescent="0.4">
      <c r="A89" s="654"/>
      <c r="B89" s="716" t="s">
        <v>498</v>
      </c>
      <c r="C89" s="666" t="s">
        <v>1005</v>
      </c>
      <c r="D89" s="666">
        <v>1</v>
      </c>
      <c r="E89" s="732">
        <v>29</v>
      </c>
      <c r="G89" s="648"/>
      <c r="H89" s="651"/>
      <c r="I89" s="650"/>
      <c r="K89" s="649"/>
    </row>
    <row r="90" spans="1:12" s="655" customFormat="1" ht="15.75" customHeight="1" x14ac:dyDescent="0.4">
      <c r="A90" s="654"/>
      <c r="B90" s="716" t="s">
        <v>499</v>
      </c>
      <c r="C90" s="666" t="s">
        <v>1005</v>
      </c>
      <c r="D90" s="666">
        <v>1</v>
      </c>
      <c r="E90" s="732">
        <v>17</v>
      </c>
      <c r="G90" s="648"/>
      <c r="H90" s="651"/>
      <c r="I90" s="650"/>
      <c r="K90" s="649"/>
    </row>
    <row r="91" spans="1:12" s="655" customFormat="1" ht="15.75" customHeight="1" x14ac:dyDescent="0.4">
      <c r="A91" s="654"/>
      <c r="B91" s="716" t="s">
        <v>500</v>
      </c>
      <c r="C91" s="666" t="s">
        <v>1005</v>
      </c>
      <c r="D91" s="666">
        <v>1</v>
      </c>
      <c r="E91" s="733">
        <v>10</v>
      </c>
      <c r="G91" s="648"/>
      <c r="H91" s="651"/>
      <c r="I91" s="650"/>
      <c r="K91" s="649"/>
    </row>
    <row r="92" spans="1:12" s="655" customFormat="1" ht="15.75" customHeight="1" x14ac:dyDescent="0.4">
      <c r="A92" s="654"/>
      <c r="B92" s="716" t="s">
        <v>501</v>
      </c>
      <c r="C92" s="666" t="s">
        <v>1005</v>
      </c>
      <c r="D92" s="666">
        <v>1</v>
      </c>
      <c r="E92" s="733">
        <v>20</v>
      </c>
      <c r="G92" s="648"/>
      <c r="H92" s="651"/>
      <c r="I92" s="650"/>
      <c r="K92" s="649"/>
    </row>
    <row r="93" spans="1:12" s="655" customFormat="1" ht="15.75" customHeight="1" x14ac:dyDescent="0.4">
      <c r="A93" s="654"/>
      <c r="B93" s="716" t="s">
        <v>502</v>
      </c>
      <c r="C93" s="666" t="s">
        <v>1005</v>
      </c>
      <c r="D93" s="666">
        <v>1</v>
      </c>
      <c r="E93" s="733">
        <v>12</v>
      </c>
      <c r="G93" s="648"/>
      <c r="H93" s="651"/>
      <c r="I93" s="650"/>
      <c r="K93" s="649"/>
    </row>
    <row r="94" spans="1:12" s="655" customFormat="1" ht="15.75" customHeight="1" x14ac:dyDescent="0.4">
      <c r="A94" s="654"/>
      <c r="B94" s="716" t="s">
        <v>503</v>
      </c>
      <c r="C94" s="666" t="s">
        <v>1005</v>
      </c>
      <c r="D94" s="666">
        <v>1</v>
      </c>
      <c r="E94" s="733">
        <v>11</v>
      </c>
      <c r="G94" s="648"/>
      <c r="H94" s="651"/>
      <c r="I94" s="650"/>
      <c r="K94" s="649"/>
    </row>
    <row r="95" spans="1:12" s="655" customFormat="1" ht="15.75" customHeight="1" x14ac:dyDescent="0.4">
      <c r="A95" s="654"/>
      <c r="B95" s="716" t="s">
        <v>504</v>
      </c>
      <c r="C95" s="666" t="s">
        <v>1005</v>
      </c>
      <c r="D95" s="666">
        <v>1</v>
      </c>
      <c r="E95" s="733">
        <v>10</v>
      </c>
      <c r="G95" s="648"/>
      <c r="H95" s="651"/>
      <c r="I95" s="650"/>
      <c r="K95" s="649"/>
    </row>
    <row r="96" spans="1:12" s="655" customFormat="1" ht="15.75" customHeight="1" x14ac:dyDescent="0.4">
      <c r="A96" s="654"/>
      <c r="B96" s="716" t="s">
        <v>1040</v>
      </c>
      <c r="C96" s="666" t="s">
        <v>1005</v>
      </c>
      <c r="D96" s="666">
        <v>1</v>
      </c>
      <c r="E96" s="734">
        <v>17</v>
      </c>
      <c r="G96" s="648"/>
      <c r="H96" s="651"/>
      <c r="K96" s="649"/>
    </row>
    <row r="97" spans="1:11" s="655" customFormat="1" ht="15.75" customHeight="1" x14ac:dyDescent="0.4">
      <c r="A97" s="654"/>
      <c r="B97" s="716" t="s">
        <v>506</v>
      </c>
      <c r="C97" s="666" t="s">
        <v>1005</v>
      </c>
      <c r="D97" s="666">
        <v>1</v>
      </c>
      <c r="E97" s="734">
        <v>3</v>
      </c>
      <c r="G97" s="648"/>
      <c r="H97" s="651"/>
      <c r="K97" s="649"/>
    </row>
    <row r="98" spans="1:11" s="655" customFormat="1" ht="15.75" customHeight="1" x14ac:dyDescent="0.4">
      <c r="A98" s="654"/>
      <c r="B98" s="735" t="s">
        <v>1041</v>
      </c>
      <c r="C98" s="736"/>
      <c r="D98" s="666"/>
      <c r="E98" s="737">
        <f>SUM(E99:E101)</f>
        <v>27.5</v>
      </c>
      <c r="G98" s="648"/>
      <c r="H98" s="651"/>
      <c r="K98" s="649"/>
    </row>
    <row r="99" spans="1:11" s="655" customFormat="1" ht="15.75" customHeight="1" x14ac:dyDescent="0.4">
      <c r="A99" s="654"/>
      <c r="B99" s="738" t="s">
        <v>468</v>
      </c>
      <c r="C99" s="666" t="s">
        <v>1005</v>
      </c>
      <c r="D99" s="666">
        <v>1</v>
      </c>
      <c r="E99" s="720">
        <v>12</v>
      </c>
      <c r="G99" s="648"/>
      <c r="H99" s="651"/>
      <c r="K99" s="649"/>
    </row>
    <row r="100" spans="1:11" s="655" customFormat="1" ht="15.75" customHeight="1" x14ac:dyDescent="0.4">
      <c r="A100" s="654"/>
      <c r="B100" s="739" t="s">
        <v>1042</v>
      </c>
      <c r="C100" s="666" t="s">
        <v>1005</v>
      </c>
      <c r="D100" s="666">
        <v>10</v>
      </c>
      <c r="E100" s="740">
        <v>7.5</v>
      </c>
      <c r="G100" s="648"/>
      <c r="H100" s="651"/>
      <c r="K100" s="649"/>
    </row>
    <row r="101" spans="1:11" s="655" customFormat="1" ht="15.75" customHeight="1" x14ac:dyDescent="0.4">
      <c r="A101" s="654"/>
      <c r="B101" s="685" t="s">
        <v>469</v>
      </c>
      <c r="C101" s="666" t="s">
        <v>1005</v>
      </c>
      <c r="D101" s="666">
        <v>1</v>
      </c>
      <c r="E101" s="720">
        <v>8</v>
      </c>
      <c r="G101" s="648"/>
      <c r="H101" s="651"/>
      <c r="K101" s="649"/>
    </row>
    <row r="102" spans="1:11" s="655" customFormat="1" ht="15.75" customHeight="1" x14ac:dyDescent="0.4">
      <c r="A102" s="654"/>
      <c r="B102" s="741" t="s">
        <v>1043</v>
      </c>
      <c r="C102" s="742"/>
      <c r="D102" s="666"/>
      <c r="E102" s="737">
        <f>SUM(E103:E104)</f>
        <v>9</v>
      </c>
      <c r="G102" s="648"/>
      <c r="H102" s="651"/>
      <c r="K102" s="649"/>
    </row>
    <row r="103" spans="1:11" s="655" customFormat="1" ht="15.75" customHeight="1" x14ac:dyDescent="0.4">
      <c r="A103" s="654"/>
      <c r="B103" s="736" t="s">
        <v>482</v>
      </c>
      <c r="C103" s="666" t="s">
        <v>1005</v>
      </c>
      <c r="D103" s="666">
        <v>5</v>
      </c>
      <c r="E103" s="720">
        <v>5</v>
      </c>
      <c r="G103" s="648"/>
      <c r="H103" s="651"/>
      <c r="K103" s="649"/>
    </row>
    <row r="104" spans="1:11" s="655" customFormat="1" ht="15.75" customHeight="1" x14ac:dyDescent="0.4">
      <c r="A104" s="654"/>
      <c r="B104" s="736" t="s">
        <v>480</v>
      </c>
      <c r="C104" s="666" t="s">
        <v>1005</v>
      </c>
      <c r="D104" s="666">
        <v>4</v>
      </c>
      <c r="E104" s="720">
        <v>4</v>
      </c>
      <c r="G104" s="648"/>
      <c r="H104" s="651"/>
      <c r="K104" s="649"/>
    </row>
    <row r="105" spans="1:11" s="655" customFormat="1" ht="17.25" customHeight="1" x14ac:dyDescent="0.4">
      <c r="A105" s="743"/>
      <c r="B105" s="657" t="s">
        <v>1002</v>
      </c>
      <c r="C105" s="658" t="s">
        <v>1003</v>
      </c>
      <c r="D105" s="657"/>
      <c r="E105" s="659">
        <f>E106+E111+E113+E117</f>
        <v>2008</v>
      </c>
      <c r="G105" s="648"/>
      <c r="H105" s="651"/>
      <c r="I105" s="650"/>
      <c r="K105" s="649"/>
    </row>
    <row r="106" spans="1:11" s="655" customFormat="1" ht="17.25" customHeight="1" x14ac:dyDescent="0.4">
      <c r="A106" s="743"/>
      <c r="B106" s="661" t="s">
        <v>1004</v>
      </c>
      <c r="C106" s="658"/>
      <c r="D106" s="657"/>
      <c r="E106" s="659">
        <f>SUM(E107:E110)</f>
        <v>1640</v>
      </c>
      <c r="G106" s="648"/>
      <c r="H106" s="651"/>
      <c r="I106" s="650"/>
      <c r="K106" s="649"/>
    </row>
    <row r="107" spans="1:11" s="655" customFormat="1" ht="17.25" customHeight="1" x14ac:dyDescent="0.4">
      <c r="A107" s="743"/>
      <c r="B107" s="744" t="s">
        <v>251</v>
      </c>
      <c r="C107" s="696" t="s">
        <v>1005</v>
      </c>
      <c r="D107" s="696">
        <v>1</v>
      </c>
      <c r="E107" s="745">
        <f>161+56</f>
        <v>217</v>
      </c>
      <c r="H107" s="746"/>
      <c r="I107" s="747"/>
      <c r="J107" s="748"/>
      <c r="K107" s="649"/>
    </row>
    <row r="108" spans="1:11" s="655" customFormat="1" ht="17.25" customHeight="1" x14ac:dyDescent="0.4">
      <c r="A108" s="743"/>
      <c r="B108" s="749" t="s">
        <v>965</v>
      </c>
      <c r="C108" s="666" t="s">
        <v>1005</v>
      </c>
      <c r="D108" s="666">
        <v>1</v>
      </c>
      <c r="E108" s="750">
        <f>85+77</f>
        <v>162</v>
      </c>
      <c r="G108" s="648"/>
      <c r="H108" s="651"/>
      <c r="I108" s="650"/>
      <c r="K108" s="649"/>
    </row>
    <row r="109" spans="1:11" s="655" customFormat="1" ht="17.25" customHeight="1" x14ac:dyDescent="0.4">
      <c r="A109" s="743"/>
      <c r="B109" s="749" t="s">
        <v>252</v>
      </c>
      <c r="C109" s="666" t="s">
        <v>1005</v>
      </c>
      <c r="D109" s="666">
        <v>1</v>
      </c>
      <c r="E109" s="750">
        <f>161+56</f>
        <v>217</v>
      </c>
      <c r="G109" s="648"/>
      <c r="H109" s="651"/>
      <c r="I109" s="650"/>
      <c r="K109" s="649"/>
    </row>
    <row r="110" spans="1:11" s="655" customFormat="1" ht="17.25" customHeight="1" x14ac:dyDescent="0.4">
      <c r="A110" s="743"/>
      <c r="B110" s="665" t="s">
        <v>253</v>
      </c>
      <c r="C110" s="666" t="s">
        <v>1005</v>
      </c>
      <c r="D110" s="666">
        <v>1</v>
      </c>
      <c r="E110" s="750">
        <f>0+1044</f>
        <v>1044</v>
      </c>
      <c r="G110" s="648"/>
      <c r="H110" s="651"/>
      <c r="I110" s="650"/>
      <c r="K110" s="649"/>
    </row>
    <row r="111" spans="1:11" s="655" customFormat="1" ht="17.25" customHeight="1" x14ac:dyDescent="0.4">
      <c r="A111" s="743"/>
      <c r="B111" s="751" t="s">
        <v>1044</v>
      </c>
      <c r="C111" s="666"/>
      <c r="D111" s="666"/>
      <c r="E111" s="752">
        <f>E112</f>
        <v>6</v>
      </c>
      <c r="G111" s="753"/>
      <c r="H111" s="754"/>
      <c r="K111" s="649"/>
    </row>
    <row r="112" spans="1:11" s="655" customFormat="1" ht="17.25" customHeight="1" x14ac:dyDescent="0.4">
      <c r="A112" s="743"/>
      <c r="B112" s="755" t="s">
        <v>542</v>
      </c>
      <c r="C112" s="666" t="s">
        <v>1005</v>
      </c>
      <c r="D112" s="666">
        <v>1</v>
      </c>
      <c r="E112" s="756">
        <v>6</v>
      </c>
      <c r="G112" s="753"/>
      <c r="H112" s="754"/>
      <c r="K112" s="649"/>
    </row>
    <row r="113" spans="1:15" s="655" customFormat="1" ht="17.25" customHeight="1" x14ac:dyDescent="0.4">
      <c r="A113" s="743"/>
      <c r="B113" s="757" t="s">
        <v>1045</v>
      </c>
      <c r="C113" s="666"/>
      <c r="D113" s="666"/>
      <c r="E113" s="758">
        <f>E114+E115+E116</f>
        <v>312</v>
      </c>
      <c r="G113" s="753"/>
      <c r="H113" s="754"/>
      <c r="K113" s="649"/>
    </row>
    <row r="114" spans="1:15" s="655" customFormat="1" ht="17.25" customHeight="1" x14ac:dyDescent="0.4">
      <c r="A114" s="743"/>
      <c r="B114" s="759" t="s">
        <v>554</v>
      </c>
      <c r="C114" s="666" t="s">
        <v>1005</v>
      </c>
      <c r="D114" s="666">
        <v>1</v>
      </c>
      <c r="E114" s="760">
        <f>160-26</f>
        <v>134</v>
      </c>
      <c r="G114" s="753"/>
      <c r="H114" s="754"/>
      <c r="K114" s="649"/>
    </row>
    <row r="115" spans="1:15" s="655" customFormat="1" ht="17.25" customHeight="1" x14ac:dyDescent="0.4">
      <c r="A115" s="743"/>
      <c r="B115" s="759" t="s">
        <v>555</v>
      </c>
      <c r="C115" s="666" t="s">
        <v>1005</v>
      </c>
      <c r="D115" s="666">
        <v>51</v>
      </c>
      <c r="E115" s="760">
        <f>180-35</f>
        <v>145</v>
      </c>
      <c r="G115" s="753"/>
      <c r="H115" s="754"/>
      <c r="K115" s="649"/>
    </row>
    <row r="116" spans="1:15" s="655" customFormat="1" ht="17.25" customHeight="1" x14ac:dyDescent="0.4">
      <c r="A116" s="743"/>
      <c r="B116" s="759" t="s">
        <v>556</v>
      </c>
      <c r="C116" s="666" t="s">
        <v>1005</v>
      </c>
      <c r="D116" s="666">
        <v>1</v>
      </c>
      <c r="E116" s="760">
        <v>33</v>
      </c>
      <c r="G116" s="753"/>
      <c r="H116" s="754"/>
      <c r="K116" s="649"/>
    </row>
    <row r="117" spans="1:15" s="655" customFormat="1" ht="17.25" customHeight="1" x14ac:dyDescent="0.4">
      <c r="A117" s="743"/>
      <c r="B117" s="757" t="s">
        <v>219</v>
      </c>
      <c r="C117" s="666"/>
      <c r="D117" s="666"/>
      <c r="E117" s="758">
        <f>E118</f>
        <v>50</v>
      </c>
      <c r="G117" s="753"/>
      <c r="H117" s="754"/>
      <c r="K117" s="649"/>
    </row>
    <row r="118" spans="1:15" s="655" customFormat="1" ht="17.25" customHeight="1" x14ac:dyDescent="0.4">
      <c r="A118" s="743"/>
      <c r="B118" s="761" t="s">
        <v>558</v>
      </c>
      <c r="C118" s="666" t="s">
        <v>1005</v>
      </c>
      <c r="D118" s="666">
        <v>1</v>
      </c>
      <c r="E118" s="760">
        <v>50</v>
      </c>
      <c r="G118" s="753"/>
      <c r="H118" s="754"/>
      <c r="K118" s="649"/>
    </row>
    <row r="119" spans="1:15" s="655" customFormat="1" ht="17.25" customHeight="1" x14ac:dyDescent="0.4">
      <c r="A119" s="743"/>
      <c r="B119" s="657" t="s">
        <v>1046</v>
      </c>
      <c r="C119" s="762" t="s">
        <v>1047</v>
      </c>
      <c r="D119" s="657"/>
      <c r="E119" s="659">
        <f>E120</f>
        <v>420</v>
      </c>
      <c r="G119" s="731"/>
      <c r="H119" s="651"/>
      <c r="O119" s="649"/>
    </row>
    <row r="120" spans="1:15" s="655" customFormat="1" ht="17.25" customHeight="1" x14ac:dyDescent="0.4">
      <c r="A120" s="743"/>
      <c r="B120" s="763" t="s">
        <v>563</v>
      </c>
      <c r="C120" s="666" t="s">
        <v>1005</v>
      </c>
      <c r="D120" s="680">
        <v>2</v>
      </c>
      <c r="E120" s="764">
        <v>420</v>
      </c>
      <c r="G120" s="731"/>
      <c r="H120" s="651"/>
      <c r="O120" s="649"/>
    </row>
    <row r="121" spans="1:15" s="655" customFormat="1" ht="36" customHeight="1" x14ac:dyDescent="0.4">
      <c r="A121" s="976" t="s">
        <v>1048</v>
      </c>
      <c r="B121" s="977"/>
      <c r="C121" s="977"/>
      <c r="D121" s="765"/>
      <c r="E121" s="766">
        <f>E143+E217+E122+E151+E140+E138</f>
        <v>10900.8</v>
      </c>
      <c r="G121" s="648"/>
      <c r="H121" s="651"/>
      <c r="L121" s="649"/>
    </row>
    <row r="122" spans="1:15" s="655" customFormat="1" ht="15.75" customHeight="1" x14ac:dyDescent="0.4">
      <c r="A122" s="767"/>
      <c r="B122" s="657" t="s">
        <v>1007</v>
      </c>
      <c r="C122" s="658" t="s">
        <v>1008</v>
      </c>
      <c r="D122" s="657"/>
      <c r="E122" s="659">
        <f>SUM(E123:E137)</f>
        <v>2487</v>
      </c>
      <c r="G122" s="648"/>
      <c r="H122" s="651"/>
      <c r="L122" s="649"/>
    </row>
    <row r="123" spans="1:15" s="655" customFormat="1" x14ac:dyDescent="0.4">
      <c r="A123" s="767"/>
      <c r="B123" s="684" t="s">
        <v>1049</v>
      </c>
      <c r="C123" s="666" t="s">
        <v>1005</v>
      </c>
      <c r="D123" s="666">
        <v>1</v>
      </c>
      <c r="E123" s="768">
        <v>476</v>
      </c>
      <c r="G123" s="648"/>
      <c r="H123" s="651"/>
      <c r="L123" s="649"/>
    </row>
    <row r="124" spans="1:15" s="655" customFormat="1" ht="28.3" x14ac:dyDescent="0.4">
      <c r="A124" s="767"/>
      <c r="B124" s="684" t="s">
        <v>1050</v>
      </c>
      <c r="C124" s="666" t="s">
        <v>1005</v>
      </c>
      <c r="D124" s="666">
        <v>1</v>
      </c>
      <c r="E124" s="769">
        <v>30</v>
      </c>
      <c r="G124" s="648"/>
      <c r="H124" s="651"/>
      <c r="L124" s="649"/>
    </row>
    <row r="125" spans="1:15" s="655" customFormat="1" ht="56.6" x14ac:dyDescent="0.4">
      <c r="A125" s="767"/>
      <c r="B125" s="684" t="s">
        <v>1051</v>
      </c>
      <c r="C125" s="666" t="s">
        <v>1005</v>
      </c>
      <c r="D125" s="666">
        <v>1</v>
      </c>
      <c r="E125" s="769">
        <f>166+2</f>
        <v>168</v>
      </c>
      <c r="G125" s="648"/>
      <c r="H125" s="651"/>
      <c r="L125" s="649"/>
    </row>
    <row r="126" spans="1:15" s="655" customFormat="1" ht="30" customHeight="1" x14ac:dyDescent="0.4">
      <c r="A126" s="767"/>
      <c r="B126" s="684" t="s">
        <v>1052</v>
      </c>
      <c r="C126" s="666" t="s">
        <v>1005</v>
      </c>
      <c r="D126" s="666">
        <v>1</v>
      </c>
      <c r="E126" s="769">
        <v>100</v>
      </c>
      <c r="G126" s="648"/>
      <c r="H126" s="651"/>
      <c r="L126" s="649"/>
    </row>
    <row r="127" spans="1:15" s="655" customFormat="1" ht="28.75" x14ac:dyDescent="0.4">
      <c r="A127" s="767"/>
      <c r="B127" s="770" t="s">
        <v>1053</v>
      </c>
      <c r="C127" s="666" t="s">
        <v>1005</v>
      </c>
      <c r="D127" s="666">
        <v>1</v>
      </c>
      <c r="E127" s="769">
        <v>149</v>
      </c>
      <c r="G127" s="648"/>
      <c r="H127" s="651"/>
      <c r="L127" s="649"/>
    </row>
    <row r="128" spans="1:15" s="655" customFormat="1" ht="42.45" x14ac:dyDescent="0.4">
      <c r="A128" s="767"/>
      <c r="B128" s="771" t="s">
        <v>1054</v>
      </c>
      <c r="C128" s="666" t="s">
        <v>1005</v>
      </c>
      <c r="D128" s="666">
        <v>1</v>
      </c>
      <c r="E128" s="769">
        <v>58</v>
      </c>
      <c r="G128" s="648"/>
      <c r="H128" s="651"/>
      <c r="L128" s="649"/>
    </row>
    <row r="129" spans="1:12" s="655" customFormat="1" ht="28.75" x14ac:dyDescent="0.4">
      <c r="A129" s="767"/>
      <c r="B129" s="770" t="s">
        <v>1055</v>
      </c>
      <c r="C129" s="666" t="s">
        <v>1005</v>
      </c>
      <c r="D129" s="666">
        <v>1</v>
      </c>
      <c r="E129" s="769">
        <v>138</v>
      </c>
      <c r="G129" s="648"/>
      <c r="H129" s="651"/>
      <c r="L129" s="649"/>
    </row>
    <row r="130" spans="1:12" s="655" customFormat="1" ht="42.9" x14ac:dyDescent="0.4">
      <c r="A130" s="767"/>
      <c r="B130" s="770" t="s">
        <v>1056</v>
      </c>
      <c r="C130" s="666" t="s">
        <v>1005</v>
      </c>
      <c r="D130" s="666">
        <v>1</v>
      </c>
      <c r="E130" s="769">
        <v>153</v>
      </c>
      <c r="G130" s="648"/>
      <c r="H130" s="651"/>
      <c r="L130" s="649"/>
    </row>
    <row r="131" spans="1:12" s="655" customFormat="1" ht="28.75" x14ac:dyDescent="0.4">
      <c r="A131" s="767"/>
      <c r="B131" s="770" t="s">
        <v>1057</v>
      </c>
      <c r="C131" s="666" t="s">
        <v>1005</v>
      </c>
      <c r="D131" s="666">
        <v>1</v>
      </c>
      <c r="E131" s="769">
        <v>58</v>
      </c>
      <c r="G131" s="648"/>
      <c r="H131" s="651"/>
      <c r="L131" s="649"/>
    </row>
    <row r="132" spans="1:12" s="655" customFormat="1" ht="42.9" x14ac:dyDescent="0.4">
      <c r="A132" s="767"/>
      <c r="B132" s="770" t="s">
        <v>1058</v>
      </c>
      <c r="C132" s="666" t="s">
        <v>1005</v>
      </c>
      <c r="D132" s="666">
        <v>1</v>
      </c>
      <c r="E132" s="769">
        <v>58</v>
      </c>
      <c r="G132" s="648"/>
      <c r="H132" s="651"/>
      <c r="L132" s="649"/>
    </row>
    <row r="133" spans="1:12" s="655" customFormat="1" ht="30.9" x14ac:dyDescent="0.4">
      <c r="A133" s="767"/>
      <c r="B133" s="702" t="s">
        <v>1059</v>
      </c>
      <c r="C133" s="666" t="s">
        <v>1005</v>
      </c>
      <c r="D133" s="666">
        <v>1</v>
      </c>
      <c r="E133" s="769">
        <v>320</v>
      </c>
      <c r="G133" s="648"/>
      <c r="H133" s="651"/>
      <c r="L133" s="649"/>
    </row>
    <row r="134" spans="1:12" s="655" customFormat="1" ht="46.3" x14ac:dyDescent="0.4">
      <c r="A134" s="767"/>
      <c r="B134" s="703" t="s">
        <v>1060</v>
      </c>
      <c r="C134" s="666" t="s">
        <v>1005</v>
      </c>
      <c r="D134" s="666">
        <v>1</v>
      </c>
      <c r="E134" s="769">
        <v>280</v>
      </c>
      <c r="G134" s="648"/>
      <c r="H134" s="651"/>
      <c r="L134" s="649"/>
    </row>
    <row r="135" spans="1:12" s="655" customFormat="1" ht="30.9" x14ac:dyDescent="0.4">
      <c r="A135" s="767"/>
      <c r="B135" s="772" t="s">
        <v>1061</v>
      </c>
      <c r="C135" s="666" t="s">
        <v>1005</v>
      </c>
      <c r="D135" s="666">
        <v>1</v>
      </c>
      <c r="E135" s="769">
        <v>179</v>
      </c>
      <c r="G135" s="648"/>
      <c r="H135" s="651"/>
      <c r="L135" s="649"/>
    </row>
    <row r="136" spans="1:12" s="655" customFormat="1" ht="46.3" x14ac:dyDescent="0.4">
      <c r="A136" s="767"/>
      <c r="B136" s="739" t="s">
        <v>1062</v>
      </c>
      <c r="C136" s="666" t="s">
        <v>1005</v>
      </c>
      <c r="D136" s="666">
        <v>1</v>
      </c>
      <c r="E136" s="769">
        <v>104</v>
      </c>
      <c r="G136" s="648"/>
      <c r="H136" s="651"/>
      <c r="L136" s="649"/>
    </row>
    <row r="137" spans="1:12" s="655" customFormat="1" ht="85.3" x14ac:dyDescent="0.4">
      <c r="A137" s="767"/>
      <c r="B137" s="691" t="s">
        <v>1063</v>
      </c>
      <c r="C137" s="666" t="s">
        <v>1005</v>
      </c>
      <c r="D137" s="666">
        <v>1</v>
      </c>
      <c r="E137" s="769">
        <v>216</v>
      </c>
      <c r="G137" s="648"/>
      <c r="H137" s="651"/>
      <c r="L137" s="649"/>
    </row>
    <row r="138" spans="1:12" s="655" customFormat="1" x14ac:dyDescent="0.4">
      <c r="A138" s="767"/>
      <c r="B138" s="699" t="s">
        <v>852</v>
      </c>
      <c r="C138" s="700" t="s">
        <v>1013</v>
      </c>
      <c r="D138" s="666"/>
      <c r="E138" s="773">
        <f>E139</f>
        <v>10</v>
      </c>
      <c r="G138" s="648"/>
      <c r="H138" s="651"/>
      <c r="L138" s="649"/>
    </row>
    <row r="139" spans="1:12" s="655" customFormat="1" ht="30.9" x14ac:dyDescent="0.4">
      <c r="A139" s="767"/>
      <c r="B139" s="703" t="s">
        <v>598</v>
      </c>
      <c r="C139" s="666" t="s">
        <v>1005</v>
      </c>
      <c r="D139" s="666">
        <v>1</v>
      </c>
      <c r="E139" s="769">
        <v>10</v>
      </c>
      <c r="G139" s="648"/>
      <c r="H139" s="651"/>
      <c r="L139" s="649"/>
    </row>
    <row r="140" spans="1:12" s="655" customFormat="1" x14ac:dyDescent="0.4">
      <c r="A140" s="767"/>
      <c r="B140" s="774" t="s">
        <v>1064</v>
      </c>
      <c r="C140" s="658" t="s">
        <v>1065</v>
      </c>
      <c r="D140" s="657"/>
      <c r="E140" s="775">
        <f>E141</f>
        <v>20</v>
      </c>
      <c r="G140" s="648"/>
      <c r="H140" s="651"/>
      <c r="L140" s="649"/>
    </row>
    <row r="141" spans="1:12" s="655" customFormat="1" x14ac:dyDescent="0.4">
      <c r="A141" s="767"/>
      <c r="B141" s="699" t="s">
        <v>601</v>
      </c>
      <c r="C141" s="742"/>
      <c r="D141" s="666"/>
      <c r="E141" s="769">
        <f>E142</f>
        <v>20</v>
      </c>
      <c r="G141" s="648"/>
      <c r="H141" s="651"/>
      <c r="L141" s="649"/>
    </row>
    <row r="142" spans="1:12" s="655" customFormat="1" x14ac:dyDescent="0.4">
      <c r="A142" s="767"/>
      <c r="B142" s="716" t="s">
        <v>1066</v>
      </c>
      <c r="C142" s="666" t="s">
        <v>1005</v>
      </c>
      <c r="D142" s="666">
        <v>1</v>
      </c>
      <c r="E142" s="769">
        <v>20</v>
      </c>
      <c r="G142" s="648"/>
      <c r="H142" s="651"/>
      <c r="L142" s="649"/>
    </row>
    <row r="143" spans="1:12" s="655" customFormat="1" ht="15" customHeight="1" x14ac:dyDescent="0.4">
      <c r="A143" s="767"/>
      <c r="B143" s="774" t="s">
        <v>1029</v>
      </c>
      <c r="C143" s="658" t="s">
        <v>1030</v>
      </c>
      <c r="D143" s="657"/>
      <c r="E143" s="775">
        <f>E149+E144+E146</f>
        <v>460</v>
      </c>
      <c r="G143" s="648"/>
      <c r="H143" s="651"/>
      <c r="L143" s="649"/>
    </row>
    <row r="144" spans="1:12" s="655" customFormat="1" ht="15" customHeight="1" x14ac:dyDescent="0.4">
      <c r="A144" s="767"/>
      <c r="B144" s="776" t="s">
        <v>1041</v>
      </c>
      <c r="C144" s="662"/>
      <c r="D144" s="663"/>
      <c r="E144" s="777">
        <f>E145</f>
        <v>157</v>
      </c>
      <c r="G144" s="648"/>
      <c r="H144" s="651"/>
      <c r="L144" s="649"/>
    </row>
    <row r="145" spans="1:12" s="655" customFormat="1" ht="31.5" customHeight="1" x14ac:dyDescent="0.4">
      <c r="A145" s="767"/>
      <c r="B145" s="778" t="s">
        <v>1067</v>
      </c>
      <c r="C145" s="666" t="s">
        <v>1005</v>
      </c>
      <c r="D145" s="666">
        <v>1</v>
      </c>
      <c r="E145" s="760">
        <v>157</v>
      </c>
      <c r="G145" s="648"/>
      <c r="H145" s="651"/>
      <c r="L145" s="649"/>
    </row>
    <row r="146" spans="1:12" s="655" customFormat="1" x14ac:dyDescent="0.4">
      <c r="A146" s="767"/>
      <c r="B146" s="725" t="s">
        <v>1043</v>
      </c>
      <c r="C146" s="666"/>
      <c r="D146" s="666"/>
      <c r="E146" s="758">
        <f>E147+E148</f>
        <v>168</v>
      </c>
      <c r="G146" s="648"/>
      <c r="H146" s="651"/>
      <c r="L146" s="649"/>
    </row>
    <row r="147" spans="1:12" s="655" customFormat="1" x14ac:dyDescent="0.4">
      <c r="A147" s="767"/>
      <c r="B147" s="716" t="s">
        <v>1068</v>
      </c>
      <c r="C147" s="666" t="s">
        <v>1005</v>
      </c>
      <c r="D147" s="666">
        <v>1</v>
      </c>
      <c r="E147" s="760">
        <v>68</v>
      </c>
      <c r="G147" s="648"/>
      <c r="H147" s="651"/>
      <c r="L147" s="649"/>
    </row>
    <row r="148" spans="1:12" s="655" customFormat="1" x14ac:dyDescent="0.4">
      <c r="A148" s="767"/>
      <c r="B148" s="716" t="s">
        <v>697</v>
      </c>
      <c r="C148" s="666" t="s">
        <v>1005</v>
      </c>
      <c r="D148" s="666">
        <v>1</v>
      </c>
      <c r="E148" s="760">
        <v>100</v>
      </c>
      <c r="G148" s="648"/>
      <c r="H148" s="651"/>
      <c r="L148" s="649"/>
    </row>
    <row r="149" spans="1:12" s="655" customFormat="1" ht="15.75" customHeight="1" x14ac:dyDescent="0.4">
      <c r="A149" s="767"/>
      <c r="B149" s="726" t="s">
        <v>1069</v>
      </c>
      <c r="C149" s="666" t="s">
        <v>1005</v>
      </c>
      <c r="D149" s="666">
        <v>1</v>
      </c>
      <c r="E149" s="779">
        <f>SUM(E150:E150)</f>
        <v>135</v>
      </c>
      <c r="G149" s="648"/>
      <c r="H149" s="651"/>
      <c r="L149" s="649"/>
    </row>
    <row r="150" spans="1:12" s="655" customFormat="1" ht="31.5" customHeight="1" x14ac:dyDescent="0.4">
      <c r="A150" s="767"/>
      <c r="B150" s="780" t="s">
        <v>1070</v>
      </c>
      <c r="C150" s="666" t="s">
        <v>1005</v>
      </c>
      <c r="D150" s="666">
        <v>1</v>
      </c>
      <c r="E150" s="769">
        <v>135</v>
      </c>
      <c r="G150" s="648"/>
      <c r="H150" s="651"/>
      <c r="L150" s="649"/>
    </row>
    <row r="151" spans="1:12" s="655" customFormat="1" ht="15.75" customHeight="1" x14ac:dyDescent="0.4">
      <c r="A151" s="767"/>
      <c r="B151" s="657" t="s">
        <v>1002</v>
      </c>
      <c r="C151" s="658" t="s">
        <v>1003</v>
      </c>
      <c r="D151" s="657"/>
      <c r="E151" s="775">
        <f>E152+E157+E197+E199+E214</f>
        <v>1451.8</v>
      </c>
      <c r="G151" s="648"/>
      <c r="H151" s="651"/>
      <c r="L151" s="649"/>
    </row>
    <row r="152" spans="1:12" s="655" customFormat="1" ht="15.75" customHeight="1" x14ac:dyDescent="0.4">
      <c r="A152" s="767"/>
      <c r="B152" s="661" t="s">
        <v>1004</v>
      </c>
      <c r="C152" s="662"/>
      <c r="D152" s="663"/>
      <c r="E152" s="779">
        <f>SUM(E153:E156)</f>
        <v>614.79999999999995</v>
      </c>
      <c r="G152" s="648"/>
      <c r="H152" s="651"/>
      <c r="L152" s="649"/>
    </row>
    <row r="153" spans="1:12" s="655" customFormat="1" ht="15.75" customHeight="1" x14ac:dyDescent="0.4">
      <c r="A153" s="767"/>
      <c r="B153" s="744" t="s">
        <v>251</v>
      </c>
      <c r="C153" s="666" t="s">
        <v>1005</v>
      </c>
      <c r="D153" s="666">
        <v>1</v>
      </c>
      <c r="E153" s="769">
        <v>93.8</v>
      </c>
      <c r="G153" s="648"/>
      <c r="H153" s="651"/>
      <c r="L153" s="649"/>
    </row>
    <row r="154" spans="1:12" s="655" customFormat="1" ht="15.75" customHeight="1" x14ac:dyDescent="0.4">
      <c r="A154" s="767"/>
      <c r="B154" s="749" t="s">
        <v>965</v>
      </c>
      <c r="C154" s="666" t="s">
        <v>1005</v>
      </c>
      <c r="D154" s="666">
        <v>1</v>
      </c>
      <c r="E154" s="769">
        <v>52</v>
      </c>
      <c r="G154" s="648"/>
      <c r="H154" s="651"/>
      <c r="L154" s="649"/>
    </row>
    <row r="155" spans="1:12" s="655" customFormat="1" ht="15.75" customHeight="1" x14ac:dyDescent="0.4">
      <c r="A155" s="767"/>
      <c r="B155" s="749" t="s">
        <v>252</v>
      </c>
      <c r="C155" s="666" t="s">
        <v>1005</v>
      </c>
      <c r="D155" s="666">
        <v>1</v>
      </c>
      <c r="E155" s="769">
        <v>94</v>
      </c>
      <c r="G155" s="648"/>
      <c r="H155" s="651"/>
      <c r="L155" s="649"/>
    </row>
    <row r="156" spans="1:12" s="655" customFormat="1" ht="15.75" customHeight="1" x14ac:dyDescent="0.4">
      <c r="A156" s="767"/>
      <c r="B156" s="749" t="s">
        <v>253</v>
      </c>
      <c r="C156" s="666" t="s">
        <v>1005</v>
      </c>
      <c r="D156" s="666">
        <v>1</v>
      </c>
      <c r="E156" s="769">
        <v>375</v>
      </c>
      <c r="G156" s="648"/>
      <c r="H156" s="651"/>
      <c r="L156" s="649"/>
    </row>
    <row r="157" spans="1:12" s="655" customFormat="1" ht="15.75" customHeight="1" x14ac:dyDescent="0.4">
      <c r="A157" s="767"/>
      <c r="B157" s="663" t="s">
        <v>217</v>
      </c>
      <c r="C157" s="666"/>
      <c r="D157" s="666"/>
      <c r="E157" s="779">
        <f>SUM(E158:E196)</f>
        <v>554</v>
      </c>
      <c r="G157" s="648"/>
      <c r="H157" s="651"/>
      <c r="L157" s="649"/>
    </row>
    <row r="158" spans="1:12" s="655" customFormat="1" ht="30" customHeight="1" x14ac:dyDescent="0.4">
      <c r="A158" s="767"/>
      <c r="B158" s="781" t="s">
        <v>1071</v>
      </c>
      <c r="C158" s="666" t="s">
        <v>1005</v>
      </c>
      <c r="D158" s="666">
        <v>1</v>
      </c>
      <c r="E158" s="782">
        <v>3</v>
      </c>
      <c r="G158" s="648"/>
      <c r="H158" s="651"/>
      <c r="L158" s="649"/>
    </row>
    <row r="159" spans="1:12" s="655" customFormat="1" ht="17.25" customHeight="1" x14ac:dyDescent="0.4">
      <c r="A159" s="767"/>
      <c r="B159" s="783" t="s">
        <v>1072</v>
      </c>
      <c r="C159" s="666" t="s">
        <v>1005</v>
      </c>
      <c r="D159" s="666">
        <v>1</v>
      </c>
      <c r="E159" s="782">
        <v>1</v>
      </c>
      <c r="G159" s="648"/>
      <c r="H159" s="651"/>
      <c r="L159" s="649"/>
    </row>
    <row r="160" spans="1:12" s="655" customFormat="1" ht="18" customHeight="1" x14ac:dyDescent="0.4">
      <c r="A160" s="767"/>
      <c r="B160" s="716" t="s">
        <v>1073</v>
      </c>
      <c r="C160" s="666" t="s">
        <v>1005</v>
      </c>
      <c r="D160" s="666">
        <v>1</v>
      </c>
      <c r="E160" s="782">
        <v>3</v>
      </c>
      <c r="G160" s="964"/>
      <c r="H160" s="964"/>
      <c r="I160" s="964"/>
      <c r="L160" s="649"/>
    </row>
    <row r="161" spans="1:12" s="655" customFormat="1" ht="16.5" customHeight="1" x14ac:dyDescent="0.4">
      <c r="A161" s="767"/>
      <c r="B161" s="784" t="s">
        <v>1074</v>
      </c>
      <c r="C161" s="666" t="s">
        <v>1005</v>
      </c>
      <c r="D161" s="666">
        <v>1</v>
      </c>
      <c r="E161" s="782">
        <v>2</v>
      </c>
      <c r="G161" s="965"/>
      <c r="H161" s="965"/>
      <c r="I161" s="965"/>
      <c r="L161" s="649"/>
    </row>
    <row r="162" spans="1:12" s="655" customFormat="1" x14ac:dyDescent="0.4">
      <c r="A162" s="767"/>
      <c r="B162" s="716" t="s">
        <v>1075</v>
      </c>
      <c r="C162" s="666" t="s">
        <v>1005</v>
      </c>
      <c r="D162" s="666">
        <v>1</v>
      </c>
      <c r="E162" s="782">
        <v>35</v>
      </c>
      <c r="G162" s="785"/>
      <c r="H162" s="785"/>
      <c r="I162" s="785"/>
      <c r="L162" s="649"/>
    </row>
    <row r="163" spans="1:12" s="655" customFormat="1" x14ac:dyDescent="0.4">
      <c r="A163" s="767"/>
      <c r="B163" s="347" t="s">
        <v>1072</v>
      </c>
      <c r="C163" s="666" t="s">
        <v>1005</v>
      </c>
      <c r="D163" s="666">
        <v>1</v>
      </c>
      <c r="E163" s="782">
        <v>1</v>
      </c>
      <c r="G163" s="785"/>
      <c r="H163" s="785"/>
      <c r="I163" s="785"/>
      <c r="L163" s="649"/>
    </row>
    <row r="164" spans="1:12" s="655" customFormat="1" x14ac:dyDescent="0.4">
      <c r="A164" s="767"/>
      <c r="B164" s="347" t="s">
        <v>1073</v>
      </c>
      <c r="C164" s="666" t="s">
        <v>1005</v>
      </c>
      <c r="D164" s="666">
        <v>1</v>
      </c>
      <c r="E164" s="782">
        <v>3</v>
      </c>
      <c r="G164" s="785"/>
      <c r="H164" s="785"/>
      <c r="I164" s="785"/>
      <c r="L164" s="649"/>
    </row>
    <row r="165" spans="1:12" s="655" customFormat="1" x14ac:dyDescent="0.4">
      <c r="A165" s="767"/>
      <c r="B165" s="786" t="s">
        <v>1074</v>
      </c>
      <c r="C165" s="666" t="s">
        <v>1005</v>
      </c>
      <c r="D165" s="666">
        <v>1</v>
      </c>
      <c r="E165" s="782">
        <v>2</v>
      </c>
      <c r="G165" s="785"/>
      <c r="H165" s="785"/>
      <c r="I165" s="785"/>
      <c r="L165" s="649"/>
    </row>
    <row r="166" spans="1:12" s="655" customFormat="1" x14ac:dyDescent="0.4">
      <c r="A166" s="767"/>
      <c r="B166" s="347" t="s">
        <v>1075</v>
      </c>
      <c r="C166" s="666" t="s">
        <v>1005</v>
      </c>
      <c r="D166" s="666">
        <v>1</v>
      </c>
      <c r="E166" s="782">
        <v>35</v>
      </c>
      <c r="G166" s="785"/>
      <c r="H166" s="785"/>
      <c r="I166" s="785"/>
      <c r="L166" s="649"/>
    </row>
    <row r="167" spans="1:12" s="655" customFormat="1" x14ac:dyDescent="0.4">
      <c r="A167" s="767"/>
      <c r="B167" s="347" t="s">
        <v>1072</v>
      </c>
      <c r="C167" s="666" t="s">
        <v>1005</v>
      </c>
      <c r="D167" s="666">
        <v>1</v>
      </c>
      <c r="E167" s="782">
        <v>3</v>
      </c>
      <c r="G167" s="785"/>
      <c r="H167" s="785"/>
      <c r="I167" s="785"/>
      <c r="L167" s="649"/>
    </row>
    <row r="168" spans="1:12" s="655" customFormat="1" x14ac:dyDescent="0.4">
      <c r="A168" s="767"/>
      <c r="B168" s="347" t="s">
        <v>1073</v>
      </c>
      <c r="C168" s="666" t="s">
        <v>1005</v>
      </c>
      <c r="D168" s="666">
        <v>1</v>
      </c>
      <c r="E168" s="782">
        <v>6</v>
      </c>
      <c r="G168" s="785"/>
      <c r="H168" s="785"/>
      <c r="I168" s="785"/>
      <c r="L168" s="649"/>
    </row>
    <row r="169" spans="1:12" s="655" customFormat="1" x14ac:dyDescent="0.4">
      <c r="A169" s="767"/>
      <c r="B169" s="787" t="s">
        <v>1074</v>
      </c>
      <c r="C169" s="666" t="s">
        <v>1005</v>
      </c>
      <c r="D169" s="666">
        <v>1</v>
      </c>
      <c r="E169" s="782">
        <v>4</v>
      </c>
      <c r="G169" s="785"/>
      <c r="H169" s="785"/>
      <c r="I169" s="785"/>
      <c r="L169" s="649"/>
    </row>
    <row r="170" spans="1:12" s="655" customFormat="1" x14ac:dyDescent="0.4">
      <c r="A170" s="767"/>
      <c r="B170" s="727" t="s">
        <v>1075</v>
      </c>
      <c r="C170" s="666" t="s">
        <v>1005</v>
      </c>
      <c r="D170" s="666">
        <v>1</v>
      </c>
      <c r="E170" s="782">
        <v>140</v>
      </c>
      <c r="G170" s="785"/>
      <c r="H170" s="785"/>
      <c r="I170" s="785"/>
      <c r="L170" s="649"/>
    </row>
    <row r="171" spans="1:12" s="655" customFormat="1" ht="30.9" x14ac:dyDescent="0.4">
      <c r="A171" s="767"/>
      <c r="B171" s="788" t="s">
        <v>778</v>
      </c>
      <c r="C171" s="666" t="s">
        <v>1005</v>
      </c>
      <c r="D171" s="666">
        <v>1</v>
      </c>
      <c r="E171" s="782">
        <v>65</v>
      </c>
      <c r="G171" s="785"/>
      <c r="H171" s="785"/>
      <c r="I171" s="785"/>
      <c r="L171" s="649"/>
    </row>
    <row r="172" spans="1:12" s="655" customFormat="1" x14ac:dyDescent="0.4">
      <c r="A172" s="767"/>
      <c r="B172" s="788" t="s">
        <v>1076</v>
      </c>
      <c r="C172" s="666" t="s">
        <v>1005</v>
      </c>
      <c r="D172" s="666">
        <v>1</v>
      </c>
      <c r="E172" s="789">
        <v>2.5</v>
      </c>
      <c r="G172" s="785"/>
      <c r="H172" s="785"/>
      <c r="I172" s="785"/>
      <c r="L172" s="649"/>
    </row>
    <row r="173" spans="1:12" s="655" customFormat="1" x14ac:dyDescent="0.4">
      <c r="A173" s="767"/>
      <c r="B173" s="727" t="s">
        <v>1072</v>
      </c>
      <c r="C173" s="666" t="s">
        <v>1005</v>
      </c>
      <c r="D173" s="666">
        <v>1</v>
      </c>
      <c r="E173" s="782">
        <v>1</v>
      </c>
      <c r="G173" s="785"/>
      <c r="H173" s="785"/>
      <c r="I173" s="785"/>
      <c r="L173" s="649"/>
    </row>
    <row r="174" spans="1:12" s="655" customFormat="1" ht="30.9" x14ac:dyDescent="0.4">
      <c r="A174" s="767"/>
      <c r="B174" s="703" t="s">
        <v>1077</v>
      </c>
      <c r="C174" s="666" t="s">
        <v>1005</v>
      </c>
      <c r="D174" s="666">
        <v>1</v>
      </c>
      <c r="E174" s="782">
        <v>2</v>
      </c>
      <c r="G174" s="785"/>
      <c r="H174" s="785"/>
      <c r="I174" s="785"/>
      <c r="L174" s="649"/>
    </row>
    <row r="175" spans="1:12" s="655" customFormat="1" x14ac:dyDescent="0.4">
      <c r="A175" s="767"/>
      <c r="B175" s="790" t="s">
        <v>775</v>
      </c>
      <c r="C175" s="666" t="s">
        <v>1005</v>
      </c>
      <c r="D175" s="666">
        <v>1</v>
      </c>
      <c r="E175" s="782">
        <v>2</v>
      </c>
      <c r="G175" s="785"/>
      <c r="H175" s="785"/>
      <c r="I175" s="785"/>
      <c r="L175" s="649"/>
    </row>
    <row r="176" spans="1:12" s="655" customFormat="1" x14ac:dyDescent="0.4">
      <c r="A176" s="767"/>
      <c r="B176" s="563" t="s">
        <v>1078</v>
      </c>
      <c r="C176" s="666" t="s">
        <v>1005</v>
      </c>
      <c r="D176" s="666">
        <v>1</v>
      </c>
      <c r="E176" s="782">
        <v>2</v>
      </c>
      <c r="G176" s="785"/>
      <c r="H176" s="785"/>
      <c r="I176" s="785"/>
      <c r="L176" s="649"/>
    </row>
    <row r="177" spans="1:12" s="655" customFormat="1" x14ac:dyDescent="0.4">
      <c r="A177" s="767"/>
      <c r="B177" s="567" t="s">
        <v>1079</v>
      </c>
      <c r="C177" s="666" t="s">
        <v>1005</v>
      </c>
      <c r="D177" s="666">
        <v>1</v>
      </c>
      <c r="E177" s="782">
        <v>4</v>
      </c>
      <c r="G177" s="785"/>
      <c r="H177" s="785"/>
      <c r="I177" s="785"/>
      <c r="L177" s="649"/>
    </row>
    <row r="178" spans="1:12" s="655" customFormat="1" ht="28.3" x14ac:dyDescent="0.4">
      <c r="A178" s="767"/>
      <c r="B178" s="786" t="s">
        <v>1080</v>
      </c>
      <c r="C178" s="666" t="s">
        <v>1005</v>
      </c>
      <c r="D178" s="666">
        <v>1</v>
      </c>
      <c r="E178" s="782">
        <v>77</v>
      </c>
      <c r="G178" s="785"/>
      <c r="H178" s="785"/>
      <c r="I178" s="785"/>
      <c r="L178" s="649"/>
    </row>
    <row r="179" spans="1:12" s="655" customFormat="1" x14ac:dyDescent="0.4">
      <c r="A179" s="767"/>
      <c r="B179" s="347" t="s">
        <v>1081</v>
      </c>
      <c r="C179" s="666" t="s">
        <v>1005</v>
      </c>
      <c r="D179" s="666">
        <v>1</v>
      </c>
      <c r="E179" s="782">
        <v>3</v>
      </c>
      <c r="G179" s="785"/>
      <c r="H179" s="785"/>
      <c r="I179" s="785"/>
      <c r="L179" s="649"/>
    </row>
    <row r="180" spans="1:12" s="655" customFormat="1" x14ac:dyDescent="0.4">
      <c r="A180" s="767"/>
      <c r="B180" s="791" t="s">
        <v>776</v>
      </c>
      <c r="C180" s="666" t="s">
        <v>1005</v>
      </c>
      <c r="D180" s="666">
        <v>1</v>
      </c>
      <c r="E180" s="782">
        <v>3</v>
      </c>
      <c r="G180" s="785"/>
      <c r="H180" s="785"/>
      <c r="I180" s="785"/>
      <c r="L180" s="649"/>
    </row>
    <row r="181" spans="1:12" s="655" customFormat="1" x14ac:dyDescent="0.4">
      <c r="A181" s="767"/>
      <c r="B181" s="792" t="s">
        <v>1082</v>
      </c>
      <c r="C181" s="666" t="s">
        <v>1005</v>
      </c>
      <c r="D181" s="666">
        <v>1</v>
      </c>
      <c r="E181" s="782">
        <v>3</v>
      </c>
      <c r="G181" s="785"/>
      <c r="H181" s="785"/>
      <c r="I181" s="785"/>
      <c r="L181" s="649"/>
    </row>
    <row r="182" spans="1:12" s="655" customFormat="1" x14ac:dyDescent="0.4">
      <c r="A182" s="767"/>
      <c r="B182" s="793" t="s">
        <v>1083</v>
      </c>
      <c r="C182" s="666" t="s">
        <v>1005</v>
      </c>
      <c r="D182" s="666">
        <v>1</v>
      </c>
      <c r="E182" s="782">
        <v>42</v>
      </c>
      <c r="G182" s="785"/>
      <c r="H182" s="785"/>
      <c r="I182" s="785"/>
      <c r="L182" s="649"/>
    </row>
    <row r="183" spans="1:12" s="655" customFormat="1" x14ac:dyDescent="0.4">
      <c r="A183" s="767"/>
      <c r="B183" s="793" t="s">
        <v>1084</v>
      </c>
      <c r="C183" s="666" t="s">
        <v>1005</v>
      </c>
      <c r="D183" s="666">
        <v>1</v>
      </c>
      <c r="E183" s="782">
        <v>3</v>
      </c>
      <c r="G183" s="785"/>
      <c r="H183" s="785"/>
      <c r="I183" s="785"/>
      <c r="L183" s="649"/>
    </row>
    <row r="184" spans="1:12" s="655" customFormat="1" x14ac:dyDescent="0.4">
      <c r="A184" s="767"/>
      <c r="B184" s="793" t="s">
        <v>1085</v>
      </c>
      <c r="C184" s="666" t="s">
        <v>1005</v>
      </c>
      <c r="D184" s="666">
        <v>1</v>
      </c>
      <c r="E184" s="782">
        <v>3</v>
      </c>
      <c r="G184" s="785"/>
      <c r="H184" s="785"/>
      <c r="I184" s="785"/>
      <c r="L184" s="649"/>
    </row>
    <row r="185" spans="1:12" s="655" customFormat="1" x14ac:dyDescent="0.4">
      <c r="A185" s="767"/>
      <c r="B185" s="793" t="s">
        <v>1086</v>
      </c>
      <c r="C185" s="666" t="s">
        <v>1005</v>
      </c>
      <c r="D185" s="666">
        <v>1</v>
      </c>
      <c r="E185" s="782">
        <v>2</v>
      </c>
      <c r="G185" s="785"/>
      <c r="H185" s="785"/>
      <c r="I185" s="785"/>
      <c r="L185" s="649"/>
    </row>
    <row r="186" spans="1:12" s="655" customFormat="1" x14ac:dyDescent="0.4">
      <c r="A186" s="767"/>
      <c r="B186" s="793" t="s">
        <v>1078</v>
      </c>
      <c r="C186" s="666" t="s">
        <v>1005</v>
      </c>
      <c r="D186" s="666">
        <v>1</v>
      </c>
      <c r="E186" s="782">
        <v>3</v>
      </c>
      <c r="G186" s="785"/>
      <c r="H186" s="785"/>
      <c r="I186" s="785"/>
      <c r="L186" s="649"/>
    </row>
    <row r="187" spans="1:12" s="655" customFormat="1" x14ac:dyDescent="0.4">
      <c r="A187" s="767"/>
      <c r="B187" s="793" t="s">
        <v>1087</v>
      </c>
      <c r="C187" s="666" t="s">
        <v>1005</v>
      </c>
      <c r="D187" s="666">
        <v>1</v>
      </c>
      <c r="E187" s="782">
        <v>2</v>
      </c>
      <c r="G187" s="785"/>
      <c r="H187" s="785"/>
      <c r="I187" s="785"/>
      <c r="L187" s="649"/>
    </row>
    <row r="188" spans="1:12" s="655" customFormat="1" x14ac:dyDescent="0.4">
      <c r="A188" s="767"/>
      <c r="B188" s="792" t="s">
        <v>1088</v>
      </c>
      <c r="C188" s="666" t="s">
        <v>1005</v>
      </c>
      <c r="D188" s="666">
        <v>1</v>
      </c>
      <c r="E188" s="782">
        <v>2</v>
      </c>
      <c r="G188" s="785"/>
      <c r="H188" s="785"/>
      <c r="I188" s="785"/>
      <c r="L188" s="649"/>
    </row>
    <row r="189" spans="1:12" s="655" customFormat="1" x14ac:dyDescent="0.4">
      <c r="A189" s="767"/>
      <c r="B189" s="792" t="s">
        <v>1089</v>
      </c>
      <c r="C189" s="666" t="s">
        <v>1005</v>
      </c>
      <c r="D189" s="666">
        <v>1</v>
      </c>
      <c r="E189" s="782">
        <v>3</v>
      </c>
      <c r="G189" s="785"/>
      <c r="H189" s="785"/>
      <c r="I189" s="785"/>
      <c r="L189" s="649"/>
    </row>
    <row r="190" spans="1:12" s="655" customFormat="1" x14ac:dyDescent="0.4">
      <c r="A190" s="767"/>
      <c r="B190" s="792" t="s">
        <v>1089</v>
      </c>
      <c r="C190" s="666" t="s">
        <v>1005</v>
      </c>
      <c r="D190" s="666">
        <v>1</v>
      </c>
      <c r="E190" s="782">
        <v>3</v>
      </c>
      <c r="G190" s="785"/>
      <c r="H190" s="785"/>
      <c r="I190" s="785"/>
      <c r="L190" s="649"/>
    </row>
    <row r="191" spans="1:12" s="655" customFormat="1" x14ac:dyDescent="0.4">
      <c r="A191" s="767"/>
      <c r="B191" s="792" t="s">
        <v>1088</v>
      </c>
      <c r="C191" s="666" t="s">
        <v>1005</v>
      </c>
      <c r="D191" s="666">
        <v>1</v>
      </c>
      <c r="E191" s="782">
        <v>3</v>
      </c>
      <c r="G191" s="785"/>
      <c r="H191" s="785"/>
      <c r="I191" s="785"/>
      <c r="L191" s="649"/>
    </row>
    <row r="192" spans="1:12" s="655" customFormat="1" ht="30.9" x14ac:dyDescent="0.4">
      <c r="A192" s="767"/>
      <c r="B192" s="794" t="s">
        <v>768</v>
      </c>
      <c r="C192" s="666" t="s">
        <v>1005</v>
      </c>
      <c r="D192" s="666">
        <v>1</v>
      </c>
      <c r="E192" s="789">
        <v>40</v>
      </c>
      <c r="G192" s="785"/>
      <c r="H192" s="785"/>
      <c r="I192" s="785"/>
      <c r="L192" s="649"/>
    </row>
    <row r="193" spans="1:12" s="655" customFormat="1" ht="30.9" x14ac:dyDescent="0.4">
      <c r="A193" s="767"/>
      <c r="B193" s="788" t="s">
        <v>769</v>
      </c>
      <c r="C193" s="666" t="s">
        <v>1005</v>
      </c>
      <c r="D193" s="666">
        <v>1</v>
      </c>
      <c r="E193" s="789">
        <v>10</v>
      </c>
      <c r="G193" s="785"/>
      <c r="H193" s="785"/>
      <c r="I193" s="785"/>
      <c r="L193" s="649"/>
    </row>
    <row r="194" spans="1:12" s="655" customFormat="1" ht="15" customHeight="1" x14ac:dyDescent="0.4">
      <c r="A194" s="767"/>
      <c r="B194" s="788" t="s">
        <v>1090</v>
      </c>
      <c r="C194" s="666" t="s">
        <v>1005</v>
      </c>
      <c r="D194" s="666">
        <v>1</v>
      </c>
      <c r="E194" s="789">
        <v>1.5</v>
      </c>
      <c r="G194" s="785"/>
      <c r="H194" s="785"/>
      <c r="I194" s="785"/>
      <c r="L194" s="649"/>
    </row>
    <row r="195" spans="1:12" s="655" customFormat="1" ht="45" customHeight="1" x14ac:dyDescent="0.4">
      <c r="A195" s="767"/>
      <c r="B195" s="795" t="s">
        <v>1091</v>
      </c>
      <c r="C195" s="666" t="s">
        <v>1005</v>
      </c>
      <c r="D195" s="666">
        <v>1</v>
      </c>
      <c r="E195" s="789">
        <v>22</v>
      </c>
      <c r="G195" s="785"/>
      <c r="H195" s="785"/>
      <c r="I195" s="785"/>
      <c r="L195" s="649"/>
    </row>
    <row r="196" spans="1:12" s="615" customFormat="1" ht="28.3" x14ac:dyDescent="0.4">
      <c r="A196" s="796"/>
      <c r="B196" s="797" t="s">
        <v>771</v>
      </c>
      <c r="C196" s="798" t="s">
        <v>1005</v>
      </c>
      <c r="D196" s="798">
        <v>1</v>
      </c>
      <c r="E196" s="799">
        <v>12</v>
      </c>
      <c r="F196" s="615" t="s">
        <v>1092</v>
      </c>
      <c r="G196" s="800"/>
      <c r="H196" s="800"/>
      <c r="I196" s="800"/>
      <c r="L196" s="637"/>
    </row>
    <row r="197" spans="1:12" s="655" customFormat="1" x14ac:dyDescent="0.4">
      <c r="A197" s="767"/>
      <c r="B197" s="751" t="s">
        <v>1093</v>
      </c>
      <c r="C197" s="742"/>
      <c r="D197" s="666"/>
      <c r="E197" s="779">
        <f>E198</f>
        <v>1</v>
      </c>
      <c r="G197" s="785"/>
      <c r="H197" s="785"/>
      <c r="I197" s="785"/>
      <c r="L197" s="649"/>
    </row>
    <row r="198" spans="1:12" s="655" customFormat="1" x14ac:dyDescent="0.4">
      <c r="A198" s="767"/>
      <c r="B198" s="801" t="s">
        <v>766</v>
      </c>
      <c r="C198" s="666" t="s">
        <v>1005</v>
      </c>
      <c r="D198" s="666">
        <v>1</v>
      </c>
      <c r="E198" s="769">
        <v>1</v>
      </c>
      <c r="G198" s="785"/>
      <c r="H198" s="785"/>
      <c r="I198" s="785"/>
      <c r="L198" s="649"/>
    </row>
    <row r="199" spans="1:12" s="655" customFormat="1" x14ac:dyDescent="0.4">
      <c r="A199" s="767"/>
      <c r="B199" s="751" t="s">
        <v>1094</v>
      </c>
      <c r="C199" s="742"/>
      <c r="D199" s="666"/>
      <c r="E199" s="779">
        <f>SUM(E200:E213)</f>
        <v>275</v>
      </c>
      <c r="G199" s="785"/>
      <c r="H199" s="785"/>
      <c r="I199" s="785"/>
      <c r="L199" s="649"/>
    </row>
    <row r="200" spans="1:12" s="655" customFormat="1" x14ac:dyDescent="0.4">
      <c r="A200" s="767"/>
      <c r="B200" s="802" t="s">
        <v>1095</v>
      </c>
      <c r="C200" s="666" t="s">
        <v>1005</v>
      </c>
      <c r="D200" s="666">
        <v>1</v>
      </c>
      <c r="E200" s="769">
        <v>3</v>
      </c>
      <c r="G200" s="785"/>
      <c r="H200" s="785"/>
      <c r="I200" s="785"/>
      <c r="L200" s="649"/>
    </row>
    <row r="201" spans="1:12" s="655" customFormat="1" x14ac:dyDescent="0.4">
      <c r="A201" s="767"/>
      <c r="B201" s="802" t="s">
        <v>1096</v>
      </c>
      <c r="C201" s="666" t="s">
        <v>1005</v>
      </c>
      <c r="D201" s="666">
        <v>1</v>
      </c>
      <c r="E201" s="769">
        <v>1</v>
      </c>
      <c r="G201" s="785"/>
      <c r="H201" s="785"/>
      <c r="I201" s="785"/>
      <c r="L201" s="649"/>
    </row>
    <row r="202" spans="1:12" s="655" customFormat="1" x14ac:dyDescent="0.4">
      <c r="A202" s="767"/>
      <c r="B202" s="788" t="s">
        <v>780</v>
      </c>
      <c r="C202" s="666" t="s">
        <v>1005</v>
      </c>
      <c r="D202" s="666">
        <v>1</v>
      </c>
      <c r="E202" s="769">
        <v>32</v>
      </c>
      <c r="G202" s="785"/>
      <c r="H202" s="785"/>
      <c r="I202" s="785"/>
      <c r="L202" s="649"/>
    </row>
    <row r="203" spans="1:12" s="655" customFormat="1" x14ac:dyDescent="0.4">
      <c r="A203" s="767"/>
      <c r="B203" s="788" t="s">
        <v>781</v>
      </c>
      <c r="C203" s="666" t="s">
        <v>1005</v>
      </c>
      <c r="D203" s="666">
        <v>1</v>
      </c>
      <c r="E203" s="769">
        <v>14</v>
      </c>
      <c r="G203" s="785"/>
      <c r="H203" s="785"/>
      <c r="I203" s="785"/>
      <c r="L203" s="649"/>
    </row>
    <row r="204" spans="1:12" s="655" customFormat="1" x14ac:dyDescent="0.4">
      <c r="A204" s="767"/>
      <c r="B204" s="802" t="s">
        <v>1097</v>
      </c>
      <c r="C204" s="666" t="s">
        <v>1005</v>
      </c>
      <c r="D204" s="666">
        <v>1</v>
      </c>
      <c r="E204" s="769">
        <v>4</v>
      </c>
      <c r="G204" s="785"/>
      <c r="H204" s="785"/>
      <c r="I204" s="785"/>
      <c r="L204" s="649"/>
    </row>
    <row r="205" spans="1:12" s="655" customFormat="1" ht="28.75" x14ac:dyDescent="0.4">
      <c r="A205" s="767"/>
      <c r="B205" s="803" t="s">
        <v>1098</v>
      </c>
      <c r="C205" s="666" t="s">
        <v>1005</v>
      </c>
      <c r="D205" s="666">
        <v>1</v>
      </c>
      <c r="E205" s="769">
        <v>48</v>
      </c>
      <c r="G205" s="785"/>
      <c r="H205" s="785"/>
      <c r="I205" s="785"/>
      <c r="L205" s="649"/>
    </row>
    <row r="206" spans="1:12" s="655" customFormat="1" x14ac:dyDescent="0.4">
      <c r="A206" s="767"/>
      <c r="B206" s="575" t="s">
        <v>1099</v>
      </c>
      <c r="C206" s="666" t="s">
        <v>1005</v>
      </c>
      <c r="D206" s="666">
        <v>1</v>
      </c>
      <c r="E206" s="769">
        <v>154</v>
      </c>
      <c r="G206" s="785"/>
      <c r="H206" s="785"/>
      <c r="I206" s="785"/>
      <c r="L206" s="649"/>
    </row>
    <row r="207" spans="1:12" s="655" customFormat="1" x14ac:dyDescent="0.4">
      <c r="A207" s="767"/>
      <c r="B207" s="802" t="s">
        <v>1097</v>
      </c>
      <c r="C207" s="666" t="s">
        <v>1005</v>
      </c>
      <c r="D207" s="666">
        <v>1</v>
      </c>
      <c r="E207" s="769">
        <v>3</v>
      </c>
      <c r="G207" s="785"/>
      <c r="H207" s="785"/>
      <c r="I207" s="785"/>
      <c r="L207" s="649"/>
    </row>
    <row r="208" spans="1:12" s="655" customFormat="1" x14ac:dyDescent="0.4">
      <c r="A208" s="767"/>
      <c r="B208" s="802" t="s">
        <v>1097</v>
      </c>
      <c r="C208" s="666" t="s">
        <v>1005</v>
      </c>
      <c r="D208" s="666">
        <v>1</v>
      </c>
      <c r="E208" s="769">
        <v>3</v>
      </c>
      <c r="G208" s="785"/>
      <c r="H208" s="785"/>
      <c r="I208" s="785"/>
      <c r="L208" s="649"/>
    </row>
    <row r="209" spans="1:12" s="655" customFormat="1" x14ac:dyDescent="0.4">
      <c r="A209" s="767"/>
      <c r="B209" s="802" t="s">
        <v>1100</v>
      </c>
      <c r="C209" s="666" t="s">
        <v>1005</v>
      </c>
      <c r="D209" s="666">
        <v>1</v>
      </c>
      <c r="E209" s="769">
        <v>4</v>
      </c>
      <c r="G209" s="785"/>
      <c r="H209" s="785"/>
      <c r="I209" s="785"/>
      <c r="L209" s="649"/>
    </row>
    <row r="210" spans="1:12" s="655" customFormat="1" x14ac:dyDescent="0.4">
      <c r="A210" s="767"/>
      <c r="B210" s="802" t="s">
        <v>1101</v>
      </c>
      <c r="C210" s="666" t="s">
        <v>1005</v>
      </c>
      <c r="D210" s="666">
        <v>1</v>
      </c>
      <c r="E210" s="769">
        <v>1</v>
      </c>
      <c r="G210" s="785"/>
      <c r="H210" s="785"/>
      <c r="I210" s="785"/>
      <c r="L210" s="649"/>
    </row>
    <row r="211" spans="1:12" s="655" customFormat="1" x14ac:dyDescent="0.4">
      <c r="A211" s="767"/>
      <c r="B211" s="574" t="s">
        <v>1102</v>
      </c>
      <c r="C211" s="666" t="s">
        <v>1005</v>
      </c>
      <c r="D211" s="666">
        <v>1</v>
      </c>
      <c r="E211" s="769">
        <v>2</v>
      </c>
      <c r="G211" s="785"/>
      <c r="H211" s="785"/>
      <c r="I211" s="785"/>
      <c r="L211" s="649"/>
    </row>
    <row r="212" spans="1:12" s="655" customFormat="1" x14ac:dyDescent="0.4">
      <c r="A212" s="767"/>
      <c r="B212" s="802" t="s">
        <v>1103</v>
      </c>
      <c r="C212" s="666" t="s">
        <v>1005</v>
      </c>
      <c r="D212" s="666">
        <v>1</v>
      </c>
      <c r="E212" s="769">
        <v>3</v>
      </c>
      <c r="G212" s="785"/>
      <c r="H212" s="785"/>
      <c r="I212" s="785"/>
      <c r="L212" s="649"/>
    </row>
    <row r="213" spans="1:12" s="655" customFormat="1" x14ac:dyDescent="0.4">
      <c r="A213" s="767"/>
      <c r="B213" s="802" t="s">
        <v>1104</v>
      </c>
      <c r="C213" s="666" t="s">
        <v>1005</v>
      </c>
      <c r="D213" s="666">
        <v>1</v>
      </c>
      <c r="E213" s="769">
        <v>3</v>
      </c>
      <c r="G213" s="785"/>
      <c r="H213" s="785"/>
      <c r="I213" s="785"/>
      <c r="L213" s="649"/>
    </row>
    <row r="214" spans="1:12" s="655" customFormat="1" x14ac:dyDescent="0.4">
      <c r="A214" s="767"/>
      <c r="B214" s="751" t="s">
        <v>1045</v>
      </c>
      <c r="C214" s="742"/>
      <c r="D214" s="666"/>
      <c r="E214" s="773">
        <f>SUM(E215:E216)</f>
        <v>7</v>
      </c>
      <c r="G214" s="785"/>
      <c r="H214" s="785"/>
      <c r="I214" s="785"/>
      <c r="L214" s="649"/>
    </row>
    <row r="215" spans="1:12" s="655" customFormat="1" x14ac:dyDescent="0.4">
      <c r="A215" s="767"/>
      <c r="B215" s="770" t="s">
        <v>1105</v>
      </c>
      <c r="C215" s="666" t="s">
        <v>1005</v>
      </c>
      <c r="D215" s="666">
        <v>1</v>
      </c>
      <c r="E215" s="769">
        <v>5</v>
      </c>
      <c r="G215" s="785"/>
      <c r="H215" s="785"/>
      <c r="I215" s="785"/>
      <c r="L215" s="649"/>
    </row>
    <row r="216" spans="1:12" s="655" customFormat="1" ht="15" customHeight="1" x14ac:dyDescent="0.4">
      <c r="A216" s="767"/>
      <c r="B216" s="804" t="s">
        <v>787</v>
      </c>
      <c r="C216" s="666" t="s">
        <v>1005</v>
      </c>
      <c r="D216" s="666">
        <v>1</v>
      </c>
      <c r="E216" s="769">
        <f>2</f>
        <v>2</v>
      </c>
      <c r="G216" s="785"/>
      <c r="H216" s="785"/>
      <c r="I216" s="785"/>
      <c r="L216" s="649"/>
    </row>
    <row r="217" spans="1:12" s="655" customFormat="1" ht="15.75" customHeight="1" x14ac:dyDescent="0.4">
      <c r="A217" s="767"/>
      <c r="B217" s="805" t="s">
        <v>1046</v>
      </c>
      <c r="C217" s="658" t="s">
        <v>1047</v>
      </c>
      <c r="D217" s="806"/>
      <c r="E217" s="775">
        <f>SUM(E218:E231)</f>
        <v>6472</v>
      </c>
      <c r="G217" s="648"/>
      <c r="H217" s="651"/>
      <c r="L217" s="649"/>
    </row>
    <row r="218" spans="1:12" s="655" customFormat="1" ht="28.3" x14ac:dyDescent="0.4">
      <c r="A218" s="767"/>
      <c r="B218" s="684" t="s">
        <v>1106</v>
      </c>
      <c r="C218" s="666" t="s">
        <v>1005</v>
      </c>
      <c r="D218" s="666">
        <v>1</v>
      </c>
      <c r="E218" s="807">
        <v>290</v>
      </c>
      <c r="G218" s="648"/>
      <c r="H218" s="651"/>
      <c r="L218" s="649"/>
    </row>
    <row r="219" spans="1:12" s="655" customFormat="1" ht="28.3" x14ac:dyDescent="0.4">
      <c r="A219" s="767"/>
      <c r="B219" s="684" t="s">
        <v>1107</v>
      </c>
      <c r="C219" s="666" t="s">
        <v>1005</v>
      </c>
      <c r="D219" s="666">
        <v>1</v>
      </c>
      <c r="E219" s="807">
        <v>12</v>
      </c>
      <c r="G219" s="648"/>
      <c r="H219" s="651"/>
      <c r="L219" s="649"/>
    </row>
    <row r="220" spans="1:12" s="655" customFormat="1" ht="28.3" x14ac:dyDescent="0.4">
      <c r="A220" s="767"/>
      <c r="B220" s="684" t="s">
        <v>1108</v>
      </c>
      <c r="C220" s="666" t="s">
        <v>1005</v>
      </c>
      <c r="D220" s="666">
        <v>1</v>
      </c>
      <c r="E220" s="807">
        <v>12</v>
      </c>
      <c r="G220" s="648"/>
      <c r="H220" s="651"/>
      <c r="L220" s="649"/>
    </row>
    <row r="221" spans="1:12" s="655" customFormat="1" ht="28.3" x14ac:dyDescent="0.4">
      <c r="A221" s="767"/>
      <c r="B221" s="684" t="s">
        <v>1109</v>
      </c>
      <c r="C221" s="666" t="s">
        <v>1005</v>
      </c>
      <c r="D221" s="666">
        <v>1</v>
      </c>
      <c r="E221" s="807">
        <v>102</v>
      </c>
      <c r="G221" s="648"/>
      <c r="H221" s="651"/>
      <c r="L221" s="649"/>
    </row>
    <row r="222" spans="1:12" s="655" customFormat="1" ht="56.6" x14ac:dyDescent="0.4">
      <c r="A222" s="767"/>
      <c r="B222" s="684" t="s">
        <v>1110</v>
      </c>
      <c r="C222" s="666" t="s">
        <v>1005</v>
      </c>
      <c r="D222" s="666">
        <v>1</v>
      </c>
      <c r="E222" s="807">
        <v>853</v>
      </c>
      <c r="G222" s="648"/>
      <c r="H222" s="651"/>
      <c r="L222" s="649"/>
    </row>
    <row r="223" spans="1:12" s="655" customFormat="1" ht="84.9" x14ac:dyDescent="0.4">
      <c r="A223" s="767"/>
      <c r="B223" s="684" t="s">
        <v>1111</v>
      </c>
      <c r="C223" s="666" t="s">
        <v>1005</v>
      </c>
      <c r="D223" s="808">
        <v>1</v>
      </c>
      <c r="E223" s="809">
        <v>1157</v>
      </c>
      <c r="G223" s="648"/>
      <c r="H223" s="651"/>
      <c r="L223" s="649"/>
    </row>
    <row r="224" spans="1:12" s="655" customFormat="1" x14ac:dyDescent="0.4">
      <c r="A224" s="767"/>
      <c r="B224" s="810" t="s">
        <v>1112</v>
      </c>
      <c r="C224" s="666" t="s">
        <v>1005</v>
      </c>
      <c r="D224" s="808">
        <v>1</v>
      </c>
      <c r="E224" s="809">
        <v>3340</v>
      </c>
      <c r="G224" s="648"/>
      <c r="H224" s="651"/>
      <c r="L224" s="649"/>
    </row>
    <row r="225" spans="1:12" s="655" customFormat="1" ht="46.3" x14ac:dyDescent="0.4">
      <c r="A225" s="767"/>
      <c r="B225" s="703" t="s">
        <v>1113</v>
      </c>
      <c r="C225" s="666" t="s">
        <v>1005</v>
      </c>
      <c r="D225" s="808">
        <v>1</v>
      </c>
      <c r="E225" s="809">
        <v>300</v>
      </c>
      <c r="G225" s="648"/>
      <c r="H225" s="651"/>
      <c r="L225" s="649"/>
    </row>
    <row r="226" spans="1:12" s="655" customFormat="1" ht="46.3" x14ac:dyDescent="0.4">
      <c r="A226" s="767"/>
      <c r="B226" s="794" t="s">
        <v>1114</v>
      </c>
      <c r="C226" s="666" t="s">
        <v>1005</v>
      </c>
      <c r="D226" s="808">
        <v>1</v>
      </c>
      <c r="E226" s="769">
        <v>100</v>
      </c>
      <c r="G226" s="648"/>
      <c r="H226" s="651"/>
      <c r="L226" s="649"/>
    </row>
    <row r="227" spans="1:12" s="655" customFormat="1" ht="46.3" x14ac:dyDescent="0.4">
      <c r="A227" s="767"/>
      <c r="B227" s="794" t="s">
        <v>1115</v>
      </c>
      <c r="C227" s="666" t="s">
        <v>1005</v>
      </c>
      <c r="D227" s="808">
        <v>1</v>
      </c>
      <c r="E227" s="769">
        <v>60</v>
      </c>
      <c r="G227" s="648"/>
      <c r="H227" s="651"/>
      <c r="L227" s="649"/>
    </row>
    <row r="228" spans="1:12" s="655" customFormat="1" ht="46.3" x14ac:dyDescent="0.4">
      <c r="A228" s="767"/>
      <c r="B228" s="794" t="s">
        <v>1106</v>
      </c>
      <c r="C228" s="666" t="s">
        <v>1005</v>
      </c>
      <c r="D228" s="808">
        <v>1</v>
      </c>
      <c r="E228" s="769">
        <v>18</v>
      </c>
      <c r="G228" s="648"/>
      <c r="H228" s="651"/>
      <c r="L228" s="649"/>
    </row>
    <row r="229" spans="1:12" s="655" customFormat="1" ht="30.9" x14ac:dyDescent="0.4">
      <c r="A229" s="767"/>
      <c r="B229" s="811" t="s">
        <v>1116</v>
      </c>
      <c r="C229" s="666" t="s">
        <v>1005</v>
      </c>
      <c r="D229" s="808">
        <v>1</v>
      </c>
      <c r="E229" s="769">
        <v>12</v>
      </c>
      <c r="G229" s="648"/>
      <c r="H229" s="651"/>
      <c r="L229" s="649"/>
    </row>
    <row r="230" spans="1:12" s="615" customFormat="1" ht="46.3" x14ac:dyDescent="0.4">
      <c r="A230" s="796"/>
      <c r="B230" s="812" t="s">
        <v>1117</v>
      </c>
      <c r="C230" s="798" t="s">
        <v>1005</v>
      </c>
      <c r="D230" s="813">
        <v>1</v>
      </c>
      <c r="E230" s="814">
        <v>99</v>
      </c>
      <c r="F230" s="615" t="s">
        <v>1092</v>
      </c>
      <c r="G230" s="636"/>
      <c r="H230" s="632"/>
      <c r="L230" s="637"/>
    </row>
    <row r="231" spans="1:12" s="615" customFormat="1" ht="46.3" x14ac:dyDescent="0.4">
      <c r="A231" s="796"/>
      <c r="B231" s="812" t="s">
        <v>1118</v>
      </c>
      <c r="C231" s="798" t="s">
        <v>1005</v>
      </c>
      <c r="D231" s="813">
        <v>1</v>
      </c>
      <c r="E231" s="814">
        <v>117</v>
      </c>
      <c r="F231" s="615" t="s">
        <v>1092</v>
      </c>
      <c r="G231" s="636"/>
      <c r="H231" s="632"/>
      <c r="L231" s="637"/>
    </row>
    <row r="232" spans="1:12" s="655" customFormat="1" ht="18.75" customHeight="1" x14ac:dyDescent="0.4">
      <c r="A232" s="966" t="s">
        <v>1119</v>
      </c>
      <c r="B232" s="967"/>
      <c r="C232" s="967"/>
      <c r="D232" s="815"/>
      <c r="E232" s="647">
        <f>E233</f>
        <v>77165</v>
      </c>
      <c r="G232" s="648"/>
      <c r="H232" s="816"/>
      <c r="J232" s="650"/>
      <c r="L232" s="650"/>
    </row>
    <row r="233" spans="1:12" s="655" customFormat="1" ht="24" customHeight="1" x14ac:dyDescent="0.4">
      <c r="A233" s="817"/>
      <c r="B233" s="657" t="s">
        <v>1120</v>
      </c>
      <c r="C233" s="724" t="s">
        <v>1008</v>
      </c>
      <c r="D233" s="657"/>
      <c r="E233" s="659">
        <f>SUM(E234:E235)</f>
        <v>77165</v>
      </c>
      <c r="G233" s="648"/>
      <c r="H233" s="816"/>
      <c r="J233" s="650"/>
      <c r="L233" s="650"/>
    </row>
    <row r="234" spans="1:12" s="655" customFormat="1" ht="17.25" customHeight="1" x14ac:dyDescent="0.4">
      <c r="A234" s="817"/>
      <c r="B234" s="818" t="s">
        <v>833</v>
      </c>
      <c r="C234" s="666" t="s">
        <v>1005</v>
      </c>
      <c r="D234" s="808">
        <v>1</v>
      </c>
      <c r="E234" s="769">
        <v>76665</v>
      </c>
      <c r="G234" s="648"/>
      <c r="H234" s="816"/>
      <c r="J234" s="650"/>
      <c r="L234" s="650"/>
    </row>
    <row r="235" spans="1:12" s="655" customFormat="1" ht="17.25" customHeight="1" x14ac:dyDescent="0.4">
      <c r="A235" s="817"/>
      <c r="B235" s="684" t="s">
        <v>835</v>
      </c>
      <c r="C235" s="666" t="s">
        <v>1005</v>
      </c>
      <c r="D235" s="808">
        <v>1</v>
      </c>
      <c r="E235" s="769">
        <v>500</v>
      </c>
      <c r="G235" s="648"/>
      <c r="H235" s="816"/>
      <c r="J235" s="650"/>
      <c r="L235" s="650"/>
    </row>
    <row r="236" spans="1:12" s="655" customFormat="1" ht="21.75" customHeight="1" x14ac:dyDescent="0.4">
      <c r="A236" s="960" t="s">
        <v>1121</v>
      </c>
      <c r="B236" s="961"/>
      <c r="C236" s="961"/>
      <c r="D236" s="961"/>
      <c r="E236" s="766">
        <f>E268+E253+E262+E257+E237+E250</f>
        <v>7883</v>
      </c>
      <c r="G236" s="648"/>
      <c r="H236" s="816"/>
      <c r="J236" s="819"/>
    </row>
    <row r="237" spans="1:12" s="655" customFormat="1" x14ac:dyDescent="0.4">
      <c r="A237" s="820"/>
      <c r="B237" s="657" t="s">
        <v>1007</v>
      </c>
      <c r="C237" s="724"/>
      <c r="D237" s="657"/>
      <c r="E237" s="659">
        <f>SUM(E238:E249)</f>
        <v>1566</v>
      </c>
      <c r="G237" s="648"/>
      <c r="H237" s="816"/>
      <c r="J237" s="819"/>
    </row>
    <row r="238" spans="1:12" s="655" customFormat="1" ht="30.9" x14ac:dyDescent="0.4">
      <c r="A238" s="820"/>
      <c r="B238" s="685" t="s">
        <v>1122</v>
      </c>
      <c r="C238" s="666" t="s">
        <v>1005</v>
      </c>
      <c r="D238" s="808">
        <v>1</v>
      </c>
      <c r="E238" s="769">
        <v>120</v>
      </c>
      <c r="G238" s="648"/>
      <c r="H238" s="816"/>
      <c r="J238" s="819"/>
    </row>
    <row r="239" spans="1:12" s="655" customFormat="1" ht="30.9" x14ac:dyDescent="0.4">
      <c r="A239" s="820"/>
      <c r="B239" s="685" t="s">
        <v>1123</v>
      </c>
      <c r="C239" s="666" t="s">
        <v>1005</v>
      </c>
      <c r="D239" s="808">
        <v>1</v>
      </c>
      <c r="E239" s="769">
        <v>88</v>
      </c>
      <c r="G239" s="648"/>
      <c r="H239" s="816"/>
      <c r="J239" s="819"/>
    </row>
    <row r="240" spans="1:12" s="655" customFormat="1" ht="30.9" x14ac:dyDescent="0.4">
      <c r="A240" s="820"/>
      <c r="B240" s="685" t="s">
        <v>1124</v>
      </c>
      <c r="C240" s="666" t="s">
        <v>1005</v>
      </c>
      <c r="D240" s="808">
        <v>1</v>
      </c>
      <c r="E240" s="769">
        <v>34</v>
      </c>
      <c r="G240" s="648"/>
      <c r="H240" s="816"/>
      <c r="J240" s="819"/>
    </row>
    <row r="241" spans="1:10" s="655" customFormat="1" ht="30.9" x14ac:dyDescent="0.4">
      <c r="A241" s="820"/>
      <c r="B241" s="685" t="s">
        <v>1125</v>
      </c>
      <c r="C241" s="666" t="s">
        <v>1005</v>
      </c>
      <c r="D241" s="808">
        <v>1</v>
      </c>
      <c r="E241" s="769">
        <v>200</v>
      </c>
      <c r="G241" s="648"/>
      <c r="H241" s="816"/>
      <c r="J241" s="819"/>
    </row>
    <row r="242" spans="1:10" s="655" customFormat="1" ht="30.9" x14ac:dyDescent="0.4">
      <c r="A242" s="820"/>
      <c r="B242" s="685" t="s">
        <v>1126</v>
      </c>
      <c r="C242" s="666" t="s">
        <v>1005</v>
      </c>
      <c r="D242" s="808">
        <v>1</v>
      </c>
      <c r="E242" s="769">
        <v>173</v>
      </c>
      <c r="G242" s="648"/>
      <c r="H242" s="816"/>
      <c r="J242" s="819"/>
    </row>
    <row r="243" spans="1:10" s="655" customFormat="1" ht="30.9" x14ac:dyDescent="0.4">
      <c r="A243" s="820"/>
      <c r="B243" s="685" t="s">
        <v>1127</v>
      </c>
      <c r="C243" s="666" t="s">
        <v>1005</v>
      </c>
      <c r="D243" s="808">
        <v>1</v>
      </c>
      <c r="E243" s="769">
        <v>69</v>
      </c>
      <c r="G243" s="648"/>
      <c r="H243" s="816"/>
      <c r="J243" s="819"/>
    </row>
    <row r="244" spans="1:10" s="655" customFormat="1" ht="30.9" x14ac:dyDescent="0.4">
      <c r="A244" s="820"/>
      <c r="B244" s="739" t="s">
        <v>1128</v>
      </c>
      <c r="C244" s="666" t="s">
        <v>1005</v>
      </c>
      <c r="D244" s="808">
        <v>1</v>
      </c>
      <c r="E244" s="769">
        <v>429</v>
      </c>
      <c r="G244" s="648"/>
      <c r="H244" s="816"/>
      <c r="J244" s="819"/>
    </row>
    <row r="245" spans="1:10" s="655" customFormat="1" x14ac:dyDescent="0.4">
      <c r="A245" s="820"/>
      <c r="B245" s="739" t="s">
        <v>1129</v>
      </c>
      <c r="C245" s="666" t="s">
        <v>1005</v>
      </c>
      <c r="D245" s="808">
        <v>1</v>
      </c>
      <c r="E245" s="769">
        <v>34</v>
      </c>
      <c r="G245" s="648"/>
      <c r="H245" s="816"/>
      <c r="J245" s="819"/>
    </row>
    <row r="246" spans="1:10" s="655" customFormat="1" x14ac:dyDescent="0.4">
      <c r="A246" s="820"/>
      <c r="B246" s="739" t="s">
        <v>1130</v>
      </c>
      <c r="C246" s="666" t="s">
        <v>1005</v>
      </c>
      <c r="D246" s="808">
        <v>1</v>
      </c>
      <c r="E246" s="769">
        <v>49</v>
      </c>
      <c r="G246" s="648"/>
      <c r="H246" s="816"/>
      <c r="J246" s="819"/>
    </row>
    <row r="247" spans="1:10" s="655" customFormat="1" x14ac:dyDescent="0.4">
      <c r="A247" s="820"/>
      <c r="B247" s="739" t="s">
        <v>1131</v>
      </c>
      <c r="C247" s="666" t="s">
        <v>1005</v>
      </c>
      <c r="D247" s="808">
        <v>1</v>
      </c>
      <c r="E247" s="769">
        <v>134</v>
      </c>
      <c r="G247" s="648"/>
      <c r="H247" s="816"/>
      <c r="J247" s="819"/>
    </row>
    <row r="248" spans="1:10" s="655" customFormat="1" x14ac:dyDescent="0.4">
      <c r="A248" s="820"/>
      <c r="B248" s="739" t="s">
        <v>1132</v>
      </c>
      <c r="C248" s="666" t="s">
        <v>1005</v>
      </c>
      <c r="D248" s="808">
        <v>1</v>
      </c>
      <c r="E248" s="769">
        <v>142</v>
      </c>
      <c r="G248" s="648"/>
      <c r="H248" s="816"/>
      <c r="J248" s="819"/>
    </row>
    <row r="249" spans="1:10" s="655" customFormat="1" x14ac:dyDescent="0.4">
      <c r="A249" s="820"/>
      <c r="B249" s="739" t="s">
        <v>1133</v>
      </c>
      <c r="C249" s="666" t="s">
        <v>1005</v>
      </c>
      <c r="D249" s="808">
        <v>1</v>
      </c>
      <c r="E249" s="769">
        <v>94</v>
      </c>
      <c r="G249" s="648"/>
      <c r="H249" s="816"/>
      <c r="J249" s="819"/>
    </row>
    <row r="250" spans="1:10" s="655" customFormat="1" x14ac:dyDescent="0.4">
      <c r="A250" s="820"/>
      <c r="B250" s="659" t="s">
        <v>1134</v>
      </c>
      <c r="C250" s="724" t="s">
        <v>1135</v>
      </c>
      <c r="D250" s="657"/>
      <c r="E250" s="659">
        <f>E251</f>
        <v>22</v>
      </c>
      <c r="G250" s="648"/>
      <c r="H250" s="816"/>
      <c r="J250" s="819"/>
    </row>
    <row r="251" spans="1:10" s="655" customFormat="1" x14ac:dyDescent="0.4">
      <c r="A251" s="820"/>
      <c r="B251" s="699" t="s">
        <v>852</v>
      </c>
      <c r="C251" s="666"/>
      <c r="D251" s="808"/>
      <c r="E251" s="773">
        <f>E252</f>
        <v>22</v>
      </c>
      <c r="G251" s="648"/>
      <c r="H251" s="816"/>
      <c r="J251" s="819"/>
    </row>
    <row r="252" spans="1:10" s="655" customFormat="1" x14ac:dyDescent="0.4">
      <c r="A252" s="820"/>
      <c r="B252" s="685" t="s">
        <v>853</v>
      </c>
      <c r="C252" s="666" t="s">
        <v>1005</v>
      </c>
      <c r="D252" s="808">
        <v>1</v>
      </c>
      <c r="E252" s="769">
        <v>22</v>
      </c>
      <c r="G252" s="648"/>
      <c r="H252" s="816"/>
      <c r="J252" s="819"/>
    </row>
    <row r="253" spans="1:10" s="655" customFormat="1" ht="15.75" customHeight="1" x14ac:dyDescent="0.4">
      <c r="A253" s="820"/>
      <c r="B253" s="659" t="s">
        <v>1016</v>
      </c>
      <c r="C253" s="724" t="s">
        <v>1017</v>
      </c>
      <c r="D253" s="657"/>
      <c r="E253" s="659">
        <f>E254</f>
        <v>2501</v>
      </c>
      <c r="G253" s="648"/>
      <c r="H253" s="816"/>
      <c r="J253" s="819"/>
    </row>
    <row r="254" spans="1:10" s="655" customFormat="1" ht="15.75" customHeight="1" x14ac:dyDescent="0.4">
      <c r="A254" s="820"/>
      <c r="B254" s="699" t="s">
        <v>1018</v>
      </c>
      <c r="C254" s="821"/>
      <c r="D254" s="663"/>
      <c r="E254" s="722">
        <f>E255+E256</f>
        <v>2501</v>
      </c>
      <c r="G254" s="648"/>
      <c r="H254" s="816"/>
      <c r="J254" s="819"/>
    </row>
    <row r="255" spans="1:10" s="655" customFormat="1" ht="15.75" customHeight="1" x14ac:dyDescent="0.4">
      <c r="A255" s="820"/>
      <c r="B255" s="711" t="s">
        <v>858</v>
      </c>
      <c r="C255" s="666" t="s">
        <v>1005</v>
      </c>
      <c r="D255" s="808">
        <v>1</v>
      </c>
      <c r="E255" s="769">
        <v>2481</v>
      </c>
      <c r="G255" s="648"/>
      <c r="H255" s="816"/>
      <c r="J255" s="819"/>
    </row>
    <row r="256" spans="1:10" s="615" customFormat="1" ht="30.9" x14ac:dyDescent="0.4">
      <c r="A256" s="626"/>
      <c r="B256" s="812" t="s">
        <v>856</v>
      </c>
      <c r="C256" s="798" t="s">
        <v>1005</v>
      </c>
      <c r="D256" s="813">
        <v>1</v>
      </c>
      <c r="E256" s="814">
        <v>20</v>
      </c>
      <c r="F256" s="615" t="s">
        <v>1092</v>
      </c>
      <c r="G256" s="636"/>
      <c r="H256" s="614"/>
      <c r="J256" s="610"/>
    </row>
    <row r="257" spans="1:10" s="655" customFormat="1" ht="15.75" customHeight="1" x14ac:dyDescent="0.4">
      <c r="A257" s="820"/>
      <c r="B257" s="659" t="s">
        <v>1136</v>
      </c>
      <c r="C257" s="724" t="s">
        <v>1137</v>
      </c>
      <c r="D257" s="657"/>
      <c r="E257" s="722">
        <f>E258+E260</f>
        <v>25</v>
      </c>
      <c r="G257" s="648"/>
      <c r="H257" s="816"/>
      <c r="J257" s="819"/>
    </row>
    <row r="258" spans="1:10" s="655" customFormat="1" ht="15.75" customHeight="1" x14ac:dyDescent="0.4">
      <c r="A258" s="820"/>
      <c r="B258" s="699" t="s">
        <v>1027</v>
      </c>
      <c r="C258" s="666"/>
      <c r="D258" s="666"/>
      <c r="E258" s="769">
        <f>E259</f>
        <v>9</v>
      </c>
      <c r="G258" s="648"/>
      <c r="H258" s="816"/>
      <c r="J258" s="819"/>
    </row>
    <row r="259" spans="1:10" s="655" customFormat="1" ht="15.75" customHeight="1" x14ac:dyDescent="0.4">
      <c r="A259" s="820"/>
      <c r="B259" s="822" t="s">
        <v>863</v>
      </c>
      <c r="C259" s="666" t="s">
        <v>1005</v>
      </c>
      <c r="D259" s="808">
        <v>1</v>
      </c>
      <c r="E259" s="769">
        <v>9</v>
      </c>
      <c r="G259" s="648"/>
      <c r="H259" s="816"/>
      <c r="J259" s="819"/>
    </row>
    <row r="260" spans="1:10" s="655" customFormat="1" ht="15.75" customHeight="1" x14ac:dyDescent="0.4">
      <c r="A260" s="820"/>
      <c r="B260" s="699" t="s">
        <v>1138</v>
      </c>
      <c r="C260" s="666"/>
      <c r="D260" s="808"/>
      <c r="E260" s="773">
        <f>E261</f>
        <v>16</v>
      </c>
      <c r="G260" s="648"/>
      <c r="H260" s="816"/>
      <c r="J260" s="819"/>
    </row>
    <row r="261" spans="1:10" s="655" customFormat="1" ht="15.75" customHeight="1" x14ac:dyDescent="0.4">
      <c r="A261" s="820"/>
      <c r="B261" s="317" t="s">
        <v>861</v>
      </c>
      <c r="C261" s="666" t="s">
        <v>1005</v>
      </c>
      <c r="D261" s="808">
        <v>1</v>
      </c>
      <c r="E261" s="769">
        <v>16</v>
      </c>
      <c r="G261" s="648"/>
      <c r="H261" s="816"/>
      <c r="J261" s="819"/>
    </row>
    <row r="262" spans="1:10" s="655" customFormat="1" ht="15.75" customHeight="1" x14ac:dyDescent="0.4">
      <c r="A262" s="820"/>
      <c r="B262" s="657" t="s">
        <v>1029</v>
      </c>
      <c r="C262" s="762" t="s">
        <v>1030</v>
      </c>
      <c r="D262" s="657"/>
      <c r="E262" s="823">
        <f>E265+E263</f>
        <v>474</v>
      </c>
      <c r="G262" s="648"/>
      <c r="H262" s="816"/>
      <c r="J262" s="819"/>
    </row>
    <row r="263" spans="1:10" s="655" customFormat="1" ht="15.75" customHeight="1" x14ac:dyDescent="0.4">
      <c r="A263" s="820"/>
      <c r="B263" s="728" t="s">
        <v>1032</v>
      </c>
      <c r="C263" s="693"/>
      <c r="D263" s="663"/>
      <c r="E263" s="823">
        <f>E264</f>
        <v>389</v>
      </c>
      <c r="G263" s="648"/>
      <c r="H263" s="816"/>
      <c r="J263" s="819"/>
    </row>
    <row r="264" spans="1:10" s="655" customFormat="1" x14ac:dyDescent="0.4">
      <c r="A264" s="820"/>
      <c r="B264" s="824" t="s">
        <v>1139</v>
      </c>
      <c r="C264" s="666" t="s">
        <v>1005</v>
      </c>
      <c r="D264" s="666">
        <v>1</v>
      </c>
      <c r="E264" s="764">
        <v>389</v>
      </c>
      <c r="G264" s="648"/>
      <c r="H264" s="816"/>
      <c r="J264" s="819"/>
    </row>
    <row r="265" spans="1:10" s="655" customFormat="1" ht="15.75" customHeight="1" x14ac:dyDescent="0.4">
      <c r="A265" s="820"/>
      <c r="B265" s="663" t="s">
        <v>1069</v>
      </c>
      <c r="C265" s="666"/>
      <c r="D265" s="666"/>
      <c r="E265" s="779">
        <f>SUM(E266:E267)</f>
        <v>85</v>
      </c>
      <c r="G265" s="648"/>
      <c r="H265" s="816"/>
      <c r="J265" s="819"/>
    </row>
    <row r="266" spans="1:10" s="655" customFormat="1" ht="15.75" customHeight="1" x14ac:dyDescent="0.4">
      <c r="A266" s="820"/>
      <c r="B266" s="761" t="s">
        <v>921</v>
      </c>
      <c r="C266" s="666" t="s">
        <v>1005</v>
      </c>
      <c r="D266" s="666">
        <v>1</v>
      </c>
      <c r="E266" s="769">
        <v>14</v>
      </c>
      <c r="G266" s="648"/>
      <c r="H266" s="816"/>
      <c r="J266" s="819"/>
    </row>
    <row r="267" spans="1:10" s="655" customFormat="1" x14ac:dyDescent="0.4">
      <c r="A267" s="820"/>
      <c r="B267" s="761" t="s">
        <v>922</v>
      </c>
      <c r="C267" s="666" t="s">
        <v>1005</v>
      </c>
      <c r="D267" s="666">
        <v>4</v>
      </c>
      <c r="E267" s="769">
        <v>71</v>
      </c>
      <c r="G267" s="648"/>
      <c r="H267" s="816"/>
      <c r="J267" s="819"/>
    </row>
    <row r="268" spans="1:10" s="655" customFormat="1" ht="15.75" customHeight="1" x14ac:dyDescent="0.4">
      <c r="A268" s="820"/>
      <c r="B268" s="657" t="s">
        <v>1002</v>
      </c>
      <c r="C268" s="724" t="s">
        <v>1003</v>
      </c>
      <c r="D268" s="657"/>
      <c r="E268" s="659">
        <f>E269+E306+E318+E320+E271</f>
        <v>3295</v>
      </c>
      <c r="G268" s="825"/>
      <c r="H268" s="816"/>
      <c r="J268" s="819"/>
    </row>
    <row r="269" spans="1:10" s="655" customFormat="1" ht="15.75" customHeight="1" x14ac:dyDescent="0.4">
      <c r="A269" s="820"/>
      <c r="B269" s="661" t="s">
        <v>1004</v>
      </c>
      <c r="C269" s="821"/>
      <c r="D269" s="821"/>
      <c r="E269" s="722">
        <f>E270</f>
        <v>890</v>
      </c>
      <c r="G269" s="825"/>
      <c r="H269" s="816"/>
      <c r="J269" s="819"/>
    </row>
    <row r="270" spans="1:10" s="655" customFormat="1" ht="15.75" customHeight="1" x14ac:dyDescent="0.4">
      <c r="A270" s="820"/>
      <c r="B270" s="749" t="s">
        <v>1140</v>
      </c>
      <c r="C270" s="666" t="s">
        <v>1005</v>
      </c>
      <c r="D270" s="666">
        <v>1</v>
      </c>
      <c r="E270" s="750">
        <v>890</v>
      </c>
      <c r="G270" s="825"/>
      <c r="H270" s="816"/>
      <c r="J270" s="819"/>
    </row>
    <row r="271" spans="1:10" s="655" customFormat="1" ht="15.75" customHeight="1" x14ac:dyDescent="0.4">
      <c r="A271" s="820"/>
      <c r="B271" s="661" t="s">
        <v>217</v>
      </c>
      <c r="C271" s="666"/>
      <c r="D271" s="666"/>
      <c r="E271" s="826">
        <f>SUM(E272:E305)</f>
        <v>1205</v>
      </c>
      <c r="G271" s="825"/>
      <c r="H271" s="816"/>
      <c r="J271" s="819"/>
    </row>
    <row r="272" spans="1:10" s="655" customFormat="1" ht="15.75" customHeight="1" x14ac:dyDescent="0.4">
      <c r="A272" s="820"/>
      <c r="B272" s="781" t="s">
        <v>925</v>
      </c>
      <c r="C272" s="666" t="s">
        <v>1005</v>
      </c>
      <c r="D272" s="666">
        <v>1</v>
      </c>
      <c r="E272" s="789">
        <v>17</v>
      </c>
      <c r="G272" s="825"/>
      <c r="H272" s="816"/>
      <c r="J272" s="819"/>
    </row>
    <row r="273" spans="1:10" s="655" customFormat="1" ht="15.75" customHeight="1" x14ac:dyDescent="0.4">
      <c r="A273" s="820"/>
      <c r="B273" s="827" t="s">
        <v>926</v>
      </c>
      <c r="C273" s="666" t="s">
        <v>1005</v>
      </c>
      <c r="D273" s="666">
        <v>1</v>
      </c>
      <c r="E273" s="789">
        <v>9</v>
      </c>
      <c r="G273" s="825"/>
      <c r="H273" s="816"/>
      <c r="J273" s="819"/>
    </row>
    <row r="274" spans="1:10" s="655" customFormat="1" ht="15.75" customHeight="1" x14ac:dyDescent="0.4">
      <c r="A274" s="820"/>
      <c r="B274" s="781" t="s">
        <v>927</v>
      </c>
      <c r="C274" s="666" t="s">
        <v>1005</v>
      </c>
      <c r="D274" s="666">
        <v>1</v>
      </c>
      <c r="E274" s="789">
        <v>149</v>
      </c>
      <c r="G274" s="825"/>
      <c r="H274" s="816"/>
      <c r="J274" s="819"/>
    </row>
    <row r="275" spans="1:10" s="655" customFormat="1" ht="15.75" customHeight="1" x14ac:dyDescent="0.4">
      <c r="A275" s="820"/>
      <c r="B275" s="783" t="s">
        <v>928</v>
      </c>
      <c r="C275" s="666" t="s">
        <v>1005</v>
      </c>
      <c r="D275" s="666">
        <v>1</v>
      </c>
      <c r="E275" s="789">
        <v>9</v>
      </c>
      <c r="G275" s="825"/>
      <c r="H275" s="816"/>
      <c r="J275" s="819"/>
    </row>
    <row r="276" spans="1:10" s="655" customFormat="1" ht="15.75" customHeight="1" x14ac:dyDescent="0.4">
      <c r="A276" s="820"/>
      <c r="B276" s="716" t="s">
        <v>929</v>
      </c>
      <c r="C276" s="666" t="s">
        <v>1005</v>
      </c>
      <c r="D276" s="666">
        <v>1</v>
      </c>
      <c r="E276" s="789">
        <v>13</v>
      </c>
      <c r="G276" s="825"/>
      <c r="H276" s="816"/>
      <c r="J276" s="819"/>
    </row>
    <row r="277" spans="1:10" s="655" customFormat="1" ht="15.75" customHeight="1" x14ac:dyDescent="0.4">
      <c r="A277" s="820"/>
      <c r="B277" s="727" t="s">
        <v>928</v>
      </c>
      <c r="C277" s="666" t="s">
        <v>1005</v>
      </c>
      <c r="D277" s="666">
        <v>1</v>
      </c>
      <c r="E277" s="789">
        <v>9</v>
      </c>
      <c r="G277" s="825"/>
      <c r="H277" s="816"/>
      <c r="J277" s="819"/>
    </row>
    <row r="278" spans="1:10" s="655" customFormat="1" ht="15.75" customHeight="1" x14ac:dyDescent="0.4">
      <c r="A278" s="820"/>
      <c r="B278" s="727" t="s">
        <v>929</v>
      </c>
      <c r="C278" s="666" t="s">
        <v>1005</v>
      </c>
      <c r="D278" s="666">
        <v>1</v>
      </c>
      <c r="E278" s="789">
        <v>13</v>
      </c>
      <c r="G278" s="825"/>
      <c r="H278" s="816"/>
      <c r="J278" s="819"/>
    </row>
    <row r="279" spans="1:10" s="655" customFormat="1" ht="15.75" customHeight="1" x14ac:dyDescent="0.4">
      <c r="A279" s="820"/>
      <c r="B279" s="727" t="s">
        <v>928</v>
      </c>
      <c r="C279" s="666" t="s">
        <v>1005</v>
      </c>
      <c r="D279" s="666">
        <v>1</v>
      </c>
      <c r="E279" s="789">
        <v>37</v>
      </c>
      <c r="G279" s="825"/>
      <c r="H279" s="816"/>
      <c r="J279" s="819"/>
    </row>
    <row r="280" spans="1:10" s="655" customFormat="1" ht="15.75" customHeight="1" x14ac:dyDescent="0.4">
      <c r="A280" s="820"/>
      <c r="B280" s="727" t="s">
        <v>929</v>
      </c>
      <c r="C280" s="666" t="s">
        <v>1005</v>
      </c>
      <c r="D280" s="666">
        <v>1</v>
      </c>
      <c r="E280" s="789">
        <v>58</v>
      </c>
      <c r="G280" s="825"/>
      <c r="H280" s="816"/>
      <c r="J280" s="819"/>
    </row>
    <row r="281" spans="1:10" s="655" customFormat="1" ht="15.75" customHeight="1" x14ac:dyDescent="0.4">
      <c r="A281" s="820"/>
      <c r="B281" s="727" t="s">
        <v>928</v>
      </c>
      <c r="C281" s="666" t="s">
        <v>1005</v>
      </c>
      <c r="D281" s="666">
        <v>1</v>
      </c>
      <c r="E281" s="789">
        <v>9</v>
      </c>
      <c r="G281" s="825"/>
      <c r="H281" s="816"/>
      <c r="J281" s="819"/>
    </row>
    <row r="282" spans="1:10" s="655" customFormat="1" ht="15.75" customHeight="1" x14ac:dyDescent="0.4">
      <c r="A282" s="820"/>
      <c r="B282" s="790" t="s">
        <v>930</v>
      </c>
      <c r="C282" s="666" t="s">
        <v>1005</v>
      </c>
      <c r="D282" s="666">
        <v>1</v>
      </c>
      <c r="E282" s="789">
        <v>5</v>
      </c>
      <c r="G282" s="825"/>
      <c r="H282" s="816"/>
      <c r="J282" s="819"/>
    </row>
    <row r="283" spans="1:10" s="655" customFormat="1" ht="15.75" customHeight="1" x14ac:dyDescent="0.4">
      <c r="A283" s="820"/>
      <c r="B283" s="716" t="s">
        <v>931</v>
      </c>
      <c r="C283" s="666" t="s">
        <v>1005</v>
      </c>
      <c r="D283" s="666">
        <v>1</v>
      </c>
      <c r="E283" s="789">
        <v>2</v>
      </c>
      <c r="G283" s="825"/>
      <c r="H283" s="816"/>
      <c r="J283" s="819"/>
    </row>
    <row r="284" spans="1:10" s="655" customFormat="1" ht="15.75" customHeight="1" x14ac:dyDescent="0.4">
      <c r="A284" s="820"/>
      <c r="B284" s="727" t="s">
        <v>932</v>
      </c>
      <c r="C284" s="666" t="s">
        <v>1005</v>
      </c>
      <c r="D284" s="666">
        <v>1</v>
      </c>
      <c r="E284" s="789">
        <v>14</v>
      </c>
      <c r="G284" s="825"/>
      <c r="H284" s="816"/>
      <c r="J284" s="819"/>
    </row>
    <row r="285" spans="1:10" s="655" customFormat="1" ht="15.75" customHeight="1" x14ac:dyDescent="0.4">
      <c r="A285" s="820"/>
      <c r="B285" s="727" t="s">
        <v>933</v>
      </c>
      <c r="C285" s="666" t="s">
        <v>1005</v>
      </c>
      <c r="D285" s="666">
        <v>1</v>
      </c>
      <c r="E285" s="789">
        <v>13</v>
      </c>
      <c r="G285" s="825"/>
      <c r="H285" s="816"/>
      <c r="J285" s="819"/>
    </row>
    <row r="286" spans="1:10" s="655" customFormat="1" ht="15.75" customHeight="1" x14ac:dyDescent="0.4">
      <c r="A286" s="820"/>
      <c r="B286" s="727" t="s">
        <v>934</v>
      </c>
      <c r="C286" s="666" t="s">
        <v>1005</v>
      </c>
      <c r="D286" s="666">
        <v>1</v>
      </c>
      <c r="E286" s="789">
        <v>117</v>
      </c>
      <c r="G286" s="825"/>
      <c r="H286" s="816"/>
      <c r="J286" s="819"/>
    </row>
    <row r="287" spans="1:10" s="655" customFormat="1" ht="15.75" customHeight="1" x14ac:dyDescent="0.4">
      <c r="A287" s="820"/>
      <c r="B287" s="727" t="s">
        <v>935</v>
      </c>
      <c r="C287" s="666" t="s">
        <v>1005</v>
      </c>
      <c r="D287" s="666">
        <v>1</v>
      </c>
      <c r="E287" s="789">
        <v>133</v>
      </c>
      <c r="G287" s="825"/>
      <c r="H287" s="816"/>
      <c r="J287" s="819"/>
    </row>
    <row r="288" spans="1:10" s="655" customFormat="1" ht="15.75" customHeight="1" x14ac:dyDescent="0.4">
      <c r="A288" s="820"/>
      <c r="B288" s="828" t="s">
        <v>936</v>
      </c>
      <c r="C288" s="666" t="s">
        <v>1005</v>
      </c>
      <c r="D288" s="666">
        <v>1</v>
      </c>
      <c r="E288" s="789">
        <f>129-40</f>
        <v>89</v>
      </c>
      <c r="G288" s="825"/>
      <c r="H288" s="816"/>
      <c r="J288" s="819"/>
    </row>
    <row r="289" spans="1:10" s="655" customFormat="1" ht="15.75" customHeight="1" x14ac:dyDescent="0.4">
      <c r="A289" s="820"/>
      <c r="B289" s="829" t="s">
        <v>937</v>
      </c>
      <c r="C289" s="666" t="s">
        <v>1005</v>
      </c>
      <c r="D289" s="666">
        <v>1</v>
      </c>
      <c r="E289" s="789">
        <v>15</v>
      </c>
      <c r="G289" s="825"/>
      <c r="H289" s="816"/>
      <c r="J289" s="819"/>
    </row>
    <row r="290" spans="1:10" s="655" customFormat="1" ht="15.75" customHeight="1" x14ac:dyDescent="0.4">
      <c r="A290" s="820"/>
      <c r="B290" s="727" t="s">
        <v>933</v>
      </c>
      <c r="C290" s="666" t="s">
        <v>1005</v>
      </c>
      <c r="D290" s="666">
        <v>1</v>
      </c>
      <c r="E290" s="789">
        <v>15</v>
      </c>
      <c r="G290" s="825"/>
      <c r="H290" s="816"/>
      <c r="J290" s="819"/>
    </row>
    <row r="291" spans="1:10" s="655" customFormat="1" ht="15.75" customHeight="1" x14ac:dyDescent="0.4">
      <c r="A291" s="820"/>
      <c r="B291" s="727" t="s">
        <v>938</v>
      </c>
      <c r="C291" s="666" t="s">
        <v>1005</v>
      </c>
      <c r="D291" s="666">
        <v>1</v>
      </c>
      <c r="E291" s="789">
        <v>13</v>
      </c>
      <c r="G291" s="825"/>
      <c r="H291" s="816"/>
      <c r="J291" s="819"/>
    </row>
    <row r="292" spans="1:10" s="655" customFormat="1" ht="15.75" customHeight="1" x14ac:dyDescent="0.4">
      <c r="A292" s="820"/>
      <c r="B292" s="793" t="s">
        <v>933</v>
      </c>
      <c r="C292" s="666" t="s">
        <v>1005</v>
      </c>
      <c r="D292" s="666">
        <v>1</v>
      </c>
      <c r="E292" s="789">
        <v>30</v>
      </c>
      <c r="G292" s="825"/>
      <c r="H292" s="816"/>
      <c r="J292" s="819"/>
    </row>
    <row r="293" spans="1:10" s="655" customFormat="1" ht="15.75" customHeight="1" x14ac:dyDescent="0.4">
      <c r="A293" s="820"/>
      <c r="B293" s="793" t="s">
        <v>933</v>
      </c>
      <c r="C293" s="666" t="s">
        <v>1005</v>
      </c>
      <c r="D293" s="666">
        <v>1</v>
      </c>
      <c r="E293" s="789">
        <v>8</v>
      </c>
      <c r="G293" s="825"/>
      <c r="H293" s="816"/>
      <c r="J293" s="819"/>
    </row>
    <row r="294" spans="1:10" s="655" customFormat="1" ht="15.75" customHeight="1" x14ac:dyDescent="0.4">
      <c r="A294" s="820"/>
      <c r="B294" s="830" t="s">
        <v>1141</v>
      </c>
      <c r="C294" s="666" t="s">
        <v>1005</v>
      </c>
      <c r="D294" s="666">
        <v>1</v>
      </c>
      <c r="E294" s="789">
        <f>64-4-2</f>
        <v>58</v>
      </c>
      <c r="G294" s="825"/>
      <c r="H294" s="816"/>
      <c r="J294" s="819"/>
    </row>
    <row r="295" spans="1:10" s="655" customFormat="1" ht="15.75" customHeight="1" x14ac:dyDescent="0.4">
      <c r="A295" s="820"/>
      <c r="B295" s="793" t="s">
        <v>933</v>
      </c>
      <c r="C295" s="666" t="s">
        <v>1005</v>
      </c>
      <c r="D295" s="666">
        <v>1</v>
      </c>
      <c r="E295" s="789">
        <v>23</v>
      </c>
      <c r="G295" s="825"/>
      <c r="H295" s="816"/>
      <c r="J295" s="819"/>
    </row>
    <row r="296" spans="1:10" s="655" customFormat="1" ht="15.75" customHeight="1" x14ac:dyDescent="0.4">
      <c r="A296" s="820"/>
      <c r="B296" s="793" t="s">
        <v>940</v>
      </c>
      <c r="C296" s="666" t="s">
        <v>1005</v>
      </c>
      <c r="D296" s="666">
        <v>1</v>
      </c>
      <c r="E296" s="789">
        <v>7</v>
      </c>
      <c r="G296" s="825"/>
      <c r="H296" s="816"/>
      <c r="J296" s="819"/>
    </row>
    <row r="297" spans="1:10" s="655" customFormat="1" ht="15.75" customHeight="1" x14ac:dyDescent="0.4">
      <c r="A297" s="820"/>
      <c r="B297" s="793" t="s">
        <v>933</v>
      </c>
      <c r="C297" s="666" t="s">
        <v>1005</v>
      </c>
      <c r="D297" s="666">
        <v>1</v>
      </c>
      <c r="E297" s="789">
        <v>17</v>
      </c>
      <c r="G297" s="825"/>
      <c r="H297" s="816"/>
      <c r="J297" s="819"/>
    </row>
    <row r="298" spans="1:10" s="655" customFormat="1" ht="15.75" customHeight="1" x14ac:dyDescent="0.4">
      <c r="A298" s="820"/>
      <c r="B298" s="793" t="s">
        <v>941</v>
      </c>
      <c r="C298" s="666" t="s">
        <v>1005</v>
      </c>
      <c r="D298" s="666">
        <v>1</v>
      </c>
      <c r="E298" s="789">
        <v>2</v>
      </c>
      <c r="G298" s="825"/>
      <c r="H298" s="816"/>
      <c r="J298" s="819"/>
    </row>
    <row r="299" spans="1:10" s="655" customFormat="1" ht="15.75" customHeight="1" x14ac:dyDescent="0.4">
      <c r="A299" s="820"/>
      <c r="B299" s="793" t="s">
        <v>942</v>
      </c>
      <c r="C299" s="666" t="s">
        <v>1005</v>
      </c>
      <c r="D299" s="666">
        <v>1</v>
      </c>
      <c r="E299" s="789">
        <v>7</v>
      </c>
      <c r="G299" s="825"/>
      <c r="H299" s="816"/>
      <c r="J299" s="819"/>
    </row>
    <row r="300" spans="1:10" s="655" customFormat="1" ht="15.75" customHeight="1" x14ac:dyDescent="0.4">
      <c r="A300" s="820"/>
      <c r="B300" s="831" t="s">
        <v>940</v>
      </c>
      <c r="C300" s="666" t="s">
        <v>1005</v>
      </c>
      <c r="D300" s="666">
        <v>1</v>
      </c>
      <c r="E300" s="789">
        <v>18</v>
      </c>
      <c r="G300" s="825"/>
      <c r="H300" s="816"/>
      <c r="J300" s="819"/>
    </row>
    <row r="301" spans="1:10" s="655" customFormat="1" ht="15.75" customHeight="1" x14ac:dyDescent="0.4">
      <c r="A301" s="820"/>
      <c r="B301" s="793" t="s">
        <v>943</v>
      </c>
      <c r="C301" s="666" t="s">
        <v>1005</v>
      </c>
      <c r="D301" s="666">
        <v>1</v>
      </c>
      <c r="E301" s="789">
        <v>3</v>
      </c>
      <c r="G301" s="825"/>
      <c r="H301" s="816"/>
      <c r="J301" s="819"/>
    </row>
    <row r="302" spans="1:10" s="655" customFormat="1" ht="15.75" customHeight="1" x14ac:dyDescent="0.4">
      <c r="A302" s="820"/>
      <c r="B302" s="793" t="s">
        <v>940</v>
      </c>
      <c r="C302" s="666" t="s">
        <v>1005</v>
      </c>
      <c r="D302" s="666">
        <v>1</v>
      </c>
      <c r="E302" s="789">
        <v>15</v>
      </c>
      <c r="G302" s="825"/>
      <c r="H302" s="816"/>
      <c r="J302" s="819"/>
    </row>
    <row r="303" spans="1:10" s="655" customFormat="1" ht="15.75" customHeight="1" x14ac:dyDescent="0.4">
      <c r="A303" s="820"/>
      <c r="B303" s="793" t="s">
        <v>933</v>
      </c>
      <c r="C303" s="666" t="s">
        <v>1005</v>
      </c>
      <c r="D303" s="666">
        <v>1</v>
      </c>
      <c r="E303" s="789">
        <v>26</v>
      </c>
      <c r="G303" s="825"/>
      <c r="H303" s="816"/>
      <c r="J303" s="819"/>
    </row>
    <row r="304" spans="1:10" s="655" customFormat="1" ht="15.75" customHeight="1" x14ac:dyDescent="0.4">
      <c r="A304" s="820"/>
      <c r="B304" s="788" t="s">
        <v>962</v>
      </c>
      <c r="C304" s="666" t="s">
        <v>1005</v>
      </c>
      <c r="D304" s="666">
        <v>1</v>
      </c>
      <c r="E304" s="789">
        <v>130</v>
      </c>
      <c r="G304" s="825"/>
      <c r="H304" s="816"/>
      <c r="J304" s="819"/>
    </row>
    <row r="305" spans="1:10" s="655" customFormat="1" ht="15.75" customHeight="1" x14ac:dyDescent="0.4">
      <c r="A305" s="820"/>
      <c r="B305" s="832" t="s">
        <v>963</v>
      </c>
      <c r="C305" s="666" t="s">
        <v>1005</v>
      </c>
      <c r="D305" s="666">
        <v>1</v>
      </c>
      <c r="E305" s="789">
        <v>122</v>
      </c>
      <c r="G305" s="825"/>
      <c r="H305" s="816"/>
      <c r="J305" s="819"/>
    </row>
    <row r="306" spans="1:10" s="655" customFormat="1" ht="15.75" customHeight="1" x14ac:dyDescent="0.4">
      <c r="A306" s="820"/>
      <c r="B306" s="751" t="s">
        <v>1142</v>
      </c>
      <c r="C306" s="666"/>
      <c r="D306" s="666"/>
      <c r="E306" s="826">
        <f>SUM(E307:E317)</f>
        <v>266</v>
      </c>
      <c r="G306" s="825"/>
      <c r="H306" s="816"/>
      <c r="J306" s="819"/>
    </row>
    <row r="307" spans="1:10" s="655" customFormat="1" ht="15.75" customHeight="1" x14ac:dyDescent="0.4">
      <c r="A307" s="820"/>
      <c r="B307" s="801" t="s">
        <v>944</v>
      </c>
      <c r="C307" s="666" t="s">
        <v>1005</v>
      </c>
      <c r="D307" s="666">
        <v>1</v>
      </c>
      <c r="E307" s="750">
        <v>35</v>
      </c>
      <c r="G307" s="825"/>
      <c r="H307" s="816"/>
      <c r="J307" s="819"/>
    </row>
    <row r="308" spans="1:10" s="655" customFormat="1" ht="15.75" customHeight="1" x14ac:dyDescent="0.4">
      <c r="A308" s="820"/>
      <c r="B308" s="801" t="s">
        <v>945</v>
      </c>
      <c r="C308" s="666" t="s">
        <v>1005</v>
      </c>
      <c r="D308" s="666">
        <v>1</v>
      </c>
      <c r="E308" s="750">
        <v>12</v>
      </c>
      <c r="G308" s="825"/>
      <c r="H308" s="816"/>
      <c r="J308" s="819"/>
    </row>
    <row r="309" spans="1:10" s="655" customFormat="1" ht="15.75" customHeight="1" x14ac:dyDescent="0.4">
      <c r="A309" s="820"/>
      <c r="B309" s="802" t="s">
        <v>946</v>
      </c>
      <c r="C309" s="666" t="s">
        <v>1005</v>
      </c>
      <c r="D309" s="666">
        <v>1</v>
      </c>
      <c r="E309" s="750">
        <v>30</v>
      </c>
      <c r="G309" s="825"/>
      <c r="H309" s="816"/>
      <c r="J309" s="819"/>
    </row>
    <row r="310" spans="1:10" s="655" customFormat="1" ht="15.75" customHeight="1" x14ac:dyDescent="0.4">
      <c r="A310" s="820"/>
      <c r="B310" s="802" t="s">
        <v>947</v>
      </c>
      <c r="C310" s="666" t="s">
        <v>1005</v>
      </c>
      <c r="D310" s="666">
        <v>1</v>
      </c>
      <c r="E310" s="750">
        <v>18</v>
      </c>
      <c r="G310" s="825"/>
      <c r="H310" s="816"/>
      <c r="J310" s="819"/>
    </row>
    <row r="311" spans="1:10" s="655" customFormat="1" ht="15.75" customHeight="1" x14ac:dyDescent="0.4">
      <c r="A311" s="820"/>
      <c r="B311" s="802" t="s">
        <v>948</v>
      </c>
      <c r="C311" s="666" t="s">
        <v>1005</v>
      </c>
      <c r="D311" s="666">
        <v>1</v>
      </c>
      <c r="E311" s="750">
        <v>15</v>
      </c>
      <c r="G311" s="825"/>
      <c r="H311" s="816"/>
      <c r="J311" s="819"/>
    </row>
    <row r="312" spans="1:10" s="655" customFormat="1" ht="15.75" customHeight="1" x14ac:dyDescent="0.4">
      <c r="A312" s="820"/>
      <c r="B312" s="802" t="s">
        <v>949</v>
      </c>
      <c r="C312" s="666" t="s">
        <v>1005</v>
      </c>
      <c r="D312" s="666">
        <v>1</v>
      </c>
      <c r="E312" s="750">
        <v>26</v>
      </c>
      <c r="G312" s="825"/>
      <c r="H312" s="816"/>
      <c r="J312" s="819"/>
    </row>
    <row r="313" spans="1:10" s="655" customFormat="1" ht="15.75" customHeight="1" x14ac:dyDescent="0.4">
      <c r="A313" s="820"/>
      <c r="B313" s="801" t="s">
        <v>950</v>
      </c>
      <c r="C313" s="666" t="s">
        <v>1005</v>
      </c>
      <c r="D313" s="666">
        <v>1</v>
      </c>
      <c r="E313" s="750">
        <v>19</v>
      </c>
      <c r="G313" s="825"/>
      <c r="H313" s="816"/>
      <c r="J313" s="819"/>
    </row>
    <row r="314" spans="1:10" s="655" customFormat="1" ht="15.75" customHeight="1" x14ac:dyDescent="0.4">
      <c r="A314" s="820"/>
      <c r="B314" s="803" t="s">
        <v>951</v>
      </c>
      <c r="C314" s="666" t="s">
        <v>1005</v>
      </c>
      <c r="D314" s="666">
        <v>1</v>
      </c>
      <c r="E314" s="750">
        <v>12</v>
      </c>
      <c r="G314" s="825"/>
      <c r="H314" s="816"/>
      <c r="J314" s="819"/>
    </row>
    <row r="315" spans="1:10" s="655" customFormat="1" ht="15.75" customHeight="1" x14ac:dyDescent="0.4">
      <c r="A315" s="820"/>
      <c r="B315" s="803" t="s">
        <v>952</v>
      </c>
      <c r="C315" s="666" t="s">
        <v>1005</v>
      </c>
      <c r="D315" s="666">
        <v>1</v>
      </c>
      <c r="E315" s="750">
        <v>38</v>
      </c>
      <c r="G315" s="825"/>
      <c r="H315" s="816"/>
      <c r="J315" s="819"/>
    </row>
    <row r="316" spans="1:10" s="655" customFormat="1" ht="15.75" customHeight="1" x14ac:dyDescent="0.4">
      <c r="A316" s="820"/>
      <c r="B316" s="801" t="s">
        <v>946</v>
      </c>
      <c r="C316" s="666" t="s">
        <v>1005</v>
      </c>
      <c r="D316" s="666">
        <v>1</v>
      </c>
      <c r="E316" s="750">
        <v>10</v>
      </c>
      <c r="G316" s="825"/>
      <c r="H316" s="816"/>
      <c r="J316" s="819"/>
    </row>
    <row r="317" spans="1:10" s="655" customFormat="1" ht="15.75" customHeight="1" x14ac:dyDescent="0.4">
      <c r="A317" s="820"/>
      <c r="B317" s="778" t="s">
        <v>966</v>
      </c>
      <c r="C317" s="666" t="s">
        <v>1005</v>
      </c>
      <c r="D317" s="666">
        <v>1</v>
      </c>
      <c r="E317" s="750">
        <v>51</v>
      </c>
      <c r="G317" s="825"/>
      <c r="H317" s="816"/>
      <c r="J317" s="819"/>
    </row>
    <row r="318" spans="1:10" s="655" customFormat="1" ht="15.75" customHeight="1" x14ac:dyDescent="0.4">
      <c r="A318" s="820"/>
      <c r="B318" s="663" t="s">
        <v>1093</v>
      </c>
      <c r="C318" s="666"/>
      <c r="D318" s="666"/>
      <c r="E318" s="722">
        <f>E319</f>
        <v>3</v>
      </c>
      <c r="G318" s="825"/>
      <c r="H318" s="816"/>
      <c r="J318" s="819"/>
    </row>
    <row r="319" spans="1:10" s="655" customFormat="1" ht="15.75" customHeight="1" x14ac:dyDescent="0.4">
      <c r="A319" s="820"/>
      <c r="B319" s="833" t="s">
        <v>958</v>
      </c>
      <c r="C319" s="666" t="s">
        <v>1005</v>
      </c>
      <c r="D319" s="666">
        <v>1</v>
      </c>
      <c r="E319" s="750">
        <v>3</v>
      </c>
      <c r="G319" s="825"/>
      <c r="H319" s="816"/>
      <c r="J319" s="819"/>
    </row>
    <row r="320" spans="1:10" s="655" customFormat="1" ht="15.75" customHeight="1" x14ac:dyDescent="0.4">
      <c r="A320" s="820"/>
      <c r="B320" s="834" t="s">
        <v>1045</v>
      </c>
      <c r="C320" s="666"/>
      <c r="D320" s="666"/>
      <c r="E320" s="779">
        <f>E321+E322</f>
        <v>931</v>
      </c>
      <c r="G320" s="825"/>
      <c r="H320" s="816"/>
      <c r="J320" s="819"/>
    </row>
    <row r="321" spans="1:61" s="615" customFormat="1" ht="15.75" customHeight="1" x14ac:dyDescent="0.4">
      <c r="A321" s="626"/>
      <c r="B321" s="835" t="s">
        <v>968</v>
      </c>
      <c r="C321" s="798" t="s">
        <v>1005</v>
      </c>
      <c r="D321" s="798">
        <v>1</v>
      </c>
      <c r="E321" s="814">
        <f>800+26+30</f>
        <v>856</v>
      </c>
      <c r="G321" s="836"/>
      <c r="H321" s="614"/>
      <c r="J321" s="610"/>
    </row>
    <row r="322" spans="1:61" s="615" customFormat="1" ht="15.75" customHeight="1" x14ac:dyDescent="0.4">
      <c r="A322" s="626"/>
      <c r="B322" s="703" t="s">
        <v>970</v>
      </c>
      <c r="C322" s="666" t="s">
        <v>1005</v>
      </c>
      <c r="D322" s="666">
        <v>1</v>
      </c>
      <c r="E322" s="769">
        <v>75</v>
      </c>
      <c r="G322" s="836"/>
      <c r="H322" s="614"/>
      <c r="J322" s="610"/>
    </row>
    <row r="323" spans="1:61" s="840" customFormat="1" ht="15.75" customHeight="1" x14ac:dyDescent="0.4">
      <c r="A323" s="837"/>
      <c r="B323" s="838" t="s">
        <v>1143</v>
      </c>
      <c r="C323" s="968"/>
      <c r="D323" s="969"/>
      <c r="E323" s="839">
        <f>E324+E325+E454+E500+E502</f>
        <v>36661.5</v>
      </c>
      <c r="G323" s="648"/>
      <c r="H323" s="841"/>
      <c r="I323" s="655"/>
      <c r="J323" s="649"/>
      <c r="K323" s="650"/>
      <c r="L323" s="655"/>
      <c r="M323" s="650"/>
      <c r="N323" s="650"/>
      <c r="O323" s="650"/>
      <c r="P323" s="655"/>
      <c r="Q323" s="655"/>
      <c r="R323" s="655"/>
      <c r="S323" s="655"/>
      <c r="T323" s="655"/>
      <c r="U323" s="655"/>
      <c r="V323" s="655"/>
      <c r="W323" s="655"/>
      <c r="X323" s="655"/>
      <c r="Y323" s="655"/>
      <c r="Z323" s="655"/>
      <c r="AA323" s="655"/>
      <c r="AB323" s="655"/>
      <c r="AC323" s="655"/>
      <c r="AD323" s="655"/>
      <c r="AE323" s="655"/>
      <c r="AF323" s="655"/>
      <c r="AG323" s="655"/>
      <c r="AH323" s="655"/>
      <c r="AI323" s="655"/>
      <c r="AJ323" s="655"/>
      <c r="AK323" s="655"/>
      <c r="AL323" s="655"/>
      <c r="AM323" s="655"/>
      <c r="AN323" s="655"/>
      <c r="AO323" s="655"/>
      <c r="AP323" s="655"/>
      <c r="AQ323" s="655"/>
      <c r="AR323" s="655"/>
      <c r="AS323" s="655"/>
      <c r="AT323" s="655"/>
      <c r="AU323" s="655"/>
      <c r="AV323" s="655"/>
      <c r="AW323" s="655"/>
      <c r="AX323" s="655"/>
      <c r="AY323" s="655"/>
      <c r="AZ323" s="655"/>
      <c r="BA323" s="655"/>
      <c r="BB323" s="655"/>
      <c r="BC323" s="655"/>
      <c r="BD323" s="655"/>
      <c r="BE323" s="655"/>
      <c r="BF323" s="655"/>
      <c r="BG323" s="655"/>
      <c r="BH323" s="655"/>
      <c r="BI323" s="655"/>
    </row>
    <row r="324" spans="1:61" s="655" customFormat="1" ht="15.75" customHeight="1" x14ac:dyDescent="0.4">
      <c r="A324" s="842" t="s">
        <v>1144</v>
      </c>
      <c r="B324" s="843"/>
      <c r="C324" s="844"/>
      <c r="D324" s="844"/>
      <c r="E324" s="766">
        <v>0</v>
      </c>
      <c r="G324" s="648"/>
      <c r="H324" s="651"/>
    </row>
    <row r="325" spans="1:61" s="655" customFormat="1" ht="15.75" customHeight="1" x14ac:dyDescent="0.4">
      <c r="A325" s="842" t="s">
        <v>1006</v>
      </c>
      <c r="B325" s="845"/>
      <c r="C325" s="844"/>
      <c r="D325" s="844"/>
      <c r="E325" s="766">
        <f>E326+E432</f>
        <v>22686.5</v>
      </c>
      <c r="G325" s="648"/>
      <c r="H325" s="651"/>
      <c r="K325" s="650"/>
      <c r="L325" s="650"/>
      <c r="M325" s="650"/>
    </row>
    <row r="326" spans="1:61" s="655" customFormat="1" ht="18" customHeight="1" x14ac:dyDescent="0.4">
      <c r="A326" s="816"/>
      <c r="B326" s="846" t="s">
        <v>1145</v>
      </c>
      <c r="C326" s="724" t="s">
        <v>1146</v>
      </c>
      <c r="D326" s="847"/>
      <c r="E326" s="847">
        <f>E327+E351+E414+E386+E380+E374+E429+E384+E370</f>
        <v>22519.5</v>
      </c>
      <c r="G326" s="648"/>
      <c r="H326" s="651"/>
      <c r="I326" s="650"/>
      <c r="K326" s="650"/>
      <c r="L326" s="650"/>
      <c r="M326" s="650"/>
      <c r="O326" s="650"/>
    </row>
    <row r="327" spans="1:61" s="655" customFormat="1" ht="18" customHeight="1" x14ac:dyDescent="0.4">
      <c r="A327" s="816"/>
      <c r="B327" s="848" t="s">
        <v>1147</v>
      </c>
      <c r="C327" s="849"/>
      <c r="D327" s="849"/>
      <c r="E327" s="850">
        <f>SUM(E328:E350)</f>
        <v>7123</v>
      </c>
      <c r="G327" s="648"/>
      <c r="H327" s="651"/>
      <c r="I327" s="650"/>
      <c r="K327" s="650"/>
      <c r="L327" s="650"/>
      <c r="M327" s="650"/>
      <c r="O327" s="650"/>
    </row>
    <row r="328" spans="1:61" s="655" customFormat="1" ht="18" customHeight="1" x14ac:dyDescent="0.4">
      <c r="A328" s="816"/>
      <c r="B328" s="822" t="s">
        <v>1148</v>
      </c>
      <c r="C328" s="666" t="s">
        <v>1005</v>
      </c>
      <c r="D328" s="851">
        <v>1</v>
      </c>
      <c r="E328" s="769">
        <v>120</v>
      </c>
      <c r="G328" s="648"/>
      <c r="H328" s="651"/>
      <c r="I328" s="650"/>
      <c r="K328" s="650"/>
      <c r="L328" s="650"/>
      <c r="M328" s="650"/>
      <c r="O328" s="650"/>
    </row>
    <row r="329" spans="1:61" s="655" customFormat="1" ht="18" customHeight="1" x14ac:dyDescent="0.4">
      <c r="A329" s="816"/>
      <c r="B329" s="852" t="s">
        <v>342</v>
      </c>
      <c r="C329" s="666" t="s">
        <v>1005</v>
      </c>
      <c r="D329" s="851">
        <v>1</v>
      </c>
      <c r="E329" s="769">
        <v>40</v>
      </c>
      <c r="G329" s="648"/>
      <c r="H329" s="651"/>
      <c r="I329" s="650"/>
      <c r="K329" s="650"/>
      <c r="L329" s="650"/>
      <c r="M329" s="650"/>
      <c r="O329" s="650"/>
    </row>
    <row r="330" spans="1:61" s="655" customFormat="1" ht="18" customHeight="1" x14ac:dyDescent="0.4">
      <c r="A330" s="816"/>
      <c r="B330" s="852" t="s">
        <v>343</v>
      </c>
      <c r="C330" s="666" t="s">
        <v>1005</v>
      </c>
      <c r="D330" s="851">
        <v>1</v>
      </c>
      <c r="E330" s="769">
        <v>35</v>
      </c>
      <c r="G330" s="648"/>
      <c r="H330" s="651"/>
      <c r="I330" s="650"/>
      <c r="K330" s="650"/>
      <c r="L330" s="650"/>
      <c r="M330" s="650"/>
      <c r="O330" s="650"/>
    </row>
    <row r="331" spans="1:61" s="655" customFormat="1" x14ac:dyDescent="0.4">
      <c r="A331" s="816"/>
      <c r="B331" s="852" t="s">
        <v>344</v>
      </c>
      <c r="C331" s="666" t="s">
        <v>1005</v>
      </c>
      <c r="D331" s="851">
        <v>1</v>
      </c>
      <c r="E331" s="769">
        <v>69</v>
      </c>
      <c r="G331" s="648"/>
      <c r="H331" s="651"/>
      <c r="I331" s="650"/>
      <c r="K331" s="650"/>
      <c r="L331" s="650"/>
      <c r="M331" s="650"/>
      <c r="O331" s="650"/>
    </row>
    <row r="332" spans="1:61" s="655" customFormat="1" x14ac:dyDescent="0.4">
      <c r="A332" s="816"/>
      <c r="B332" s="822" t="s">
        <v>334</v>
      </c>
      <c r="C332" s="666" t="s">
        <v>1005</v>
      </c>
      <c r="D332" s="851">
        <v>1</v>
      </c>
      <c r="E332" s="769">
        <v>200</v>
      </c>
      <c r="G332" s="648"/>
      <c r="H332" s="651"/>
      <c r="I332" s="650"/>
      <c r="K332" s="650"/>
      <c r="L332" s="650"/>
      <c r="M332" s="650"/>
      <c r="O332" s="650"/>
    </row>
    <row r="333" spans="1:61" s="655" customFormat="1" x14ac:dyDescent="0.4">
      <c r="A333" s="816"/>
      <c r="B333" s="822" t="s">
        <v>335</v>
      </c>
      <c r="C333" s="666" t="s">
        <v>1005</v>
      </c>
      <c r="D333" s="851">
        <v>1</v>
      </c>
      <c r="E333" s="769">
        <v>156</v>
      </c>
      <c r="G333" s="648"/>
      <c r="H333" s="651"/>
      <c r="I333" s="650"/>
      <c r="K333" s="650"/>
      <c r="L333" s="650"/>
      <c r="M333" s="650"/>
      <c r="O333" s="650"/>
    </row>
    <row r="334" spans="1:61" s="655" customFormat="1" ht="18" customHeight="1" x14ac:dyDescent="0.4">
      <c r="A334" s="816"/>
      <c r="B334" s="822" t="s">
        <v>336</v>
      </c>
      <c r="C334" s="666" t="s">
        <v>1005</v>
      </c>
      <c r="D334" s="851">
        <v>2</v>
      </c>
      <c r="E334" s="769">
        <v>134</v>
      </c>
      <c r="G334" s="648"/>
      <c r="H334" s="651"/>
      <c r="I334" s="650"/>
      <c r="K334" s="650"/>
      <c r="L334" s="650"/>
      <c r="M334" s="650"/>
      <c r="O334" s="650"/>
    </row>
    <row r="335" spans="1:61" s="655" customFormat="1" ht="18" customHeight="1" x14ac:dyDescent="0.4">
      <c r="A335" s="816"/>
      <c r="B335" s="822" t="s">
        <v>337</v>
      </c>
      <c r="C335" s="666" t="s">
        <v>1005</v>
      </c>
      <c r="D335" s="851">
        <v>1</v>
      </c>
      <c r="E335" s="769">
        <v>256</v>
      </c>
      <c r="G335" s="648"/>
      <c r="H335" s="651"/>
      <c r="I335" s="650"/>
      <c r="K335" s="650"/>
      <c r="L335" s="650"/>
      <c r="M335" s="650"/>
      <c r="O335" s="650"/>
    </row>
    <row r="336" spans="1:61" s="655" customFormat="1" ht="18" customHeight="1" x14ac:dyDescent="0.4">
      <c r="A336" s="816"/>
      <c r="B336" s="822" t="s">
        <v>338</v>
      </c>
      <c r="C336" s="666" t="s">
        <v>1005</v>
      </c>
      <c r="D336" s="851">
        <v>1</v>
      </c>
      <c r="E336" s="769">
        <v>100</v>
      </c>
      <c r="G336" s="648"/>
      <c r="H336" s="651"/>
      <c r="I336" s="650"/>
      <c r="K336" s="650"/>
      <c r="L336" s="650"/>
      <c r="M336" s="650"/>
      <c r="O336" s="650"/>
    </row>
    <row r="337" spans="1:15" s="655" customFormat="1" ht="18" customHeight="1" x14ac:dyDescent="0.4">
      <c r="A337" s="816"/>
      <c r="B337" s="822" t="s">
        <v>339</v>
      </c>
      <c r="C337" s="666" t="s">
        <v>1005</v>
      </c>
      <c r="D337" s="851">
        <v>2</v>
      </c>
      <c r="E337" s="769">
        <v>54</v>
      </c>
      <c r="G337" s="648"/>
      <c r="H337" s="651"/>
      <c r="I337" s="650"/>
      <c r="K337" s="650"/>
      <c r="L337" s="650"/>
      <c r="M337" s="650"/>
      <c r="O337" s="650"/>
    </row>
    <row r="338" spans="1:15" s="655" customFormat="1" ht="18" customHeight="1" x14ac:dyDescent="0.4">
      <c r="A338" s="816"/>
      <c r="B338" s="822" t="s">
        <v>340</v>
      </c>
      <c r="C338" s="666" t="s">
        <v>1005</v>
      </c>
      <c r="D338" s="851">
        <v>2</v>
      </c>
      <c r="E338" s="769">
        <v>700</v>
      </c>
      <c r="G338" s="648"/>
      <c r="H338" s="651"/>
      <c r="I338" s="650"/>
      <c r="K338" s="650"/>
      <c r="L338" s="650"/>
      <c r="M338" s="650"/>
      <c r="O338" s="650"/>
    </row>
    <row r="339" spans="1:15" s="655" customFormat="1" ht="18" customHeight="1" x14ac:dyDescent="0.4">
      <c r="A339" s="816"/>
      <c r="B339" s="822" t="s">
        <v>458</v>
      </c>
      <c r="C339" s="666" t="s">
        <v>1005</v>
      </c>
      <c r="D339" s="851">
        <v>1</v>
      </c>
      <c r="E339" s="769">
        <v>25</v>
      </c>
      <c r="G339" s="648"/>
      <c r="H339" s="651"/>
      <c r="I339" s="650"/>
      <c r="K339" s="650"/>
      <c r="L339" s="650"/>
      <c r="M339" s="650"/>
      <c r="O339" s="650"/>
    </row>
    <row r="340" spans="1:15" s="655" customFormat="1" ht="18" customHeight="1" x14ac:dyDescent="0.4">
      <c r="A340" s="816"/>
      <c r="B340" s="853" t="s">
        <v>345</v>
      </c>
      <c r="C340" s="666" t="s">
        <v>1005</v>
      </c>
      <c r="D340" s="851">
        <v>1</v>
      </c>
      <c r="E340" s="769">
        <v>100</v>
      </c>
      <c r="G340" s="648"/>
      <c r="H340" s="651"/>
      <c r="I340" s="650"/>
      <c r="K340" s="650"/>
      <c r="L340" s="650"/>
      <c r="M340" s="650"/>
      <c r="O340" s="650"/>
    </row>
    <row r="341" spans="1:15" s="655" customFormat="1" ht="18" customHeight="1" x14ac:dyDescent="0.4">
      <c r="A341" s="816"/>
      <c r="B341" s="853" t="s">
        <v>1149</v>
      </c>
      <c r="C341" s="666" t="s">
        <v>1005</v>
      </c>
      <c r="D341" s="851">
        <v>15</v>
      </c>
      <c r="E341" s="769">
        <v>22</v>
      </c>
      <c r="G341" s="648"/>
      <c r="H341" s="651"/>
      <c r="I341" s="650"/>
      <c r="K341" s="650"/>
      <c r="L341" s="650"/>
      <c r="M341" s="650"/>
      <c r="O341" s="650"/>
    </row>
    <row r="342" spans="1:15" s="655" customFormat="1" ht="18" customHeight="1" x14ac:dyDescent="0.4">
      <c r="A342" s="816"/>
      <c r="B342" s="853" t="s">
        <v>1150</v>
      </c>
      <c r="C342" s="666" t="s">
        <v>1005</v>
      </c>
      <c r="D342" s="851">
        <v>1</v>
      </c>
      <c r="E342" s="769">
        <v>6</v>
      </c>
      <c r="G342" s="648"/>
      <c r="H342" s="651"/>
      <c r="I342" s="650"/>
      <c r="K342" s="650"/>
      <c r="L342" s="650"/>
      <c r="M342" s="650"/>
      <c r="O342" s="650"/>
    </row>
    <row r="343" spans="1:15" s="655" customFormat="1" x14ac:dyDescent="0.4">
      <c r="A343" s="816"/>
      <c r="B343" s="853" t="s">
        <v>346</v>
      </c>
      <c r="C343" s="666" t="s">
        <v>1005</v>
      </c>
      <c r="D343" s="666">
        <v>1</v>
      </c>
      <c r="E343" s="769">
        <v>5000</v>
      </c>
      <c r="G343" s="648"/>
      <c r="H343" s="651"/>
      <c r="I343" s="650"/>
      <c r="K343" s="650"/>
      <c r="L343" s="650"/>
      <c r="M343" s="650"/>
      <c r="O343" s="650"/>
    </row>
    <row r="344" spans="1:15" s="655" customFormat="1" x14ac:dyDescent="0.4">
      <c r="A344" s="816"/>
      <c r="B344" s="853" t="s">
        <v>347</v>
      </c>
      <c r="C344" s="666" t="s">
        <v>1005</v>
      </c>
      <c r="D344" s="666">
        <v>1</v>
      </c>
      <c r="E344" s="769">
        <v>4</v>
      </c>
      <c r="G344" s="648"/>
      <c r="H344" s="651"/>
      <c r="I344" s="650"/>
      <c r="K344" s="650"/>
      <c r="L344" s="650"/>
      <c r="M344" s="650"/>
      <c r="O344" s="650"/>
    </row>
    <row r="345" spans="1:15" s="655" customFormat="1" x14ac:dyDescent="0.4">
      <c r="A345" s="816"/>
      <c r="B345" s="853" t="s">
        <v>348</v>
      </c>
      <c r="C345" s="666" t="s">
        <v>1005</v>
      </c>
      <c r="D345" s="666">
        <v>1</v>
      </c>
      <c r="E345" s="769">
        <v>34</v>
      </c>
      <c r="G345" s="648"/>
      <c r="H345" s="651"/>
      <c r="I345" s="650"/>
      <c r="K345" s="650"/>
      <c r="L345" s="650"/>
      <c r="M345" s="650"/>
      <c r="O345" s="650"/>
    </row>
    <row r="346" spans="1:15" s="655" customFormat="1" x14ac:dyDescent="0.4">
      <c r="A346" s="816"/>
      <c r="B346" s="853" t="s">
        <v>349</v>
      </c>
      <c r="C346" s="666" t="s">
        <v>1005</v>
      </c>
      <c r="D346" s="666">
        <v>1</v>
      </c>
      <c r="E346" s="769">
        <v>8</v>
      </c>
      <c r="G346" s="648"/>
      <c r="H346" s="651"/>
      <c r="I346" s="650"/>
      <c r="K346" s="650"/>
      <c r="L346" s="650"/>
      <c r="M346" s="650"/>
      <c r="O346" s="650"/>
    </row>
    <row r="347" spans="1:15" s="655" customFormat="1" x14ac:dyDescent="0.4">
      <c r="A347" s="816"/>
      <c r="B347" s="853" t="s">
        <v>461</v>
      </c>
      <c r="C347" s="666" t="s">
        <v>1005</v>
      </c>
      <c r="D347" s="666">
        <v>1</v>
      </c>
      <c r="E347" s="769">
        <v>12</v>
      </c>
      <c r="G347" s="648"/>
      <c r="H347" s="651"/>
      <c r="I347" s="650"/>
      <c r="K347" s="650"/>
      <c r="L347" s="650"/>
      <c r="M347" s="650"/>
      <c r="O347" s="650"/>
    </row>
    <row r="348" spans="1:15" s="655" customFormat="1" x14ac:dyDescent="0.4">
      <c r="A348" s="816"/>
      <c r="B348" s="853" t="s">
        <v>350</v>
      </c>
      <c r="C348" s="666" t="s">
        <v>1005</v>
      </c>
      <c r="D348" s="666">
        <v>1</v>
      </c>
      <c r="E348" s="769">
        <v>10</v>
      </c>
      <c r="G348" s="648"/>
      <c r="H348" s="651"/>
      <c r="I348" s="650"/>
      <c r="K348" s="650"/>
      <c r="L348" s="650"/>
      <c r="M348" s="650"/>
      <c r="O348" s="650"/>
    </row>
    <row r="349" spans="1:15" s="655" customFormat="1" x14ac:dyDescent="0.4">
      <c r="A349" s="816"/>
      <c r="B349" s="853" t="s">
        <v>351</v>
      </c>
      <c r="C349" s="666" t="s">
        <v>1005</v>
      </c>
      <c r="D349" s="666">
        <v>1</v>
      </c>
      <c r="E349" s="769">
        <v>5</v>
      </c>
      <c r="G349" s="648"/>
      <c r="H349" s="651"/>
      <c r="I349" s="650"/>
      <c r="K349" s="650"/>
      <c r="L349" s="650"/>
      <c r="M349" s="650"/>
      <c r="O349" s="650"/>
    </row>
    <row r="350" spans="1:15" s="655" customFormat="1" x14ac:dyDescent="0.4">
      <c r="A350" s="816"/>
      <c r="B350" s="685" t="s">
        <v>352</v>
      </c>
      <c r="C350" s="666" t="s">
        <v>1005</v>
      </c>
      <c r="D350" s="666">
        <v>1</v>
      </c>
      <c r="E350" s="769">
        <v>33</v>
      </c>
      <c r="G350" s="648"/>
      <c r="H350" s="651"/>
      <c r="I350" s="650"/>
      <c r="K350" s="650"/>
      <c r="L350" s="650"/>
      <c r="M350" s="650"/>
      <c r="O350" s="650"/>
    </row>
    <row r="351" spans="1:15" s="655" customFormat="1" ht="15.75" customHeight="1" x14ac:dyDescent="0.4">
      <c r="A351" s="743"/>
      <c r="B351" s="854" t="s">
        <v>1151</v>
      </c>
      <c r="C351" s="666"/>
      <c r="D351" s="666"/>
      <c r="E351" s="779">
        <f>SUM(E352:E369)</f>
        <v>4543</v>
      </c>
      <c r="G351" s="648"/>
      <c r="H351" s="816"/>
      <c r="M351" s="731"/>
      <c r="N351" s="715"/>
      <c r="O351" s="650"/>
    </row>
    <row r="352" spans="1:15" s="655" customFormat="1" ht="15" customHeight="1" x14ac:dyDescent="0.4">
      <c r="A352" s="743"/>
      <c r="B352" s="853" t="s">
        <v>355</v>
      </c>
      <c r="C352" s="666" t="s">
        <v>1005</v>
      </c>
      <c r="D352" s="666">
        <v>1</v>
      </c>
      <c r="E352" s="769">
        <v>179</v>
      </c>
      <c r="G352" s="648"/>
      <c r="H352" s="648"/>
      <c r="I352" s="648"/>
      <c r="J352" s="648"/>
      <c r="M352" s="731"/>
      <c r="N352" s="715"/>
    </row>
    <row r="353" spans="1:14" s="655" customFormat="1" ht="15" customHeight="1" x14ac:dyDescent="0.4">
      <c r="A353" s="743"/>
      <c r="B353" s="853" t="s">
        <v>356</v>
      </c>
      <c r="C353" s="666" t="s">
        <v>1005</v>
      </c>
      <c r="D353" s="666">
        <v>1</v>
      </c>
      <c r="E353" s="769">
        <v>22</v>
      </c>
      <c r="G353" s="648"/>
      <c r="H353" s="648"/>
      <c r="I353" s="648"/>
      <c r="J353" s="648"/>
      <c r="M353" s="731"/>
      <c r="N353" s="715"/>
    </row>
    <row r="354" spans="1:14" s="655" customFormat="1" ht="15" customHeight="1" x14ac:dyDescent="0.4">
      <c r="A354" s="743"/>
      <c r="B354" s="853" t="s">
        <v>357</v>
      </c>
      <c r="C354" s="666" t="s">
        <v>1005</v>
      </c>
      <c r="D354" s="666">
        <v>1</v>
      </c>
      <c r="E354" s="769">
        <v>16</v>
      </c>
      <c r="G354" s="648"/>
      <c r="H354" s="648"/>
      <c r="I354" s="648"/>
      <c r="J354" s="648"/>
      <c r="M354" s="731"/>
      <c r="N354" s="715"/>
    </row>
    <row r="355" spans="1:14" s="655" customFormat="1" ht="15" customHeight="1" x14ac:dyDescent="0.4">
      <c r="A355" s="743"/>
      <c r="B355" s="853" t="s">
        <v>358</v>
      </c>
      <c r="C355" s="666" t="s">
        <v>1005</v>
      </c>
      <c r="D355" s="666">
        <v>1</v>
      </c>
      <c r="E355" s="769">
        <v>16</v>
      </c>
      <c r="G355" s="648"/>
      <c r="H355" s="648"/>
      <c r="I355" s="648"/>
      <c r="J355" s="648"/>
      <c r="M355" s="731"/>
      <c r="N355" s="715"/>
    </row>
    <row r="356" spans="1:14" s="655" customFormat="1" ht="15" customHeight="1" x14ac:dyDescent="0.4">
      <c r="A356" s="743"/>
      <c r="B356" s="853" t="s">
        <v>359</v>
      </c>
      <c r="C356" s="666" t="s">
        <v>1005</v>
      </c>
      <c r="D356" s="666">
        <v>1</v>
      </c>
      <c r="E356" s="769">
        <v>18</v>
      </c>
      <c r="G356" s="648"/>
      <c r="H356" s="648"/>
      <c r="I356" s="648"/>
      <c r="J356" s="648"/>
      <c r="M356" s="731"/>
      <c r="N356" s="715"/>
    </row>
    <row r="357" spans="1:14" s="655" customFormat="1" ht="15" customHeight="1" x14ac:dyDescent="0.4">
      <c r="A357" s="743"/>
      <c r="B357" s="853" t="s">
        <v>360</v>
      </c>
      <c r="C357" s="666" t="s">
        <v>1005</v>
      </c>
      <c r="D357" s="666">
        <v>1</v>
      </c>
      <c r="E357" s="769">
        <v>3</v>
      </c>
      <c r="G357" s="648"/>
      <c r="H357" s="648"/>
      <c r="I357" s="648"/>
      <c r="J357" s="648"/>
      <c r="M357" s="731"/>
      <c r="N357" s="715"/>
    </row>
    <row r="358" spans="1:14" s="655" customFormat="1" ht="15" customHeight="1" x14ac:dyDescent="0.4">
      <c r="A358" s="743"/>
      <c r="B358" s="853" t="s">
        <v>361</v>
      </c>
      <c r="C358" s="666" t="s">
        <v>1005</v>
      </c>
      <c r="D358" s="666">
        <v>8</v>
      </c>
      <c r="E358" s="769">
        <v>92</v>
      </c>
      <c r="G358" s="648"/>
      <c r="H358" s="648"/>
      <c r="I358" s="648"/>
      <c r="J358" s="648"/>
      <c r="M358" s="731"/>
      <c r="N358" s="715"/>
    </row>
    <row r="359" spans="1:14" s="655" customFormat="1" ht="15" customHeight="1" x14ac:dyDescent="0.4">
      <c r="A359" s="743"/>
      <c r="B359" s="853" t="s">
        <v>361</v>
      </c>
      <c r="C359" s="666" t="s">
        <v>1005</v>
      </c>
      <c r="D359" s="666">
        <v>2</v>
      </c>
      <c r="E359" s="769">
        <v>33</v>
      </c>
      <c r="G359" s="648"/>
      <c r="H359" s="648"/>
      <c r="I359" s="648"/>
      <c r="J359" s="648"/>
      <c r="M359" s="731"/>
      <c r="N359" s="715"/>
    </row>
    <row r="360" spans="1:14" s="655" customFormat="1" ht="15" customHeight="1" x14ac:dyDescent="0.4">
      <c r="A360" s="743"/>
      <c r="B360" s="853" t="s">
        <v>1152</v>
      </c>
      <c r="C360" s="666" t="s">
        <v>1005</v>
      </c>
      <c r="D360" s="666">
        <v>1</v>
      </c>
      <c r="E360" s="769">
        <v>130</v>
      </c>
      <c r="G360" s="648"/>
      <c r="H360" s="648"/>
      <c r="I360" s="648"/>
      <c r="J360" s="648"/>
      <c r="M360" s="731"/>
      <c r="N360" s="715"/>
    </row>
    <row r="361" spans="1:14" s="655" customFormat="1" ht="15" customHeight="1" x14ac:dyDescent="0.4">
      <c r="A361" s="743"/>
      <c r="B361" s="853" t="s">
        <v>363</v>
      </c>
      <c r="C361" s="666" t="s">
        <v>1005</v>
      </c>
      <c r="D361" s="666">
        <v>1</v>
      </c>
      <c r="E361" s="769">
        <v>800</v>
      </c>
      <c r="G361" s="648"/>
      <c r="H361" s="648"/>
      <c r="I361" s="648"/>
      <c r="J361" s="648"/>
      <c r="M361" s="731"/>
      <c r="N361" s="715"/>
    </row>
    <row r="362" spans="1:14" s="655" customFormat="1" ht="15" customHeight="1" x14ac:dyDescent="0.4">
      <c r="A362" s="743"/>
      <c r="B362" s="853" t="s">
        <v>364</v>
      </c>
      <c r="C362" s="666" t="s">
        <v>1005</v>
      </c>
      <c r="D362" s="666">
        <v>1</v>
      </c>
      <c r="E362" s="769">
        <v>600</v>
      </c>
      <c r="G362" s="648"/>
      <c r="H362" s="648"/>
      <c r="I362" s="648"/>
      <c r="J362" s="648"/>
      <c r="M362" s="731"/>
      <c r="N362" s="715"/>
    </row>
    <row r="363" spans="1:14" s="655" customFormat="1" ht="15" customHeight="1" x14ac:dyDescent="0.4">
      <c r="A363" s="743"/>
      <c r="B363" s="853" t="s">
        <v>362</v>
      </c>
      <c r="C363" s="666" t="s">
        <v>1005</v>
      </c>
      <c r="D363" s="666">
        <v>1</v>
      </c>
      <c r="E363" s="769">
        <v>60</v>
      </c>
      <c r="G363" s="648"/>
      <c r="H363" s="648"/>
      <c r="I363" s="648"/>
      <c r="J363" s="648"/>
      <c r="M363" s="731"/>
      <c r="N363" s="715"/>
    </row>
    <row r="364" spans="1:14" s="655" customFormat="1" ht="15" customHeight="1" x14ac:dyDescent="0.4">
      <c r="A364" s="743"/>
      <c r="B364" s="853" t="s">
        <v>368</v>
      </c>
      <c r="C364" s="666" t="s">
        <v>1005</v>
      </c>
      <c r="D364" s="666">
        <v>1</v>
      </c>
      <c r="E364" s="769">
        <v>8.5</v>
      </c>
      <c r="G364" s="648"/>
      <c r="H364" s="648"/>
      <c r="I364" s="648"/>
      <c r="J364" s="648"/>
      <c r="M364" s="731"/>
      <c r="N364" s="715"/>
    </row>
    <row r="365" spans="1:14" s="655" customFormat="1" ht="15" customHeight="1" x14ac:dyDescent="0.4">
      <c r="A365" s="743"/>
      <c r="B365" s="853" t="s">
        <v>366</v>
      </c>
      <c r="C365" s="666" t="s">
        <v>1005</v>
      </c>
      <c r="D365" s="666">
        <v>2</v>
      </c>
      <c r="E365" s="769">
        <v>9</v>
      </c>
      <c r="G365" s="648"/>
      <c r="H365" s="648"/>
      <c r="I365" s="648"/>
      <c r="J365" s="648"/>
      <c r="M365" s="731"/>
      <c r="N365" s="715"/>
    </row>
    <row r="366" spans="1:14" s="655" customFormat="1" ht="15" customHeight="1" x14ac:dyDescent="0.4">
      <c r="A366" s="743"/>
      <c r="B366" s="853" t="s">
        <v>367</v>
      </c>
      <c r="C366" s="666" t="s">
        <v>1005</v>
      </c>
      <c r="D366" s="666">
        <v>2</v>
      </c>
      <c r="E366" s="769">
        <v>11</v>
      </c>
      <c r="G366" s="648"/>
      <c r="H366" s="648"/>
      <c r="I366" s="648"/>
      <c r="J366" s="648"/>
      <c r="M366" s="731"/>
      <c r="N366" s="715"/>
    </row>
    <row r="367" spans="1:14" s="655" customFormat="1" ht="15" customHeight="1" x14ac:dyDescent="0.4">
      <c r="A367" s="743"/>
      <c r="B367" s="853" t="s">
        <v>369</v>
      </c>
      <c r="C367" s="666" t="s">
        <v>1005</v>
      </c>
      <c r="D367" s="666">
        <v>2</v>
      </c>
      <c r="E367" s="769">
        <v>7</v>
      </c>
      <c r="G367" s="648"/>
      <c r="H367" s="648"/>
      <c r="I367" s="648"/>
      <c r="J367" s="648"/>
      <c r="M367" s="731"/>
      <c r="N367" s="715"/>
    </row>
    <row r="368" spans="1:14" s="655" customFormat="1" ht="15" customHeight="1" x14ac:dyDescent="0.4">
      <c r="A368" s="743"/>
      <c r="B368" s="853" t="s">
        <v>370</v>
      </c>
      <c r="C368" s="666" t="s">
        <v>1005</v>
      </c>
      <c r="D368" s="666">
        <v>1</v>
      </c>
      <c r="E368" s="769">
        <v>38.5</v>
      </c>
      <c r="G368" s="648"/>
      <c r="H368" s="648"/>
      <c r="I368" s="648"/>
      <c r="J368" s="648"/>
      <c r="M368" s="731"/>
      <c r="N368" s="715"/>
    </row>
    <row r="369" spans="1:14" s="615" customFormat="1" ht="15" customHeight="1" x14ac:dyDescent="0.4">
      <c r="A369" s="612"/>
      <c r="B369" s="855" t="s">
        <v>371</v>
      </c>
      <c r="C369" s="798" t="s">
        <v>1005</v>
      </c>
      <c r="D369" s="798">
        <v>1</v>
      </c>
      <c r="E369" s="814">
        <v>2500</v>
      </c>
      <c r="G369" s="636"/>
      <c r="H369" s="636"/>
      <c r="I369" s="636"/>
      <c r="J369" s="636"/>
      <c r="M369" s="611"/>
      <c r="N369" s="856"/>
    </row>
    <row r="370" spans="1:14" s="655" customFormat="1" ht="15" customHeight="1" x14ac:dyDescent="0.4">
      <c r="A370" s="743"/>
      <c r="B370" s="692" t="s">
        <v>1153</v>
      </c>
      <c r="C370" s="666"/>
      <c r="D370" s="666"/>
      <c r="E370" s="773">
        <f>SUM(E371:E373)</f>
        <v>62.5</v>
      </c>
      <c r="G370" s="648"/>
      <c r="H370" s="648"/>
      <c r="I370" s="648"/>
      <c r="J370" s="648"/>
      <c r="M370" s="731"/>
      <c r="N370" s="715"/>
    </row>
    <row r="371" spans="1:14" s="655" customFormat="1" ht="15" customHeight="1" x14ac:dyDescent="0.4">
      <c r="A371" s="743"/>
      <c r="B371" s="739" t="s">
        <v>450</v>
      </c>
      <c r="C371" s="666" t="s">
        <v>1005</v>
      </c>
      <c r="D371" s="666">
        <v>1</v>
      </c>
      <c r="E371" s="769">
        <f>50-4.25</f>
        <v>45.75</v>
      </c>
      <c r="G371" s="648"/>
      <c r="H371" s="648"/>
      <c r="I371" s="648"/>
      <c r="J371" s="648"/>
      <c r="M371" s="731"/>
      <c r="N371" s="715"/>
    </row>
    <row r="372" spans="1:14" s="655" customFormat="1" ht="15" customHeight="1" x14ac:dyDescent="0.4">
      <c r="A372" s="743"/>
      <c r="B372" s="685" t="s">
        <v>452</v>
      </c>
      <c r="C372" s="666" t="s">
        <v>1005</v>
      </c>
      <c r="D372" s="666">
        <v>1</v>
      </c>
      <c r="E372" s="769">
        <v>7</v>
      </c>
      <c r="G372" s="648"/>
      <c r="H372" s="648"/>
      <c r="I372" s="648"/>
      <c r="J372" s="648"/>
      <c r="M372" s="731"/>
      <c r="N372" s="715"/>
    </row>
    <row r="373" spans="1:14" s="655" customFormat="1" ht="15" customHeight="1" x14ac:dyDescent="0.4">
      <c r="A373" s="743"/>
      <c r="B373" s="685" t="s">
        <v>451</v>
      </c>
      <c r="C373" s="666" t="s">
        <v>1005</v>
      </c>
      <c r="D373" s="666">
        <v>3</v>
      </c>
      <c r="E373" s="769">
        <f>12.5-2.75</f>
        <v>9.75</v>
      </c>
      <c r="G373" s="648"/>
      <c r="H373" s="648"/>
      <c r="I373" s="648"/>
      <c r="J373" s="648"/>
      <c r="M373" s="731"/>
      <c r="N373" s="715"/>
    </row>
    <row r="374" spans="1:14" s="655" customFormat="1" ht="15.75" customHeight="1" x14ac:dyDescent="0.4">
      <c r="A374" s="857"/>
      <c r="B374" s="858" t="s">
        <v>1154</v>
      </c>
      <c r="C374" s="666"/>
      <c r="D374" s="680"/>
      <c r="E374" s="779">
        <f>SUM(E375:E379)</f>
        <v>129</v>
      </c>
      <c r="G374" s="648"/>
      <c r="H374" s="816"/>
      <c r="I374" s="859"/>
      <c r="M374" s="731"/>
      <c r="N374" s="715"/>
    </row>
    <row r="375" spans="1:14" s="655" customFormat="1" ht="15.75" customHeight="1" x14ac:dyDescent="0.4">
      <c r="A375" s="857"/>
      <c r="B375" s="860" t="s">
        <v>435</v>
      </c>
      <c r="C375" s="666" t="s">
        <v>1005</v>
      </c>
      <c r="D375" s="687">
        <v>2</v>
      </c>
      <c r="E375" s="769">
        <v>45</v>
      </c>
      <c r="G375" s="648"/>
      <c r="H375" s="816"/>
      <c r="I375" s="859"/>
      <c r="M375" s="731"/>
      <c r="N375" s="715"/>
    </row>
    <row r="376" spans="1:14" s="655" customFormat="1" ht="15.75" customHeight="1" x14ac:dyDescent="0.4">
      <c r="A376" s="857"/>
      <c r="B376" s="860" t="s">
        <v>1155</v>
      </c>
      <c r="C376" s="666" t="s">
        <v>1005</v>
      </c>
      <c r="D376" s="687">
        <v>1</v>
      </c>
      <c r="E376" s="769">
        <v>7</v>
      </c>
      <c r="G376" s="648"/>
      <c r="H376" s="816"/>
      <c r="I376" s="859"/>
      <c r="M376" s="731"/>
      <c r="N376" s="715"/>
    </row>
    <row r="377" spans="1:14" s="655" customFormat="1" ht="15.75" customHeight="1" x14ac:dyDescent="0.4">
      <c r="A377" s="857"/>
      <c r="B377" s="861" t="s">
        <v>1156</v>
      </c>
      <c r="C377" s="666" t="s">
        <v>1005</v>
      </c>
      <c r="D377" s="687">
        <v>2</v>
      </c>
      <c r="E377" s="769">
        <v>54</v>
      </c>
      <c r="G377" s="648"/>
      <c r="H377" s="816"/>
      <c r="I377" s="859"/>
      <c r="M377" s="731"/>
      <c r="N377" s="715"/>
    </row>
    <row r="378" spans="1:14" s="655" customFormat="1" ht="15.75" customHeight="1" x14ac:dyDescent="0.4">
      <c r="A378" s="857"/>
      <c r="B378" s="739" t="s">
        <v>442</v>
      </c>
      <c r="C378" s="666" t="s">
        <v>1005</v>
      </c>
      <c r="D378" s="687">
        <v>1</v>
      </c>
      <c r="E378" s="862">
        <v>10</v>
      </c>
      <c r="G378" s="648"/>
      <c r="H378" s="816"/>
      <c r="I378" s="859"/>
      <c r="M378" s="731"/>
      <c r="N378" s="715"/>
    </row>
    <row r="379" spans="1:14" s="655" customFormat="1" ht="15.75" customHeight="1" x14ac:dyDescent="0.4">
      <c r="A379" s="857"/>
      <c r="B379" s="739" t="s">
        <v>443</v>
      </c>
      <c r="C379" s="666" t="s">
        <v>1005</v>
      </c>
      <c r="D379" s="687">
        <v>1</v>
      </c>
      <c r="E379" s="863">
        <v>13</v>
      </c>
      <c r="G379" s="648"/>
      <c r="H379" s="816"/>
      <c r="I379" s="859"/>
      <c r="M379" s="731"/>
      <c r="N379" s="715"/>
    </row>
    <row r="380" spans="1:14" s="819" customFormat="1" ht="15.75" customHeight="1" x14ac:dyDescent="0.35">
      <c r="A380" s="864"/>
      <c r="B380" s="865" t="s">
        <v>1157</v>
      </c>
      <c r="C380" s="713"/>
      <c r="D380" s="866"/>
      <c r="E380" s="773">
        <f>SUM(E381:E383)</f>
        <v>156</v>
      </c>
      <c r="G380" s="867"/>
      <c r="H380" s="816"/>
      <c r="I380" s="868"/>
      <c r="M380" s="616"/>
      <c r="N380" s="841"/>
    </row>
    <row r="381" spans="1:14" s="655" customFormat="1" ht="16.5" customHeight="1" x14ac:dyDescent="0.4">
      <c r="A381" s="857"/>
      <c r="B381" s="220" t="s">
        <v>1158</v>
      </c>
      <c r="C381" s="696" t="s">
        <v>1005</v>
      </c>
      <c r="D381" s="869">
        <v>1</v>
      </c>
      <c r="E381" s="809">
        <v>31</v>
      </c>
      <c r="G381" s="648"/>
      <c r="H381" s="816"/>
      <c r="I381" s="859"/>
      <c r="M381" s="731"/>
      <c r="N381" s="715"/>
    </row>
    <row r="382" spans="1:14" s="655" customFormat="1" ht="15.75" customHeight="1" x14ac:dyDescent="0.4">
      <c r="A382" s="857"/>
      <c r="B382" s="684" t="s">
        <v>446</v>
      </c>
      <c r="C382" s="696" t="s">
        <v>1005</v>
      </c>
      <c r="D382" s="719">
        <v>1</v>
      </c>
      <c r="E382" s="809">
        <v>122</v>
      </c>
      <c r="G382" s="648"/>
      <c r="H382" s="816"/>
      <c r="I382" s="859"/>
      <c r="M382" s="731"/>
      <c r="N382" s="715"/>
    </row>
    <row r="383" spans="1:14" s="655" customFormat="1" ht="15.75" customHeight="1" x14ac:dyDescent="0.4">
      <c r="A383" s="857"/>
      <c r="B383" s="684" t="s">
        <v>447</v>
      </c>
      <c r="C383" s="696" t="s">
        <v>1005</v>
      </c>
      <c r="D383" s="870">
        <v>1</v>
      </c>
      <c r="E383" s="809">
        <v>3</v>
      </c>
      <c r="G383" s="648"/>
      <c r="H383" s="816"/>
      <c r="I383" s="859"/>
      <c r="M383" s="731"/>
      <c r="N383" s="715"/>
    </row>
    <row r="384" spans="1:14" s="655" customFormat="1" ht="15.75" customHeight="1" x14ac:dyDescent="0.4">
      <c r="A384" s="857"/>
      <c r="B384" s="726" t="s">
        <v>1159</v>
      </c>
      <c r="C384" s="696"/>
      <c r="D384" s="870"/>
      <c r="E384" s="773">
        <f>SUM(E385:E385)</f>
        <v>36</v>
      </c>
      <c r="G384" s="648"/>
      <c r="H384" s="816"/>
      <c r="I384" s="859"/>
      <c r="M384" s="731"/>
      <c r="N384" s="715"/>
    </row>
    <row r="385" spans="1:14" s="655" customFormat="1" ht="15.75" customHeight="1" x14ac:dyDescent="0.4">
      <c r="A385" s="857"/>
      <c r="B385" s="778" t="s">
        <v>429</v>
      </c>
      <c r="C385" s="666" t="s">
        <v>1005</v>
      </c>
      <c r="D385" s="719">
        <v>1</v>
      </c>
      <c r="E385" s="809">
        <v>36</v>
      </c>
      <c r="G385" s="648"/>
      <c r="H385" s="816"/>
      <c r="I385" s="859"/>
      <c r="M385" s="731"/>
      <c r="N385" s="715"/>
    </row>
    <row r="386" spans="1:14" s="655" customFormat="1" ht="15.75" customHeight="1" x14ac:dyDescent="0.4">
      <c r="A386" s="857"/>
      <c r="B386" s="848" t="s">
        <v>1160</v>
      </c>
      <c r="C386" s="666"/>
      <c r="D386" s="871"/>
      <c r="E386" s="779">
        <f>SUM(E387:E413)</f>
        <v>8236</v>
      </c>
      <c r="G386" s="648"/>
      <c r="H386" s="816"/>
      <c r="I386" s="859"/>
      <c r="M386" s="731"/>
      <c r="N386" s="715"/>
    </row>
    <row r="387" spans="1:14" s="655" customFormat="1" ht="15.75" customHeight="1" x14ac:dyDescent="0.4">
      <c r="A387" s="857"/>
      <c r="B387" s="702" t="s">
        <v>380</v>
      </c>
      <c r="C387" s="666" t="s">
        <v>1005</v>
      </c>
      <c r="D387" s="687">
        <v>4</v>
      </c>
      <c r="E387" s="769">
        <v>16</v>
      </c>
      <c r="G387" s="648"/>
      <c r="H387" s="816"/>
      <c r="I387" s="859"/>
      <c r="M387" s="731"/>
      <c r="N387" s="715"/>
    </row>
    <row r="388" spans="1:14" s="655" customFormat="1" ht="15.75" customHeight="1" x14ac:dyDescent="0.4">
      <c r="A388" s="857"/>
      <c r="B388" s="872" t="s">
        <v>381</v>
      </c>
      <c r="C388" s="666" t="s">
        <v>1005</v>
      </c>
      <c r="D388" s="687">
        <v>1</v>
      </c>
      <c r="E388" s="769">
        <f>36-36</f>
        <v>0</v>
      </c>
      <c r="G388" s="648"/>
      <c r="H388" s="816"/>
      <c r="I388" s="859"/>
      <c r="M388" s="731"/>
      <c r="N388" s="715"/>
    </row>
    <row r="389" spans="1:14" s="655" customFormat="1" ht="15.75" customHeight="1" x14ac:dyDescent="0.4">
      <c r="A389" s="857"/>
      <c r="B389" s="703" t="s">
        <v>382</v>
      </c>
      <c r="C389" s="666" t="s">
        <v>1005</v>
      </c>
      <c r="D389" s="687">
        <v>1</v>
      </c>
      <c r="E389" s="769">
        <v>37</v>
      </c>
      <c r="G389" s="648"/>
      <c r="H389" s="816"/>
      <c r="I389" s="859"/>
      <c r="M389" s="731"/>
      <c r="N389" s="715"/>
    </row>
    <row r="390" spans="1:14" s="655" customFormat="1" ht="15.75" customHeight="1" x14ac:dyDescent="0.4">
      <c r="A390" s="857"/>
      <c r="B390" s="717" t="s">
        <v>383</v>
      </c>
      <c r="C390" s="666" t="s">
        <v>1005</v>
      </c>
      <c r="D390" s="687">
        <v>2</v>
      </c>
      <c r="E390" s="769">
        <f>12+10</f>
        <v>22</v>
      </c>
      <c r="G390" s="648"/>
      <c r="H390" s="816"/>
      <c r="I390" s="859"/>
      <c r="M390" s="731"/>
      <c r="N390" s="715"/>
    </row>
    <row r="391" spans="1:14" s="655" customFormat="1" ht="15.75" customHeight="1" x14ac:dyDescent="0.4">
      <c r="A391" s="857"/>
      <c r="B391" s="327" t="s">
        <v>400</v>
      </c>
      <c r="C391" s="666" t="s">
        <v>1005</v>
      </c>
      <c r="D391" s="687">
        <v>1</v>
      </c>
      <c r="E391" s="769">
        <v>26</v>
      </c>
      <c r="G391" s="648"/>
      <c r="H391" s="816"/>
      <c r="I391" s="859"/>
      <c r="M391" s="731"/>
      <c r="N391" s="715"/>
    </row>
    <row r="392" spans="1:14" s="655" customFormat="1" ht="15.75" customHeight="1" x14ac:dyDescent="0.4">
      <c r="A392" s="857"/>
      <c r="B392" s="770" t="s">
        <v>384</v>
      </c>
      <c r="C392" s="666" t="s">
        <v>1005</v>
      </c>
      <c r="D392" s="687">
        <v>1</v>
      </c>
      <c r="E392" s="769">
        <v>2047</v>
      </c>
      <c r="G392" s="648"/>
      <c r="H392" s="816"/>
      <c r="I392" s="859"/>
      <c r="M392" s="731"/>
      <c r="N392" s="715"/>
    </row>
    <row r="393" spans="1:14" s="655" customFormat="1" ht="15.75" customHeight="1" x14ac:dyDescent="0.4">
      <c r="A393" s="857"/>
      <c r="B393" s="317" t="s">
        <v>385</v>
      </c>
      <c r="C393" s="666" t="s">
        <v>1005</v>
      </c>
      <c r="D393" s="687">
        <v>1</v>
      </c>
      <c r="E393" s="769">
        <v>1700</v>
      </c>
      <c r="G393" s="648"/>
      <c r="H393" s="816"/>
      <c r="I393" s="859"/>
      <c r="M393" s="731"/>
      <c r="N393" s="715"/>
    </row>
    <row r="394" spans="1:14" s="655" customFormat="1" ht="15.75" customHeight="1" x14ac:dyDescent="0.4">
      <c r="A394" s="857"/>
      <c r="B394" s="317" t="s">
        <v>386</v>
      </c>
      <c r="C394" s="666" t="s">
        <v>1005</v>
      </c>
      <c r="D394" s="687">
        <v>1</v>
      </c>
      <c r="E394" s="769">
        <v>708</v>
      </c>
      <c r="G394" s="648"/>
      <c r="H394" s="816"/>
      <c r="I394" s="859"/>
      <c r="M394" s="731"/>
      <c r="N394" s="715"/>
    </row>
    <row r="395" spans="1:14" s="655" customFormat="1" ht="15.75" customHeight="1" x14ac:dyDescent="0.4">
      <c r="A395" s="857"/>
      <c r="B395" s="317" t="s">
        <v>387</v>
      </c>
      <c r="C395" s="666" t="s">
        <v>1005</v>
      </c>
      <c r="D395" s="687">
        <v>1</v>
      </c>
      <c r="E395" s="769">
        <v>687</v>
      </c>
      <c r="G395" s="648"/>
      <c r="H395" s="816"/>
      <c r="I395" s="859"/>
      <c r="M395" s="731"/>
      <c r="N395" s="715"/>
    </row>
    <row r="396" spans="1:14" s="655" customFormat="1" ht="15.75" customHeight="1" x14ac:dyDescent="0.4">
      <c r="A396" s="857"/>
      <c r="B396" s="317" t="s">
        <v>388</v>
      </c>
      <c r="C396" s="666" t="s">
        <v>1005</v>
      </c>
      <c r="D396" s="687">
        <v>1</v>
      </c>
      <c r="E396" s="769">
        <v>560</v>
      </c>
      <c r="G396" s="648"/>
      <c r="H396" s="816"/>
      <c r="I396" s="859"/>
      <c r="M396" s="731"/>
      <c r="N396" s="715"/>
    </row>
    <row r="397" spans="1:14" s="655" customFormat="1" ht="15.75" customHeight="1" x14ac:dyDescent="0.4">
      <c r="A397" s="857"/>
      <c r="B397" s="770" t="s">
        <v>389</v>
      </c>
      <c r="C397" s="666" t="s">
        <v>1005</v>
      </c>
      <c r="D397" s="687">
        <v>1</v>
      </c>
      <c r="E397" s="769">
        <v>335</v>
      </c>
      <c r="G397" s="648"/>
      <c r="H397" s="816"/>
      <c r="I397" s="859"/>
      <c r="M397" s="731"/>
      <c r="N397" s="715"/>
    </row>
    <row r="398" spans="1:14" s="655" customFormat="1" ht="15.75" customHeight="1" x14ac:dyDescent="0.4">
      <c r="A398" s="857"/>
      <c r="B398" s="770" t="s">
        <v>390</v>
      </c>
      <c r="C398" s="666" t="s">
        <v>1005</v>
      </c>
      <c r="D398" s="687">
        <v>1</v>
      </c>
      <c r="E398" s="769">
        <v>275</v>
      </c>
      <c r="G398" s="648"/>
      <c r="H398" s="816"/>
      <c r="I398" s="859"/>
      <c r="M398" s="731"/>
      <c r="N398" s="715"/>
    </row>
    <row r="399" spans="1:14" s="655" customFormat="1" ht="15.75" customHeight="1" x14ac:dyDescent="0.4">
      <c r="A399" s="857"/>
      <c r="B399" s="770" t="s">
        <v>391</v>
      </c>
      <c r="C399" s="666" t="s">
        <v>1005</v>
      </c>
      <c r="D399" s="687">
        <v>1</v>
      </c>
      <c r="E399" s="769">
        <v>284</v>
      </c>
      <c r="G399" s="648"/>
      <c r="H399" s="816"/>
      <c r="I399" s="859"/>
      <c r="M399" s="731"/>
      <c r="N399" s="715"/>
    </row>
    <row r="400" spans="1:14" s="655" customFormat="1" ht="15.75" customHeight="1" x14ac:dyDescent="0.4">
      <c r="A400" s="857"/>
      <c r="B400" s="770" t="s">
        <v>392</v>
      </c>
      <c r="C400" s="666" t="s">
        <v>1005</v>
      </c>
      <c r="D400" s="687">
        <v>1</v>
      </c>
      <c r="E400" s="769">
        <v>268</v>
      </c>
      <c r="G400" s="648"/>
      <c r="H400" s="816"/>
      <c r="I400" s="859"/>
      <c r="M400" s="731"/>
      <c r="N400" s="715"/>
    </row>
    <row r="401" spans="1:61" s="655" customFormat="1" ht="15.75" customHeight="1" x14ac:dyDescent="0.4">
      <c r="A401" s="857"/>
      <c r="B401" s="770" t="s">
        <v>1161</v>
      </c>
      <c r="C401" s="666" t="s">
        <v>1005</v>
      </c>
      <c r="D401" s="687">
        <v>3</v>
      </c>
      <c r="E401" s="769">
        <v>167</v>
      </c>
      <c r="G401" s="648"/>
      <c r="H401" s="816"/>
      <c r="I401" s="859"/>
      <c r="M401" s="731"/>
      <c r="N401" s="715"/>
    </row>
    <row r="402" spans="1:61" s="655" customFormat="1" ht="15.75" customHeight="1" x14ac:dyDescent="0.4">
      <c r="A402" s="857"/>
      <c r="B402" s="770" t="s">
        <v>394</v>
      </c>
      <c r="C402" s="666" t="s">
        <v>1005</v>
      </c>
      <c r="D402" s="687">
        <v>1</v>
      </c>
      <c r="E402" s="769">
        <v>134</v>
      </c>
      <c r="G402" s="648"/>
      <c r="H402" s="816"/>
      <c r="I402" s="859"/>
      <c r="M402" s="731"/>
      <c r="N402" s="715"/>
    </row>
    <row r="403" spans="1:61" s="655" customFormat="1" ht="15.75" customHeight="1" x14ac:dyDescent="0.4">
      <c r="A403" s="857"/>
      <c r="B403" s="770" t="s">
        <v>395</v>
      </c>
      <c r="C403" s="666" t="s">
        <v>1005</v>
      </c>
      <c r="D403" s="687">
        <v>1</v>
      </c>
      <c r="E403" s="769">
        <v>269</v>
      </c>
      <c r="G403" s="648"/>
      <c r="H403" s="816"/>
      <c r="I403" s="859"/>
      <c r="M403" s="731"/>
      <c r="N403" s="715"/>
    </row>
    <row r="404" spans="1:61" s="655" customFormat="1" ht="15.75" customHeight="1" x14ac:dyDescent="0.4">
      <c r="A404" s="857"/>
      <c r="B404" s="317" t="s">
        <v>396</v>
      </c>
      <c r="C404" s="666" t="s">
        <v>1005</v>
      </c>
      <c r="D404" s="687">
        <v>1</v>
      </c>
      <c r="E404" s="769">
        <v>115</v>
      </c>
      <c r="G404" s="648"/>
      <c r="H404" s="816"/>
      <c r="I404" s="859"/>
      <c r="M404" s="731"/>
      <c r="N404" s="715"/>
    </row>
    <row r="405" spans="1:61" s="655" customFormat="1" ht="15.75" customHeight="1" x14ac:dyDescent="0.4">
      <c r="A405" s="857"/>
      <c r="B405" s="317" t="s">
        <v>397</v>
      </c>
      <c r="C405" s="666" t="s">
        <v>1005</v>
      </c>
      <c r="D405" s="687">
        <v>1</v>
      </c>
      <c r="E405" s="769">
        <v>153</v>
      </c>
      <c r="G405" s="648"/>
      <c r="H405" s="816"/>
      <c r="I405" s="859"/>
      <c r="M405" s="731"/>
      <c r="N405" s="715"/>
    </row>
    <row r="406" spans="1:61" s="655" customFormat="1" ht="15.75" customHeight="1" x14ac:dyDescent="0.4">
      <c r="A406" s="857"/>
      <c r="B406" s="317" t="s">
        <v>398</v>
      </c>
      <c r="C406" s="666" t="s">
        <v>1005</v>
      </c>
      <c r="D406" s="687">
        <v>1</v>
      </c>
      <c r="E406" s="769">
        <v>180</v>
      </c>
      <c r="G406" s="648"/>
      <c r="H406" s="816"/>
      <c r="I406" s="859"/>
      <c r="M406" s="731"/>
      <c r="N406" s="715"/>
    </row>
    <row r="407" spans="1:61" s="655" customFormat="1" ht="15.75" customHeight="1" x14ac:dyDescent="0.4">
      <c r="A407" s="857"/>
      <c r="B407" s="317" t="s">
        <v>399</v>
      </c>
      <c r="C407" s="666" t="s">
        <v>1005</v>
      </c>
      <c r="D407" s="687">
        <v>1</v>
      </c>
      <c r="E407" s="769">
        <v>42</v>
      </c>
      <c r="G407" s="648"/>
      <c r="H407" s="816"/>
      <c r="I407" s="859"/>
      <c r="M407" s="731"/>
      <c r="N407" s="715"/>
    </row>
    <row r="408" spans="1:61" s="655" customFormat="1" ht="15.75" customHeight="1" x14ac:dyDescent="0.4">
      <c r="A408" s="857"/>
      <c r="B408" s="317" t="s">
        <v>400</v>
      </c>
      <c r="C408" s="666" t="s">
        <v>1005</v>
      </c>
      <c r="D408" s="687">
        <v>2</v>
      </c>
      <c r="E408" s="769">
        <v>54</v>
      </c>
      <c r="G408" s="648"/>
      <c r="H408" s="816"/>
      <c r="I408" s="859"/>
      <c r="M408" s="731"/>
      <c r="N408" s="715"/>
    </row>
    <row r="409" spans="1:61" s="655" customFormat="1" ht="15.75" customHeight="1" x14ac:dyDescent="0.4">
      <c r="A409" s="857"/>
      <c r="B409" s="317" t="s">
        <v>401</v>
      </c>
      <c r="C409" s="666" t="s">
        <v>1005</v>
      </c>
      <c r="D409" s="687">
        <v>1</v>
      </c>
      <c r="E409" s="769">
        <v>28</v>
      </c>
      <c r="G409" s="648"/>
      <c r="H409" s="816"/>
      <c r="I409" s="859"/>
      <c r="M409" s="731"/>
      <c r="N409" s="715"/>
    </row>
    <row r="410" spans="1:61" s="655" customFormat="1" ht="15.75" customHeight="1" x14ac:dyDescent="0.4">
      <c r="A410" s="857"/>
      <c r="B410" s="317" t="s">
        <v>402</v>
      </c>
      <c r="C410" s="666" t="s">
        <v>1005</v>
      </c>
      <c r="D410" s="687">
        <v>1</v>
      </c>
      <c r="E410" s="769">
        <v>34</v>
      </c>
      <c r="G410" s="648"/>
      <c r="H410" s="816"/>
      <c r="I410" s="859"/>
      <c r="M410" s="731"/>
      <c r="N410" s="715"/>
    </row>
    <row r="411" spans="1:61" s="655" customFormat="1" ht="15.75" customHeight="1" x14ac:dyDescent="0.4">
      <c r="A411" s="857"/>
      <c r="B411" s="317" t="s">
        <v>403</v>
      </c>
      <c r="C411" s="666" t="s">
        <v>1005</v>
      </c>
      <c r="D411" s="687">
        <v>1</v>
      </c>
      <c r="E411" s="769">
        <v>18</v>
      </c>
      <c r="G411" s="648"/>
      <c r="H411" s="816"/>
      <c r="I411" s="859"/>
      <c r="M411" s="731"/>
      <c r="N411" s="715"/>
    </row>
    <row r="412" spans="1:61" s="655" customFormat="1" ht="15.75" customHeight="1" x14ac:dyDescent="0.4">
      <c r="A412" s="857"/>
      <c r="B412" s="703" t="s">
        <v>404</v>
      </c>
      <c r="C412" s="666" t="s">
        <v>1005</v>
      </c>
      <c r="D412" s="687">
        <v>2</v>
      </c>
      <c r="E412" s="769">
        <v>36</v>
      </c>
      <c r="G412" s="648"/>
      <c r="H412" s="816"/>
      <c r="I412" s="859"/>
      <c r="M412" s="731"/>
      <c r="N412" s="715"/>
    </row>
    <row r="413" spans="1:61" s="655" customFormat="1" ht="15.75" customHeight="1" x14ac:dyDescent="0.4">
      <c r="A413" s="857"/>
      <c r="B413" s="703" t="s">
        <v>1162</v>
      </c>
      <c r="C413" s="666" t="s">
        <v>1005</v>
      </c>
      <c r="D413" s="687">
        <v>1</v>
      </c>
      <c r="E413" s="769">
        <v>41</v>
      </c>
      <c r="G413" s="648"/>
      <c r="H413" s="816"/>
      <c r="I413" s="859"/>
      <c r="M413" s="731"/>
      <c r="N413" s="715"/>
    </row>
    <row r="414" spans="1:61" s="655" customFormat="1" ht="15.75" customHeight="1" x14ac:dyDescent="0.4">
      <c r="A414" s="857"/>
      <c r="B414" s="848" t="s">
        <v>1163</v>
      </c>
      <c r="C414" s="873"/>
      <c r="D414" s="873"/>
      <c r="E414" s="874">
        <f>SUM(E415:E428)</f>
        <v>1465</v>
      </c>
      <c r="G414" s="648"/>
      <c r="H414" s="816"/>
      <c r="J414" s="650"/>
      <c r="M414" s="731"/>
      <c r="N414" s="715"/>
      <c r="O414" s="875"/>
    </row>
    <row r="415" spans="1:61" s="840" customFormat="1" ht="17.25" customHeight="1" x14ac:dyDescent="0.4">
      <c r="A415" s="857"/>
      <c r="B415" s="761" t="s">
        <v>410</v>
      </c>
      <c r="C415" s="666" t="s">
        <v>1005</v>
      </c>
      <c r="D415" s="876">
        <v>1</v>
      </c>
      <c r="E415" s="768">
        <v>213</v>
      </c>
      <c r="F415" s="655"/>
      <c r="G415" s="648"/>
      <c r="H415" s="816"/>
      <c r="I415" s="859"/>
      <c r="J415" s="655"/>
      <c r="K415" s="655"/>
      <c r="L415" s="655"/>
      <c r="M415" s="731"/>
      <c r="N415" s="715"/>
      <c r="O415" s="655"/>
      <c r="P415" s="655"/>
      <c r="Q415" s="655"/>
      <c r="R415" s="655"/>
      <c r="S415" s="655"/>
      <c r="T415" s="655"/>
      <c r="U415" s="655"/>
      <c r="V415" s="655"/>
      <c r="W415" s="655"/>
      <c r="X415" s="655"/>
      <c r="Y415" s="655"/>
      <c r="Z415" s="655"/>
      <c r="AA415" s="655"/>
      <c r="AB415" s="655"/>
      <c r="AC415" s="655"/>
      <c r="AD415" s="655"/>
      <c r="AE415" s="655"/>
      <c r="AF415" s="655"/>
      <c r="AG415" s="655"/>
      <c r="AH415" s="655"/>
      <c r="AI415" s="655"/>
      <c r="AJ415" s="655"/>
      <c r="AK415" s="655"/>
      <c r="AL415" s="655"/>
      <c r="AM415" s="655"/>
      <c r="AN415" s="655"/>
      <c r="AO415" s="655"/>
      <c r="AP415" s="655"/>
      <c r="AQ415" s="655"/>
      <c r="AR415" s="655"/>
      <c r="AS415" s="655"/>
      <c r="AT415" s="655"/>
      <c r="AU415" s="655"/>
      <c r="AV415" s="655"/>
      <c r="AW415" s="655"/>
      <c r="AX415" s="655"/>
      <c r="AY415" s="655"/>
      <c r="AZ415" s="655"/>
      <c r="BA415" s="655"/>
      <c r="BB415" s="655"/>
      <c r="BC415" s="655"/>
      <c r="BD415" s="655"/>
      <c r="BE415" s="655"/>
      <c r="BF415" s="655"/>
      <c r="BG415" s="655"/>
      <c r="BH415" s="655"/>
      <c r="BI415" s="655"/>
    </row>
    <row r="416" spans="1:61" s="840" customFormat="1" ht="15.75" customHeight="1" x14ac:dyDescent="0.4">
      <c r="A416" s="857"/>
      <c r="B416" s="328" t="s">
        <v>411</v>
      </c>
      <c r="C416" s="666" t="s">
        <v>1005</v>
      </c>
      <c r="D416" s="876">
        <v>1</v>
      </c>
      <c r="E416" s="769">
        <v>200</v>
      </c>
      <c r="F416" s="655"/>
      <c r="G416" s="648"/>
      <c r="H416" s="816"/>
      <c r="I416" s="859"/>
      <c r="J416" s="655"/>
      <c r="K416" s="655"/>
      <c r="L416" s="655"/>
      <c r="M416" s="731"/>
      <c r="N416" s="715"/>
      <c r="O416" s="655"/>
      <c r="P416" s="655"/>
      <c r="Q416" s="655"/>
      <c r="R416" s="655"/>
      <c r="S416" s="655"/>
      <c r="T416" s="655"/>
      <c r="U416" s="655"/>
      <c r="V416" s="655"/>
      <c r="W416" s="655"/>
      <c r="X416" s="655"/>
      <c r="Y416" s="655"/>
      <c r="Z416" s="655"/>
      <c r="AA416" s="655"/>
      <c r="AB416" s="655"/>
      <c r="AC416" s="655"/>
      <c r="AD416" s="655"/>
      <c r="AE416" s="655"/>
      <c r="AF416" s="655"/>
      <c r="AG416" s="655"/>
      <c r="AH416" s="655"/>
      <c r="AI416" s="655"/>
      <c r="AJ416" s="655"/>
      <c r="AK416" s="655"/>
      <c r="AL416" s="655"/>
      <c r="AM416" s="655"/>
      <c r="AN416" s="655"/>
      <c r="AO416" s="655"/>
      <c r="AP416" s="655"/>
      <c r="AQ416" s="655"/>
      <c r="AR416" s="655"/>
      <c r="AS416" s="655"/>
      <c r="AT416" s="655"/>
      <c r="AU416" s="655"/>
      <c r="AV416" s="655"/>
      <c r="AW416" s="655"/>
      <c r="AX416" s="655"/>
      <c r="AY416" s="655"/>
      <c r="AZ416" s="655"/>
      <c r="BA416" s="655"/>
      <c r="BB416" s="655"/>
      <c r="BC416" s="655"/>
      <c r="BD416" s="655"/>
      <c r="BE416" s="655"/>
      <c r="BF416" s="655"/>
      <c r="BG416" s="655"/>
      <c r="BH416" s="655"/>
      <c r="BI416" s="655"/>
    </row>
    <row r="417" spans="1:61" s="840" customFormat="1" ht="15.75" customHeight="1" x14ac:dyDescent="0.4">
      <c r="A417" s="857"/>
      <c r="B417" s="872" t="s">
        <v>412</v>
      </c>
      <c r="C417" s="666" t="s">
        <v>1005</v>
      </c>
      <c r="D417" s="876">
        <v>1</v>
      </c>
      <c r="E417" s="769">
        <v>90</v>
      </c>
      <c r="F417" s="655"/>
      <c r="G417" s="648"/>
      <c r="H417" s="816"/>
      <c r="I417" s="859"/>
      <c r="J417" s="655"/>
      <c r="K417" s="655"/>
      <c r="L417" s="655"/>
      <c r="M417" s="731"/>
      <c r="N417" s="715"/>
      <c r="O417" s="655"/>
      <c r="P417" s="655"/>
      <c r="Q417" s="655"/>
      <c r="R417" s="655"/>
      <c r="S417" s="655"/>
      <c r="T417" s="655"/>
      <c r="U417" s="655"/>
      <c r="V417" s="655"/>
      <c r="W417" s="655"/>
      <c r="X417" s="655"/>
      <c r="Y417" s="655"/>
      <c r="Z417" s="655"/>
      <c r="AA417" s="655"/>
      <c r="AB417" s="655"/>
      <c r="AC417" s="655"/>
      <c r="AD417" s="655"/>
      <c r="AE417" s="655"/>
      <c r="AF417" s="655"/>
      <c r="AG417" s="655"/>
      <c r="AH417" s="655"/>
      <c r="AI417" s="655"/>
      <c r="AJ417" s="655"/>
      <c r="AK417" s="655"/>
      <c r="AL417" s="655"/>
      <c r="AM417" s="655"/>
      <c r="AN417" s="655"/>
      <c r="AO417" s="655"/>
      <c r="AP417" s="655"/>
      <c r="AQ417" s="655"/>
      <c r="AR417" s="655"/>
      <c r="AS417" s="655"/>
      <c r="AT417" s="655"/>
      <c r="AU417" s="655"/>
      <c r="AV417" s="655"/>
      <c r="AW417" s="655"/>
      <c r="AX417" s="655"/>
      <c r="AY417" s="655"/>
      <c r="AZ417" s="655"/>
      <c r="BA417" s="655"/>
      <c r="BB417" s="655"/>
      <c r="BC417" s="655"/>
      <c r="BD417" s="655"/>
      <c r="BE417" s="655"/>
      <c r="BF417" s="655"/>
      <c r="BG417" s="655"/>
      <c r="BH417" s="655"/>
      <c r="BI417" s="655"/>
    </row>
    <row r="418" spans="1:61" s="840" customFormat="1" ht="15.75" customHeight="1" x14ac:dyDescent="0.4">
      <c r="A418" s="857"/>
      <c r="B418" s="328" t="s">
        <v>413</v>
      </c>
      <c r="C418" s="666" t="s">
        <v>1005</v>
      </c>
      <c r="D418" s="876">
        <v>200</v>
      </c>
      <c r="E418" s="769">
        <v>700</v>
      </c>
      <c r="F418" s="655"/>
      <c r="G418" s="648"/>
      <c r="H418" s="816"/>
      <c r="I418" s="859"/>
      <c r="J418" s="655"/>
      <c r="K418" s="655"/>
      <c r="L418" s="655"/>
      <c r="M418" s="731"/>
      <c r="N418" s="715"/>
      <c r="O418" s="655"/>
      <c r="P418" s="655"/>
      <c r="Q418" s="655"/>
      <c r="R418" s="655"/>
      <c r="S418" s="655"/>
      <c r="T418" s="655"/>
      <c r="U418" s="655"/>
      <c r="V418" s="655"/>
      <c r="W418" s="655"/>
      <c r="X418" s="655"/>
      <c r="Y418" s="655"/>
      <c r="Z418" s="655"/>
      <c r="AA418" s="655"/>
      <c r="AB418" s="655"/>
      <c r="AC418" s="655"/>
      <c r="AD418" s="655"/>
      <c r="AE418" s="655"/>
      <c r="AF418" s="655"/>
      <c r="AG418" s="655"/>
      <c r="AH418" s="655"/>
      <c r="AI418" s="655"/>
      <c r="AJ418" s="655"/>
      <c r="AK418" s="655"/>
      <c r="AL418" s="655"/>
      <c r="AM418" s="655"/>
      <c r="AN418" s="655"/>
      <c r="AO418" s="655"/>
      <c r="AP418" s="655"/>
      <c r="AQ418" s="655"/>
      <c r="AR418" s="655"/>
      <c r="AS418" s="655"/>
      <c r="AT418" s="655"/>
      <c r="AU418" s="655"/>
      <c r="AV418" s="655"/>
      <c r="AW418" s="655"/>
      <c r="AX418" s="655"/>
      <c r="AY418" s="655"/>
      <c r="AZ418" s="655"/>
      <c r="BA418" s="655"/>
      <c r="BB418" s="655"/>
      <c r="BC418" s="655"/>
      <c r="BD418" s="655"/>
      <c r="BE418" s="655"/>
      <c r="BF418" s="655"/>
      <c r="BG418" s="655"/>
      <c r="BH418" s="655"/>
      <c r="BI418" s="655"/>
    </row>
    <row r="419" spans="1:61" s="840" customFormat="1" ht="15.75" customHeight="1" x14ac:dyDescent="0.4">
      <c r="A419" s="857"/>
      <c r="B419" s="328" t="s">
        <v>414</v>
      </c>
      <c r="C419" s="666" t="s">
        <v>1005</v>
      </c>
      <c r="D419" s="876">
        <v>1</v>
      </c>
      <c r="E419" s="769">
        <v>10</v>
      </c>
      <c r="F419" s="655"/>
      <c r="G419" s="648"/>
      <c r="H419" s="816"/>
      <c r="I419" s="859"/>
      <c r="J419" s="655"/>
      <c r="K419" s="655"/>
      <c r="L419" s="655"/>
      <c r="M419" s="731"/>
      <c r="N419" s="715"/>
      <c r="O419" s="655"/>
      <c r="P419" s="655"/>
      <c r="Q419" s="655"/>
      <c r="R419" s="655"/>
      <c r="S419" s="655"/>
      <c r="T419" s="655"/>
      <c r="U419" s="655"/>
      <c r="V419" s="655"/>
      <c r="W419" s="655"/>
      <c r="X419" s="655"/>
      <c r="Y419" s="655"/>
      <c r="Z419" s="655"/>
      <c r="AA419" s="655"/>
      <c r="AB419" s="655"/>
      <c r="AC419" s="655"/>
      <c r="AD419" s="655"/>
      <c r="AE419" s="655"/>
      <c r="AF419" s="655"/>
      <c r="AG419" s="655"/>
      <c r="AH419" s="655"/>
      <c r="AI419" s="655"/>
      <c r="AJ419" s="655"/>
      <c r="AK419" s="655"/>
      <c r="AL419" s="655"/>
      <c r="AM419" s="655"/>
      <c r="AN419" s="655"/>
      <c r="AO419" s="655"/>
      <c r="AP419" s="655"/>
      <c r="AQ419" s="655"/>
      <c r="AR419" s="655"/>
      <c r="AS419" s="655"/>
      <c r="AT419" s="655"/>
      <c r="AU419" s="655"/>
      <c r="AV419" s="655"/>
      <c r="AW419" s="655"/>
      <c r="AX419" s="655"/>
      <c r="AY419" s="655"/>
      <c r="AZ419" s="655"/>
      <c r="BA419" s="655"/>
      <c r="BB419" s="655"/>
      <c r="BC419" s="655"/>
      <c r="BD419" s="655"/>
      <c r="BE419" s="655"/>
      <c r="BF419" s="655"/>
      <c r="BG419" s="655"/>
      <c r="BH419" s="655"/>
      <c r="BI419" s="655"/>
    </row>
    <row r="420" spans="1:61" s="840" customFormat="1" ht="15.75" customHeight="1" x14ac:dyDescent="0.4">
      <c r="A420" s="857"/>
      <c r="B420" s="761" t="s">
        <v>415</v>
      </c>
      <c r="C420" s="666" t="s">
        <v>1005</v>
      </c>
      <c r="D420" s="876">
        <v>1</v>
      </c>
      <c r="E420" s="769">
        <v>5</v>
      </c>
      <c r="F420" s="655"/>
      <c r="G420" s="648"/>
      <c r="H420" s="816"/>
      <c r="I420" s="859"/>
      <c r="J420" s="655"/>
      <c r="K420" s="655"/>
      <c r="L420" s="655"/>
      <c r="M420" s="731"/>
      <c r="N420" s="715"/>
      <c r="O420" s="655"/>
      <c r="P420" s="655"/>
      <c r="Q420" s="655"/>
      <c r="R420" s="655"/>
      <c r="S420" s="655"/>
      <c r="T420" s="655"/>
      <c r="U420" s="655"/>
      <c r="V420" s="655"/>
      <c r="W420" s="655"/>
      <c r="X420" s="655"/>
      <c r="Y420" s="655"/>
      <c r="Z420" s="655"/>
      <c r="AA420" s="655"/>
      <c r="AB420" s="655"/>
      <c r="AC420" s="655"/>
      <c r="AD420" s="655"/>
      <c r="AE420" s="655"/>
      <c r="AF420" s="655"/>
      <c r="AG420" s="655"/>
      <c r="AH420" s="655"/>
      <c r="AI420" s="655"/>
      <c r="AJ420" s="655"/>
      <c r="AK420" s="655"/>
      <c r="AL420" s="655"/>
      <c r="AM420" s="655"/>
      <c r="AN420" s="655"/>
      <c r="AO420" s="655"/>
      <c r="AP420" s="655"/>
      <c r="AQ420" s="655"/>
      <c r="AR420" s="655"/>
      <c r="AS420" s="655"/>
      <c r="AT420" s="655"/>
      <c r="AU420" s="655"/>
      <c r="AV420" s="655"/>
      <c r="AW420" s="655"/>
      <c r="AX420" s="655"/>
      <c r="AY420" s="655"/>
      <c r="AZ420" s="655"/>
      <c r="BA420" s="655"/>
      <c r="BB420" s="655"/>
      <c r="BC420" s="655"/>
      <c r="BD420" s="655"/>
      <c r="BE420" s="655"/>
      <c r="BF420" s="655"/>
      <c r="BG420" s="655"/>
      <c r="BH420" s="655"/>
      <c r="BI420" s="655"/>
    </row>
    <row r="421" spans="1:61" s="840" customFormat="1" ht="15.75" customHeight="1" x14ac:dyDescent="0.4">
      <c r="A421" s="857"/>
      <c r="B421" s="761" t="s">
        <v>416</v>
      </c>
      <c r="C421" s="666" t="s">
        <v>1005</v>
      </c>
      <c r="D421" s="876">
        <v>1</v>
      </c>
      <c r="E421" s="769">
        <v>37</v>
      </c>
      <c r="F421" s="655"/>
      <c r="G421" s="648"/>
      <c r="H421" s="816"/>
      <c r="I421" s="859"/>
      <c r="J421" s="655"/>
      <c r="K421" s="655"/>
      <c r="L421" s="655"/>
      <c r="M421" s="731"/>
      <c r="N421" s="715"/>
      <c r="O421" s="655"/>
      <c r="P421" s="655"/>
      <c r="Q421" s="655"/>
      <c r="R421" s="655"/>
      <c r="S421" s="655"/>
      <c r="T421" s="655"/>
      <c r="U421" s="655"/>
      <c r="V421" s="655"/>
      <c r="W421" s="655"/>
      <c r="X421" s="655"/>
      <c r="Y421" s="655"/>
      <c r="Z421" s="655"/>
      <c r="AA421" s="655"/>
      <c r="AB421" s="655"/>
      <c r="AC421" s="655"/>
      <c r="AD421" s="655"/>
      <c r="AE421" s="655"/>
      <c r="AF421" s="655"/>
      <c r="AG421" s="655"/>
      <c r="AH421" s="655"/>
      <c r="AI421" s="655"/>
      <c r="AJ421" s="655"/>
      <c r="AK421" s="655"/>
      <c r="AL421" s="655"/>
      <c r="AM421" s="655"/>
      <c r="AN421" s="655"/>
      <c r="AO421" s="655"/>
      <c r="AP421" s="655"/>
      <c r="AQ421" s="655"/>
      <c r="AR421" s="655"/>
      <c r="AS421" s="655"/>
      <c r="AT421" s="655"/>
      <c r="AU421" s="655"/>
      <c r="AV421" s="655"/>
      <c r="AW421" s="655"/>
      <c r="AX421" s="655"/>
      <c r="AY421" s="655"/>
      <c r="AZ421" s="655"/>
      <c r="BA421" s="655"/>
      <c r="BB421" s="655"/>
      <c r="BC421" s="655"/>
      <c r="BD421" s="655"/>
      <c r="BE421" s="655"/>
      <c r="BF421" s="655"/>
      <c r="BG421" s="655"/>
      <c r="BH421" s="655"/>
      <c r="BI421" s="655"/>
    </row>
    <row r="422" spans="1:61" s="840" customFormat="1" ht="15.75" customHeight="1" x14ac:dyDescent="0.4">
      <c r="A422" s="857"/>
      <c r="B422" s="685" t="s">
        <v>417</v>
      </c>
      <c r="C422" s="666" t="s">
        <v>1005</v>
      </c>
      <c r="D422" s="876">
        <v>1</v>
      </c>
      <c r="E422" s="769">
        <v>25</v>
      </c>
      <c r="F422" s="655"/>
      <c r="G422" s="648"/>
      <c r="H422" s="816"/>
      <c r="I422" s="859"/>
      <c r="J422" s="655"/>
      <c r="K422" s="655"/>
      <c r="L422" s="655"/>
      <c r="M422" s="731"/>
      <c r="N422" s="715"/>
      <c r="O422" s="655"/>
      <c r="P422" s="655"/>
      <c r="Q422" s="655"/>
      <c r="R422" s="655"/>
      <c r="S422" s="655"/>
      <c r="T422" s="655"/>
      <c r="U422" s="655"/>
      <c r="V422" s="655"/>
      <c r="W422" s="655"/>
      <c r="X422" s="655"/>
      <c r="Y422" s="655"/>
      <c r="Z422" s="655"/>
      <c r="AA422" s="655"/>
      <c r="AB422" s="655"/>
      <c r="AC422" s="655"/>
      <c r="AD422" s="655"/>
      <c r="AE422" s="655"/>
      <c r="AF422" s="655"/>
      <c r="AG422" s="655"/>
      <c r="AH422" s="655"/>
      <c r="AI422" s="655"/>
      <c r="AJ422" s="655"/>
      <c r="AK422" s="655"/>
      <c r="AL422" s="655"/>
      <c r="AM422" s="655"/>
      <c r="AN422" s="655"/>
      <c r="AO422" s="655"/>
      <c r="AP422" s="655"/>
      <c r="AQ422" s="655"/>
      <c r="AR422" s="655"/>
      <c r="AS422" s="655"/>
      <c r="AT422" s="655"/>
      <c r="AU422" s="655"/>
      <c r="AV422" s="655"/>
      <c r="AW422" s="655"/>
      <c r="AX422" s="655"/>
      <c r="AY422" s="655"/>
      <c r="AZ422" s="655"/>
      <c r="BA422" s="655"/>
      <c r="BB422" s="655"/>
      <c r="BC422" s="655"/>
      <c r="BD422" s="655"/>
      <c r="BE422" s="655"/>
      <c r="BF422" s="655"/>
      <c r="BG422" s="655"/>
      <c r="BH422" s="655"/>
      <c r="BI422" s="655"/>
    </row>
    <row r="423" spans="1:61" s="840" customFormat="1" ht="15.75" customHeight="1" x14ac:dyDescent="0.4">
      <c r="A423" s="857"/>
      <c r="B423" s="761" t="s">
        <v>418</v>
      </c>
      <c r="C423" s="666" t="s">
        <v>1005</v>
      </c>
      <c r="D423" s="876">
        <v>1</v>
      </c>
      <c r="E423" s="769">
        <v>50</v>
      </c>
      <c r="F423" s="655"/>
      <c r="G423" s="648"/>
      <c r="H423" s="816"/>
      <c r="I423" s="859"/>
      <c r="J423" s="655"/>
      <c r="K423" s="655"/>
      <c r="L423" s="655"/>
      <c r="M423" s="731"/>
      <c r="N423" s="715"/>
      <c r="O423" s="655"/>
      <c r="P423" s="655"/>
      <c r="Q423" s="655"/>
      <c r="R423" s="655"/>
      <c r="S423" s="655"/>
      <c r="T423" s="655"/>
      <c r="U423" s="655"/>
      <c r="V423" s="655"/>
      <c r="W423" s="655"/>
      <c r="X423" s="655"/>
      <c r="Y423" s="655"/>
      <c r="Z423" s="655"/>
      <c r="AA423" s="655"/>
      <c r="AB423" s="655"/>
      <c r="AC423" s="655"/>
      <c r="AD423" s="655"/>
      <c r="AE423" s="655"/>
      <c r="AF423" s="655"/>
      <c r="AG423" s="655"/>
      <c r="AH423" s="655"/>
      <c r="AI423" s="655"/>
      <c r="AJ423" s="655"/>
      <c r="AK423" s="655"/>
      <c r="AL423" s="655"/>
      <c r="AM423" s="655"/>
      <c r="AN423" s="655"/>
      <c r="AO423" s="655"/>
      <c r="AP423" s="655"/>
      <c r="AQ423" s="655"/>
      <c r="AR423" s="655"/>
      <c r="AS423" s="655"/>
      <c r="AT423" s="655"/>
      <c r="AU423" s="655"/>
      <c r="AV423" s="655"/>
      <c r="AW423" s="655"/>
      <c r="AX423" s="655"/>
      <c r="AY423" s="655"/>
      <c r="AZ423" s="655"/>
      <c r="BA423" s="655"/>
      <c r="BB423" s="655"/>
      <c r="BC423" s="655"/>
      <c r="BD423" s="655"/>
      <c r="BE423" s="655"/>
      <c r="BF423" s="655"/>
      <c r="BG423" s="655"/>
      <c r="BH423" s="655"/>
      <c r="BI423" s="655"/>
    </row>
    <row r="424" spans="1:61" s="840" customFormat="1" ht="15.75" customHeight="1" x14ac:dyDescent="0.4">
      <c r="A424" s="857"/>
      <c r="B424" s="761" t="s">
        <v>419</v>
      </c>
      <c r="C424" s="666" t="s">
        <v>1005</v>
      </c>
      <c r="D424" s="876">
        <v>1</v>
      </c>
      <c r="E424" s="769">
        <v>5</v>
      </c>
      <c r="G424" s="648"/>
      <c r="H424" s="816"/>
      <c r="I424" s="859"/>
      <c r="J424" s="655"/>
      <c r="K424" s="655"/>
      <c r="L424" s="655"/>
      <c r="M424" s="731"/>
      <c r="N424" s="715"/>
      <c r="O424" s="655"/>
      <c r="P424" s="655"/>
      <c r="Q424" s="655"/>
      <c r="R424" s="655"/>
      <c r="S424" s="655"/>
      <c r="T424" s="655"/>
      <c r="U424" s="655"/>
      <c r="V424" s="655"/>
      <c r="W424" s="655"/>
      <c r="X424" s="655"/>
      <c r="Y424" s="655"/>
      <c r="Z424" s="655"/>
      <c r="AA424" s="655"/>
      <c r="AB424" s="655"/>
      <c r="AC424" s="655"/>
      <c r="AD424" s="655"/>
      <c r="AE424" s="655"/>
      <c r="AF424" s="655"/>
      <c r="AG424" s="655"/>
      <c r="AH424" s="655"/>
      <c r="AI424" s="655"/>
      <c r="AJ424" s="655"/>
      <c r="AK424" s="655"/>
      <c r="AL424" s="655"/>
      <c r="AM424" s="655"/>
      <c r="AN424" s="655"/>
      <c r="AO424" s="655"/>
      <c r="AP424" s="655"/>
      <c r="AQ424" s="655"/>
      <c r="AR424" s="655"/>
      <c r="AS424" s="655"/>
      <c r="AT424" s="655"/>
      <c r="AU424" s="655"/>
      <c r="AV424" s="655"/>
      <c r="AW424" s="655"/>
      <c r="AX424" s="655"/>
      <c r="AY424" s="655"/>
      <c r="AZ424" s="655"/>
      <c r="BA424" s="655"/>
      <c r="BB424" s="655"/>
      <c r="BC424" s="655"/>
      <c r="BD424" s="655"/>
      <c r="BE424" s="655"/>
      <c r="BF424" s="655"/>
      <c r="BG424" s="655"/>
      <c r="BH424" s="655"/>
      <c r="BI424" s="655"/>
    </row>
    <row r="425" spans="1:61" s="840" customFormat="1" ht="15.75" customHeight="1" x14ac:dyDescent="0.4">
      <c r="A425" s="857"/>
      <c r="B425" s="703" t="s">
        <v>422</v>
      </c>
      <c r="C425" s="666" t="s">
        <v>1005</v>
      </c>
      <c r="D425" s="876">
        <v>2</v>
      </c>
      <c r="E425" s="877">
        <v>110</v>
      </c>
      <c r="F425" s="655"/>
      <c r="G425" s="648"/>
      <c r="H425" s="816"/>
      <c r="I425" s="859"/>
      <c r="J425" s="655"/>
      <c r="K425" s="655"/>
      <c r="L425" s="655"/>
      <c r="M425" s="731"/>
      <c r="N425" s="715"/>
      <c r="O425" s="655"/>
      <c r="P425" s="655"/>
      <c r="Q425" s="655"/>
      <c r="R425" s="655"/>
      <c r="S425" s="655"/>
      <c r="T425" s="655"/>
      <c r="U425" s="655"/>
      <c r="V425" s="655"/>
      <c r="W425" s="655"/>
      <c r="X425" s="655"/>
      <c r="Y425" s="655"/>
      <c r="Z425" s="655"/>
      <c r="AA425" s="655"/>
      <c r="AB425" s="655"/>
      <c r="AC425" s="655"/>
      <c r="AD425" s="655"/>
      <c r="AE425" s="655"/>
      <c r="AF425" s="655"/>
      <c r="AG425" s="655"/>
      <c r="AH425" s="655"/>
      <c r="AI425" s="655"/>
      <c r="AJ425" s="655"/>
      <c r="AK425" s="655"/>
      <c r="AL425" s="655"/>
      <c r="AM425" s="655"/>
      <c r="AN425" s="655"/>
      <c r="AO425" s="655"/>
      <c r="AP425" s="655"/>
      <c r="AQ425" s="655"/>
      <c r="AR425" s="655"/>
      <c r="AS425" s="655"/>
      <c r="AT425" s="655"/>
      <c r="AU425" s="655"/>
      <c r="AV425" s="655"/>
      <c r="AW425" s="655"/>
      <c r="AX425" s="655"/>
      <c r="AY425" s="655"/>
      <c r="AZ425" s="655"/>
      <c r="BA425" s="655"/>
      <c r="BB425" s="655"/>
      <c r="BC425" s="655"/>
      <c r="BD425" s="655"/>
      <c r="BE425" s="655"/>
      <c r="BF425" s="655"/>
      <c r="BG425" s="655"/>
      <c r="BH425" s="655"/>
      <c r="BI425" s="655"/>
    </row>
    <row r="426" spans="1:61" s="840" customFormat="1" ht="15.75" customHeight="1" x14ac:dyDescent="0.4">
      <c r="A426" s="857"/>
      <c r="B426" s="788" t="s">
        <v>423</v>
      </c>
      <c r="C426" s="666" t="s">
        <v>1005</v>
      </c>
      <c r="D426" s="876">
        <v>2</v>
      </c>
      <c r="E426" s="740">
        <v>10</v>
      </c>
      <c r="F426" s="655"/>
      <c r="G426" s="648"/>
      <c r="H426" s="816"/>
      <c r="I426" s="859"/>
      <c r="J426" s="655"/>
      <c r="K426" s="655"/>
      <c r="L426" s="655"/>
      <c r="M426" s="731"/>
      <c r="N426" s="715"/>
      <c r="O426" s="655"/>
      <c r="P426" s="655"/>
      <c r="Q426" s="655"/>
      <c r="R426" s="655"/>
      <c r="S426" s="655"/>
      <c r="T426" s="655"/>
      <c r="U426" s="655"/>
      <c r="V426" s="655"/>
      <c r="W426" s="655"/>
      <c r="X426" s="655"/>
      <c r="Y426" s="655"/>
      <c r="Z426" s="655"/>
      <c r="AA426" s="655"/>
      <c r="AB426" s="655"/>
      <c r="AC426" s="655"/>
      <c r="AD426" s="655"/>
      <c r="AE426" s="655"/>
      <c r="AF426" s="655"/>
      <c r="AG426" s="655"/>
      <c r="AH426" s="655"/>
      <c r="AI426" s="655"/>
      <c r="AJ426" s="655"/>
      <c r="AK426" s="655"/>
      <c r="AL426" s="655"/>
      <c r="AM426" s="655"/>
      <c r="AN426" s="655"/>
      <c r="AO426" s="655"/>
      <c r="AP426" s="655"/>
      <c r="AQ426" s="655"/>
      <c r="AR426" s="655"/>
      <c r="AS426" s="655"/>
      <c r="AT426" s="655"/>
      <c r="AU426" s="655"/>
      <c r="AV426" s="655"/>
      <c r="AW426" s="655"/>
      <c r="AX426" s="655"/>
      <c r="AY426" s="655"/>
      <c r="AZ426" s="655"/>
      <c r="BA426" s="655"/>
      <c r="BB426" s="655"/>
      <c r="BC426" s="655"/>
      <c r="BD426" s="655"/>
      <c r="BE426" s="655"/>
      <c r="BF426" s="655"/>
      <c r="BG426" s="655"/>
      <c r="BH426" s="655"/>
      <c r="BI426" s="655"/>
    </row>
    <row r="427" spans="1:61" s="840" customFormat="1" ht="15.75" customHeight="1" x14ac:dyDescent="0.4">
      <c r="A427" s="857"/>
      <c r="B427" s="328" t="s">
        <v>420</v>
      </c>
      <c r="C427" s="666" t="s">
        <v>1005</v>
      </c>
      <c r="D427" s="876">
        <v>1</v>
      </c>
      <c r="E427" s="768">
        <v>5</v>
      </c>
      <c r="F427" s="655"/>
      <c r="G427" s="648"/>
      <c r="H427" s="816"/>
      <c r="I427" s="859"/>
      <c r="J427" s="655"/>
      <c r="K427" s="655"/>
      <c r="L427" s="655"/>
      <c r="M427" s="731"/>
      <c r="N427" s="715"/>
      <c r="O427" s="655"/>
      <c r="P427" s="655"/>
      <c r="Q427" s="655"/>
      <c r="R427" s="655"/>
      <c r="S427" s="655"/>
      <c r="T427" s="655"/>
      <c r="U427" s="655"/>
      <c r="V427" s="655"/>
      <c r="W427" s="655"/>
      <c r="X427" s="655"/>
      <c r="Y427" s="655"/>
      <c r="Z427" s="655"/>
      <c r="AA427" s="655"/>
      <c r="AB427" s="655"/>
      <c r="AC427" s="655"/>
      <c r="AD427" s="655"/>
      <c r="AE427" s="655"/>
      <c r="AF427" s="655"/>
      <c r="AG427" s="655"/>
      <c r="AH427" s="655"/>
      <c r="AI427" s="655"/>
      <c r="AJ427" s="655"/>
      <c r="AK427" s="655"/>
      <c r="AL427" s="655"/>
      <c r="AM427" s="655"/>
      <c r="AN427" s="655"/>
      <c r="AO427" s="655"/>
      <c r="AP427" s="655"/>
      <c r="AQ427" s="655"/>
      <c r="AR427" s="655"/>
      <c r="AS427" s="655"/>
      <c r="AT427" s="655"/>
      <c r="AU427" s="655"/>
      <c r="AV427" s="655"/>
      <c r="AW427" s="655"/>
      <c r="AX427" s="655"/>
      <c r="AY427" s="655"/>
      <c r="AZ427" s="655"/>
      <c r="BA427" s="655"/>
      <c r="BB427" s="655"/>
      <c r="BC427" s="655"/>
      <c r="BD427" s="655"/>
      <c r="BE427" s="655"/>
      <c r="BF427" s="655"/>
      <c r="BG427" s="655"/>
      <c r="BH427" s="655"/>
      <c r="BI427" s="655"/>
    </row>
    <row r="428" spans="1:61" s="840" customFormat="1" ht="15.75" customHeight="1" x14ac:dyDescent="0.4">
      <c r="A428" s="857"/>
      <c r="B428" s="328" t="s">
        <v>421</v>
      </c>
      <c r="C428" s="666" t="s">
        <v>1005</v>
      </c>
      <c r="D428" s="876">
        <v>1</v>
      </c>
      <c r="E428" s="769">
        <v>5</v>
      </c>
      <c r="F428" s="655"/>
      <c r="G428" s="648"/>
      <c r="H428" s="816"/>
      <c r="I428" s="859"/>
      <c r="J428" s="655"/>
      <c r="K428" s="655"/>
      <c r="L428" s="655"/>
      <c r="M428" s="731"/>
      <c r="N428" s="715"/>
      <c r="O428" s="655"/>
      <c r="P428" s="655"/>
      <c r="Q428" s="655"/>
      <c r="R428" s="655"/>
      <c r="S428" s="655"/>
      <c r="T428" s="655"/>
      <c r="U428" s="655"/>
      <c r="V428" s="655"/>
      <c r="W428" s="655"/>
      <c r="X428" s="655"/>
      <c r="Y428" s="655"/>
      <c r="Z428" s="655"/>
      <c r="AA428" s="655"/>
      <c r="AB428" s="655"/>
      <c r="AC428" s="655"/>
      <c r="AD428" s="655"/>
      <c r="AE428" s="655"/>
      <c r="AF428" s="655"/>
      <c r="AG428" s="655"/>
      <c r="AH428" s="655"/>
      <c r="AI428" s="655"/>
      <c r="AJ428" s="655"/>
      <c r="AK428" s="655"/>
      <c r="AL428" s="655"/>
      <c r="AM428" s="655"/>
      <c r="AN428" s="655"/>
      <c r="AO428" s="655"/>
      <c r="AP428" s="655"/>
      <c r="AQ428" s="655"/>
      <c r="AR428" s="655"/>
      <c r="AS428" s="655"/>
      <c r="AT428" s="655"/>
      <c r="AU428" s="655"/>
      <c r="AV428" s="655"/>
      <c r="AW428" s="655"/>
      <c r="AX428" s="655"/>
      <c r="AY428" s="655"/>
      <c r="AZ428" s="655"/>
      <c r="BA428" s="655"/>
      <c r="BB428" s="655"/>
      <c r="BC428" s="655"/>
      <c r="BD428" s="655"/>
      <c r="BE428" s="655"/>
      <c r="BF428" s="655"/>
      <c r="BG428" s="655"/>
      <c r="BH428" s="655"/>
      <c r="BI428" s="655"/>
    </row>
    <row r="429" spans="1:61" s="840" customFormat="1" ht="15.75" customHeight="1" x14ac:dyDescent="0.4">
      <c r="A429" s="857"/>
      <c r="B429" s="692" t="s">
        <v>1164</v>
      </c>
      <c r="C429" s="666"/>
      <c r="D429" s="876"/>
      <c r="E429" s="779">
        <f>SUM(E430:E431)</f>
        <v>769</v>
      </c>
      <c r="F429" s="655"/>
      <c r="G429" s="648"/>
      <c r="H429" s="816"/>
      <c r="I429" s="859"/>
      <c r="J429" s="655"/>
      <c r="K429" s="655"/>
      <c r="L429" s="655"/>
      <c r="M429" s="731"/>
      <c r="N429" s="715"/>
      <c r="O429" s="655"/>
      <c r="P429" s="655"/>
      <c r="Q429" s="655"/>
      <c r="R429" s="655"/>
      <c r="S429" s="655"/>
      <c r="T429" s="655"/>
      <c r="U429" s="655"/>
      <c r="V429" s="655"/>
      <c r="W429" s="655"/>
      <c r="X429" s="655"/>
      <c r="Y429" s="655"/>
      <c r="Z429" s="655"/>
      <c r="AA429" s="655"/>
      <c r="AB429" s="655"/>
      <c r="AC429" s="655"/>
      <c r="AD429" s="655"/>
      <c r="AE429" s="655"/>
      <c r="AF429" s="655"/>
      <c r="AG429" s="655"/>
      <c r="AH429" s="655"/>
      <c r="AI429" s="655"/>
      <c r="AJ429" s="655"/>
      <c r="AK429" s="655"/>
      <c r="AL429" s="655"/>
      <c r="AM429" s="655"/>
      <c r="AN429" s="655"/>
      <c r="AO429" s="655"/>
      <c r="AP429" s="655"/>
      <c r="AQ429" s="655"/>
      <c r="AR429" s="655"/>
      <c r="AS429" s="655"/>
      <c r="AT429" s="655"/>
      <c r="AU429" s="655"/>
      <c r="AV429" s="655"/>
      <c r="AW429" s="655"/>
      <c r="AX429" s="655"/>
      <c r="AY429" s="655"/>
      <c r="AZ429" s="655"/>
      <c r="BA429" s="655"/>
      <c r="BB429" s="655"/>
      <c r="BC429" s="655"/>
      <c r="BD429" s="655"/>
      <c r="BE429" s="655"/>
      <c r="BF429" s="655"/>
      <c r="BG429" s="655"/>
      <c r="BH429" s="655"/>
      <c r="BI429" s="655"/>
    </row>
    <row r="430" spans="1:61" s="840" customFormat="1" ht="15.75" customHeight="1" x14ac:dyDescent="0.4">
      <c r="A430" s="857"/>
      <c r="B430" s="861" t="s">
        <v>433</v>
      </c>
      <c r="C430" s="696" t="s">
        <v>1005</v>
      </c>
      <c r="D430" s="878">
        <v>1</v>
      </c>
      <c r="E430" s="809">
        <v>762</v>
      </c>
      <c r="G430" s="648"/>
      <c r="H430" s="816"/>
      <c r="I430" s="859"/>
      <c r="J430" s="655"/>
      <c r="K430" s="655"/>
      <c r="L430" s="655"/>
      <c r="M430" s="731"/>
      <c r="N430" s="715"/>
      <c r="O430" s="655"/>
      <c r="P430" s="655"/>
      <c r="Q430" s="655"/>
      <c r="R430" s="655"/>
      <c r="S430" s="655"/>
      <c r="T430" s="655"/>
      <c r="U430" s="655"/>
      <c r="V430" s="655"/>
      <c r="W430" s="655"/>
      <c r="X430" s="655"/>
      <c r="Y430" s="655"/>
      <c r="Z430" s="655"/>
      <c r="AA430" s="655"/>
      <c r="AB430" s="655"/>
      <c r="AC430" s="655"/>
      <c r="AD430" s="655"/>
      <c r="AE430" s="655"/>
      <c r="AF430" s="655"/>
      <c r="AG430" s="655"/>
      <c r="AH430" s="655"/>
      <c r="AI430" s="655"/>
      <c r="AJ430" s="655"/>
      <c r="AK430" s="655"/>
      <c r="AL430" s="655"/>
      <c r="AM430" s="655"/>
      <c r="AN430" s="655"/>
      <c r="AO430" s="655"/>
      <c r="AP430" s="655"/>
      <c r="AQ430" s="655"/>
      <c r="AR430" s="655"/>
      <c r="AS430" s="655"/>
      <c r="AT430" s="655"/>
      <c r="AU430" s="655"/>
      <c r="AV430" s="655"/>
      <c r="AW430" s="655"/>
      <c r="AX430" s="655"/>
      <c r="AY430" s="655"/>
      <c r="AZ430" s="655"/>
      <c r="BA430" s="655"/>
      <c r="BB430" s="655"/>
      <c r="BC430" s="655"/>
      <c r="BD430" s="655"/>
      <c r="BE430" s="655"/>
      <c r="BF430" s="655"/>
      <c r="BG430" s="655"/>
      <c r="BH430" s="655"/>
      <c r="BI430" s="655"/>
    </row>
    <row r="431" spans="1:61" s="840" customFormat="1" ht="15.75" customHeight="1" x14ac:dyDescent="0.4">
      <c r="A431" s="857"/>
      <c r="B431" s="861" t="s">
        <v>432</v>
      </c>
      <c r="C431" s="696" t="s">
        <v>1005</v>
      </c>
      <c r="D431" s="878">
        <v>1</v>
      </c>
      <c r="E431" s="809">
        <v>7</v>
      </c>
      <c r="G431" s="648"/>
      <c r="H431" s="816"/>
      <c r="I431" s="859"/>
      <c r="J431" s="655"/>
      <c r="K431" s="655"/>
      <c r="L431" s="655"/>
      <c r="M431" s="731"/>
      <c r="N431" s="715"/>
      <c r="O431" s="655"/>
      <c r="P431" s="655"/>
      <c r="Q431" s="655"/>
      <c r="R431" s="655"/>
      <c r="S431" s="655"/>
      <c r="T431" s="655"/>
      <c r="U431" s="655"/>
      <c r="V431" s="655"/>
      <c r="W431" s="655"/>
      <c r="X431" s="655"/>
      <c r="Y431" s="655"/>
      <c r="Z431" s="655"/>
      <c r="AA431" s="655"/>
      <c r="AB431" s="655"/>
      <c r="AC431" s="655"/>
      <c r="AD431" s="655"/>
      <c r="AE431" s="655"/>
      <c r="AF431" s="655"/>
      <c r="AG431" s="655"/>
      <c r="AH431" s="655"/>
      <c r="AI431" s="655"/>
      <c r="AJ431" s="655"/>
      <c r="AK431" s="655"/>
      <c r="AL431" s="655"/>
      <c r="AM431" s="655"/>
      <c r="AN431" s="655"/>
      <c r="AO431" s="655"/>
      <c r="AP431" s="655"/>
      <c r="AQ431" s="655"/>
      <c r="AR431" s="655"/>
      <c r="AS431" s="655"/>
      <c r="AT431" s="655"/>
      <c r="AU431" s="655"/>
      <c r="AV431" s="655"/>
      <c r="AW431" s="655"/>
      <c r="AX431" s="655"/>
      <c r="AY431" s="655"/>
      <c r="AZ431" s="655"/>
      <c r="BA431" s="655"/>
      <c r="BB431" s="655"/>
      <c r="BC431" s="655"/>
      <c r="BD431" s="655"/>
      <c r="BE431" s="655"/>
      <c r="BF431" s="655"/>
      <c r="BG431" s="655"/>
      <c r="BH431" s="655"/>
      <c r="BI431" s="655"/>
    </row>
    <row r="432" spans="1:61" s="840" customFormat="1" ht="19.5" customHeight="1" x14ac:dyDescent="0.4">
      <c r="A432" s="857"/>
      <c r="B432" s="806" t="s">
        <v>1029</v>
      </c>
      <c r="C432" s="762" t="s">
        <v>1165</v>
      </c>
      <c r="D432" s="879"/>
      <c r="E432" s="879">
        <f>E433+E451+E447</f>
        <v>167</v>
      </c>
      <c r="G432" s="648"/>
      <c r="H432" s="816"/>
      <c r="I432" s="655"/>
      <c r="J432" s="655"/>
      <c r="K432" s="655"/>
      <c r="L432" s="655"/>
      <c r="M432" s="655"/>
      <c r="N432" s="655"/>
      <c r="O432" s="655"/>
      <c r="P432" s="655"/>
      <c r="Q432" s="655"/>
      <c r="R432" s="655"/>
      <c r="S432" s="655"/>
      <c r="T432" s="655"/>
      <c r="U432" s="655"/>
      <c r="V432" s="655"/>
      <c r="W432" s="655"/>
      <c r="X432" s="655"/>
      <c r="Y432" s="655"/>
      <c r="Z432" s="655"/>
      <c r="AA432" s="655"/>
      <c r="AB432" s="655"/>
      <c r="AC432" s="655"/>
      <c r="AD432" s="655"/>
      <c r="AE432" s="655"/>
      <c r="AF432" s="655"/>
      <c r="AG432" s="655"/>
      <c r="AH432" s="655"/>
      <c r="AI432" s="655"/>
      <c r="AJ432" s="655"/>
      <c r="AK432" s="655"/>
      <c r="AL432" s="655"/>
      <c r="AM432" s="655"/>
      <c r="AN432" s="655"/>
      <c r="AO432" s="655"/>
      <c r="AP432" s="655"/>
      <c r="AQ432" s="655"/>
      <c r="AR432" s="655"/>
      <c r="AS432" s="655"/>
      <c r="AT432" s="655"/>
      <c r="AU432" s="655"/>
      <c r="AV432" s="655"/>
      <c r="AW432" s="655"/>
      <c r="AX432" s="655"/>
      <c r="AY432" s="655"/>
      <c r="AZ432" s="655"/>
      <c r="BA432" s="655"/>
      <c r="BB432" s="655"/>
      <c r="BC432" s="655"/>
      <c r="BD432" s="655"/>
      <c r="BE432" s="655"/>
      <c r="BF432" s="655"/>
      <c r="BG432" s="655"/>
      <c r="BH432" s="655"/>
      <c r="BI432" s="655"/>
    </row>
    <row r="433" spans="1:61" s="880" customFormat="1" ht="17.25" customHeight="1" x14ac:dyDescent="0.4">
      <c r="A433" s="864"/>
      <c r="B433" s="735" t="s">
        <v>1166</v>
      </c>
      <c r="C433" s="873"/>
      <c r="D433" s="693"/>
      <c r="E433" s="874">
        <f>SUM(E434:E446)</f>
        <v>115</v>
      </c>
      <c r="G433" s="648"/>
      <c r="H433" s="816"/>
      <c r="I433" s="819"/>
      <c r="J433" s="819"/>
      <c r="K433" s="819"/>
      <c r="L433" s="819"/>
      <c r="M433" s="819"/>
      <c r="N433" s="819"/>
      <c r="O433" s="819"/>
      <c r="P433" s="819"/>
      <c r="Q433" s="819"/>
      <c r="R433" s="819"/>
      <c r="S433" s="819"/>
      <c r="T433" s="819"/>
      <c r="U433" s="819"/>
      <c r="V433" s="819"/>
      <c r="W433" s="819"/>
      <c r="X433" s="819"/>
      <c r="Y433" s="819"/>
      <c r="Z433" s="819"/>
      <c r="AA433" s="819"/>
      <c r="AB433" s="819"/>
      <c r="AC433" s="819"/>
      <c r="AD433" s="819"/>
      <c r="AE433" s="819"/>
      <c r="AF433" s="819"/>
      <c r="AG433" s="819"/>
      <c r="AH433" s="819"/>
      <c r="AI433" s="819"/>
      <c r="AJ433" s="819"/>
      <c r="AK433" s="819"/>
      <c r="AL433" s="819"/>
      <c r="AM433" s="819"/>
      <c r="AN433" s="819"/>
      <c r="AO433" s="819"/>
      <c r="AP433" s="819"/>
      <c r="AQ433" s="819"/>
      <c r="AR433" s="819"/>
      <c r="AS433" s="819"/>
      <c r="AT433" s="819"/>
      <c r="AU433" s="819"/>
      <c r="AV433" s="819"/>
      <c r="AW433" s="819"/>
      <c r="AX433" s="819"/>
      <c r="AY433" s="819"/>
      <c r="AZ433" s="819"/>
      <c r="BA433" s="819"/>
      <c r="BB433" s="819"/>
      <c r="BC433" s="819"/>
      <c r="BD433" s="819"/>
      <c r="BE433" s="819"/>
      <c r="BF433" s="819"/>
      <c r="BG433" s="819"/>
      <c r="BH433" s="819"/>
      <c r="BI433" s="819"/>
    </row>
    <row r="434" spans="1:61" s="880" customFormat="1" ht="17.25" customHeight="1" x14ac:dyDescent="0.4">
      <c r="A434" s="864"/>
      <c r="B434" s="761" t="s">
        <v>477</v>
      </c>
      <c r="C434" s="666" t="s">
        <v>1005</v>
      </c>
      <c r="D434" s="876">
        <v>1</v>
      </c>
      <c r="E434" s="881">
        <v>3</v>
      </c>
      <c r="G434" s="648"/>
      <c r="H434" s="816"/>
      <c r="I434" s="819"/>
      <c r="J434" s="819"/>
      <c r="K434" s="819"/>
      <c r="L434" s="819"/>
      <c r="M434" s="819"/>
      <c r="N434" s="819"/>
      <c r="O434" s="819"/>
      <c r="P434" s="819"/>
      <c r="Q434" s="819"/>
      <c r="R434" s="819"/>
      <c r="S434" s="819"/>
      <c r="T434" s="819"/>
      <c r="U434" s="819"/>
      <c r="V434" s="819"/>
      <c r="W434" s="819"/>
      <c r="X434" s="819"/>
      <c r="Y434" s="819"/>
      <c r="Z434" s="819"/>
      <c r="AA434" s="819"/>
      <c r="AB434" s="819"/>
      <c r="AC434" s="819"/>
      <c r="AD434" s="819"/>
      <c r="AE434" s="819"/>
      <c r="AF434" s="819"/>
      <c r="AG434" s="819"/>
      <c r="AH434" s="819"/>
      <c r="AI434" s="819"/>
      <c r="AJ434" s="819"/>
      <c r="AK434" s="819"/>
      <c r="AL434" s="819"/>
      <c r="AM434" s="819"/>
      <c r="AN434" s="819"/>
      <c r="AO434" s="819"/>
      <c r="AP434" s="819"/>
      <c r="AQ434" s="819"/>
      <c r="AR434" s="819"/>
      <c r="AS434" s="819"/>
      <c r="AT434" s="819"/>
      <c r="AU434" s="819"/>
      <c r="AV434" s="819"/>
      <c r="AW434" s="819"/>
      <c r="AX434" s="819"/>
      <c r="AY434" s="819"/>
      <c r="AZ434" s="819"/>
      <c r="BA434" s="819"/>
      <c r="BB434" s="819"/>
      <c r="BC434" s="819"/>
      <c r="BD434" s="819"/>
      <c r="BE434" s="819"/>
      <c r="BF434" s="819"/>
      <c r="BG434" s="819"/>
      <c r="BH434" s="819"/>
      <c r="BI434" s="819"/>
    </row>
    <row r="435" spans="1:61" s="880" customFormat="1" ht="17.25" customHeight="1" x14ac:dyDescent="0.4">
      <c r="A435" s="864"/>
      <c r="B435" s="882" t="s">
        <v>1167</v>
      </c>
      <c r="C435" s="666" t="s">
        <v>1005</v>
      </c>
      <c r="D435" s="876">
        <v>1</v>
      </c>
      <c r="E435" s="881">
        <v>3</v>
      </c>
      <c r="G435" s="648"/>
      <c r="H435" s="816"/>
      <c r="I435" s="819"/>
      <c r="J435" s="819"/>
      <c r="K435" s="819"/>
      <c r="L435" s="819"/>
      <c r="M435" s="819"/>
      <c r="N435" s="819"/>
      <c r="O435" s="819"/>
      <c r="P435" s="819"/>
      <c r="Q435" s="819"/>
      <c r="R435" s="819"/>
      <c r="S435" s="819"/>
      <c r="T435" s="819"/>
      <c r="U435" s="819"/>
      <c r="V435" s="819"/>
      <c r="W435" s="819"/>
      <c r="X435" s="819"/>
      <c r="Y435" s="819"/>
      <c r="Z435" s="819"/>
      <c r="AA435" s="819"/>
      <c r="AB435" s="819"/>
      <c r="AC435" s="819"/>
      <c r="AD435" s="819"/>
      <c r="AE435" s="819"/>
      <c r="AF435" s="819"/>
      <c r="AG435" s="819"/>
      <c r="AH435" s="819"/>
      <c r="AI435" s="819"/>
      <c r="AJ435" s="819"/>
      <c r="AK435" s="819"/>
      <c r="AL435" s="819"/>
      <c r="AM435" s="819"/>
      <c r="AN435" s="819"/>
      <c r="AO435" s="819"/>
      <c r="AP435" s="819"/>
      <c r="AQ435" s="819"/>
      <c r="AR435" s="819"/>
      <c r="AS435" s="819"/>
      <c r="AT435" s="819"/>
      <c r="AU435" s="819"/>
      <c r="AV435" s="819"/>
      <c r="AW435" s="819"/>
      <c r="AX435" s="819"/>
      <c r="AY435" s="819"/>
      <c r="AZ435" s="819"/>
      <c r="BA435" s="819"/>
      <c r="BB435" s="819"/>
      <c r="BC435" s="819"/>
      <c r="BD435" s="819"/>
      <c r="BE435" s="819"/>
      <c r="BF435" s="819"/>
      <c r="BG435" s="819"/>
      <c r="BH435" s="819"/>
      <c r="BI435" s="819"/>
    </row>
    <row r="436" spans="1:61" s="880" customFormat="1" ht="17.25" customHeight="1" x14ac:dyDescent="0.4">
      <c r="A436" s="864"/>
      <c r="B436" s="882" t="s">
        <v>1168</v>
      </c>
      <c r="C436" s="666" t="s">
        <v>1005</v>
      </c>
      <c r="D436" s="876">
        <v>1</v>
      </c>
      <c r="E436" s="881">
        <v>5</v>
      </c>
      <c r="G436" s="648"/>
      <c r="H436" s="816"/>
      <c r="I436" s="819"/>
      <c r="J436" s="819"/>
      <c r="K436" s="819"/>
      <c r="L436" s="819"/>
      <c r="M436" s="819"/>
      <c r="N436" s="819"/>
      <c r="O436" s="819"/>
      <c r="P436" s="819"/>
      <c r="Q436" s="819"/>
      <c r="R436" s="819"/>
      <c r="S436" s="819"/>
      <c r="T436" s="819"/>
      <c r="U436" s="819"/>
      <c r="V436" s="819"/>
      <c r="W436" s="819"/>
      <c r="X436" s="819"/>
      <c r="Y436" s="819"/>
      <c r="Z436" s="819"/>
      <c r="AA436" s="819"/>
      <c r="AB436" s="819"/>
      <c r="AC436" s="819"/>
      <c r="AD436" s="819"/>
      <c r="AE436" s="819"/>
      <c r="AF436" s="819"/>
      <c r="AG436" s="819"/>
      <c r="AH436" s="819"/>
      <c r="AI436" s="819"/>
      <c r="AJ436" s="819"/>
      <c r="AK436" s="819"/>
      <c r="AL436" s="819"/>
      <c r="AM436" s="819"/>
      <c r="AN436" s="819"/>
      <c r="AO436" s="819"/>
      <c r="AP436" s="819"/>
      <c r="AQ436" s="819"/>
      <c r="AR436" s="819"/>
      <c r="AS436" s="819"/>
      <c r="AT436" s="819"/>
      <c r="AU436" s="819"/>
      <c r="AV436" s="819"/>
      <c r="AW436" s="819"/>
      <c r="AX436" s="819"/>
      <c r="AY436" s="819"/>
      <c r="AZ436" s="819"/>
      <c r="BA436" s="819"/>
      <c r="BB436" s="819"/>
      <c r="BC436" s="819"/>
      <c r="BD436" s="819"/>
      <c r="BE436" s="819"/>
      <c r="BF436" s="819"/>
      <c r="BG436" s="819"/>
      <c r="BH436" s="819"/>
      <c r="BI436" s="819"/>
    </row>
    <row r="437" spans="1:61" s="880" customFormat="1" ht="17.25" customHeight="1" x14ac:dyDescent="0.4">
      <c r="A437" s="864"/>
      <c r="B437" s="883" t="s">
        <v>479</v>
      </c>
      <c r="C437" s="666" t="s">
        <v>1005</v>
      </c>
      <c r="D437" s="876">
        <v>1</v>
      </c>
      <c r="E437" s="881">
        <v>26</v>
      </c>
      <c r="G437" s="648"/>
      <c r="H437" s="816"/>
      <c r="I437" s="819"/>
      <c r="J437" s="819"/>
      <c r="K437" s="819"/>
      <c r="L437" s="819"/>
      <c r="M437" s="819"/>
      <c r="N437" s="819"/>
      <c r="O437" s="819"/>
      <c r="P437" s="819"/>
      <c r="Q437" s="819"/>
      <c r="R437" s="819"/>
      <c r="S437" s="819"/>
      <c r="T437" s="819"/>
      <c r="U437" s="819"/>
      <c r="V437" s="819"/>
      <c r="W437" s="819"/>
      <c r="X437" s="819"/>
      <c r="Y437" s="819"/>
      <c r="Z437" s="819"/>
      <c r="AA437" s="819"/>
      <c r="AB437" s="819"/>
      <c r="AC437" s="819"/>
      <c r="AD437" s="819"/>
      <c r="AE437" s="819"/>
      <c r="AF437" s="819"/>
      <c r="AG437" s="819"/>
      <c r="AH437" s="819"/>
      <c r="AI437" s="819"/>
      <c r="AJ437" s="819"/>
      <c r="AK437" s="819"/>
      <c r="AL437" s="819"/>
      <c r="AM437" s="819"/>
      <c r="AN437" s="819"/>
      <c r="AO437" s="819"/>
      <c r="AP437" s="819"/>
      <c r="AQ437" s="819"/>
      <c r="AR437" s="819"/>
      <c r="AS437" s="819"/>
      <c r="AT437" s="819"/>
      <c r="AU437" s="819"/>
      <c r="AV437" s="819"/>
      <c r="AW437" s="819"/>
      <c r="AX437" s="819"/>
      <c r="AY437" s="819"/>
      <c r="AZ437" s="819"/>
      <c r="BA437" s="819"/>
      <c r="BB437" s="819"/>
      <c r="BC437" s="819"/>
      <c r="BD437" s="819"/>
      <c r="BE437" s="819"/>
      <c r="BF437" s="819"/>
      <c r="BG437" s="819"/>
      <c r="BH437" s="819"/>
      <c r="BI437" s="819"/>
    </row>
    <row r="438" spans="1:61" s="880" customFormat="1" ht="17.25" customHeight="1" x14ac:dyDescent="0.4">
      <c r="A438" s="864"/>
      <c r="B438" s="761" t="s">
        <v>480</v>
      </c>
      <c r="C438" s="666" t="s">
        <v>1005</v>
      </c>
      <c r="D438" s="876">
        <v>1</v>
      </c>
      <c r="E438" s="881">
        <v>3</v>
      </c>
      <c r="G438" s="648"/>
      <c r="H438" s="816"/>
      <c r="I438" s="819"/>
      <c r="J438" s="819"/>
      <c r="K438" s="819"/>
      <c r="L438" s="819"/>
      <c r="M438" s="819"/>
      <c r="N438" s="819"/>
      <c r="O438" s="819"/>
      <c r="P438" s="819"/>
      <c r="Q438" s="819"/>
      <c r="R438" s="819"/>
      <c r="S438" s="819"/>
      <c r="T438" s="819"/>
      <c r="U438" s="819"/>
      <c r="V438" s="819"/>
      <c r="W438" s="819"/>
      <c r="X438" s="819"/>
      <c r="Y438" s="819"/>
      <c r="Z438" s="819"/>
      <c r="AA438" s="819"/>
      <c r="AB438" s="819"/>
      <c r="AC438" s="819"/>
      <c r="AD438" s="819"/>
      <c r="AE438" s="819"/>
      <c r="AF438" s="819"/>
      <c r="AG438" s="819"/>
      <c r="AH438" s="819"/>
      <c r="AI438" s="819"/>
      <c r="AJ438" s="819"/>
      <c r="AK438" s="819"/>
      <c r="AL438" s="819"/>
      <c r="AM438" s="819"/>
      <c r="AN438" s="819"/>
      <c r="AO438" s="819"/>
      <c r="AP438" s="819"/>
      <c r="AQ438" s="819"/>
      <c r="AR438" s="819"/>
      <c r="AS438" s="819"/>
      <c r="AT438" s="819"/>
      <c r="AU438" s="819"/>
      <c r="AV438" s="819"/>
      <c r="AW438" s="819"/>
      <c r="AX438" s="819"/>
      <c r="AY438" s="819"/>
      <c r="AZ438" s="819"/>
      <c r="BA438" s="819"/>
      <c r="BB438" s="819"/>
      <c r="BC438" s="819"/>
      <c r="BD438" s="819"/>
      <c r="BE438" s="819"/>
      <c r="BF438" s="819"/>
      <c r="BG438" s="819"/>
      <c r="BH438" s="819"/>
      <c r="BI438" s="819"/>
    </row>
    <row r="439" spans="1:61" s="880" customFormat="1" ht="17.25" customHeight="1" x14ac:dyDescent="0.4">
      <c r="A439" s="864"/>
      <c r="B439" s="328" t="s">
        <v>481</v>
      </c>
      <c r="C439" s="666" t="s">
        <v>1005</v>
      </c>
      <c r="D439" s="876">
        <v>1</v>
      </c>
      <c r="E439" s="881">
        <v>18</v>
      </c>
      <c r="G439" s="648"/>
      <c r="H439" s="816"/>
      <c r="I439" s="819"/>
      <c r="J439" s="819"/>
      <c r="K439" s="819"/>
      <c r="L439" s="819"/>
      <c r="M439" s="819"/>
      <c r="N439" s="819"/>
      <c r="O439" s="819"/>
      <c r="P439" s="819"/>
      <c r="Q439" s="819"/>
      <c r="R439" s="819"/>
      <c r="S439" s="819"/>
      <c r="T439" s="819"/>
      <c r="U439" s="819"/>
      <c r="V439" s="819"/>
      <c r="W439" s="819"/>
      <c r="X439" s="819"/>
      <c r="Y439" s="819"/>
      <c r="Z439" s="819"/>
      <c r="AA439" s="819"/>
      <c r="AB439" s="819"/>
      <c r="AC439" s="819"/>
      <c r="AD439" s="819"/>
      <c r="AE439" s="819"/>
      <c r="AF439" s="819"/>
      <c r="AG439" s="819"/>
      <c r="AH439" s="819"/>
      <c r="AI439" s="819"/>
      <c r="AJ439" s="819"/>
      <c r="AK439" s="819"/>
      <c r="AL439" s="819"/>
      <c r="AM439" s="819"/>
      <c r="AN439" s="819"/>
      <c r="AO439" s="819"/>
      <c r="AP439" s="819"/>
      <c r="AQ439" s="819"/>
      <c r="AR439" s="819"/>
      <c r="AS439" s="819"/>
      <c r="AT439" s="819"/>
      <c r="AU439" s="819"/>
      <c r="AV439" s="819"/>
      <c r="AW439" s="819"/>
      <c r="AX439" s="819"/>
      <c r="AY439" s="819"/>
      <c r="AZ439" s="819"/>
      <c r="BA439" s="819"/>
      <c r="BB439" s="819"/>
      <c r="BC439" s="819"/>
      <c r="BD439" s="819"/>
      <c r="BE439" s="819"/>
      <c r="BF439" s="819"/>
      <c r="BG439" s="819"/>
      <c r="BH439" s="819"/>
      <c r="BI439" s="819"/>
    </row>
    <row r="440" spans="1:61" s="880" customFormat="1" ht="17.25" customHeight="1" x14ac:dyDescent="0.4">
      <c r="A440" s="864"/>
      <c r="B440" s="761" t="s">
        <v>1169</v>
      </c>
      <c r="C440" s="666" t="s">
        <v>1005</v>
      </c>
      <c r="D440" s="876">
        <v>1</v>
      </c>
      <c r="E440" s="881">
        <v>40</v>
      </c>
      <c r="G440" s="648"/>
      <c r="H440" s="816"/>
      <c r="I440" s="819"/>
      <c r="J440" s="819"/>
      <c r="K440" s="819"/>
      <c r="L440" s="819"/>
      <c r="M440" s="819"/>
      <c r="N440" s="819"/>
      <c r="O440" s="819"/>
      <c r="P440" s="819"/>
      <c r="Q440" s="819"/>
      <c r="R440" s="819"/>
      <c r="S440" s="819"/>
      <c r="T440" s="819"/>
      <c r="U440" s="819"/>
      <c r="V440" s="819"/>
      <c r="W440" s="819"/>
      <c r="X440" s="819"/>
      <c r="Y440" s="819"/>
      <c r="Z440" s="819"/>
      <c r="AA440" s="819"/>
      <c r="AB440" s="819"/>
      <c r="AC440" s="819"/>
      <c r="AD440" s="819"/>
      <c r="AE440" s="819"/>
      <c r="AF440" s="819"/>
      <c r="AG440" s="819"/>
      <c r="AH440" s="819"/>
      <c r="AI440" s="819"/>
      <c r="AJ440" s="819"/>
      <c r="AK440" s="819"/>
      <c r="AL440" s="819"/>
      <c r="AM440" s="819"/>
      <c r="AN440" s="819"/>
      <c r="AO440" s="819"/>
      <c r="AP440" s="819"/>
      <c r="AQ440" s="819"/>
      <c r="AR440" s="819"/>
      <c r="AS440" s="819"/>
      <c r="AT440" s="819"/>
      <c r="AU440" s="819"/>
      <c r="AV440" s="819"/>
      <c r="AW440" s="819"/>
      <c r="AX440" s="819"/>
      <c r="AY440" s="819"/>
      <c r="AZ440" s="819"/>
      <c r="BA440" s="819"/>
      <c r="BB440" s="819"/>
      <c r="BC440" s="819"/>
      <c r="BD440" s="819"/>
      <c r="BE440" s="819"/>
      <c r="BF440" s="819"/>
      <c r="BG440" s="819"/>
      <c r="BH440" s="819"/>
      <c r="BI440" s="819"/>
    </row>
    <row r="441" spans="1:61" s="880" customFormat="1" ht="17.25" customHeight="1" x14ac:dyDescent="0.4">
      <c r="A441" s="864"/>
      <c r="B441" s="882" t="s">
        <v>482</v>
      </c>
      <c r="C441" s="666" t="s">
        <v>1005</v>
      </c>
      <c r="D441" s="876">
        <v>1</v>
      </c>
      <c r="E441" s="881">
        <v>3</v>
      </c>
      <c r="G441" s="648"/>
      <c r="H441" s="816"/>
      <c r="I441" s="819"/>
      <c r="J441" s="819"/>
      <c r="K441" s="819"/>
      <c r="L441" s="819"/>
      <c r="M441" s="819"/>
      <c r="N441" s="819"/>
      <c r="O441" s="819"/>
      <c r="P441" s="819"/>
      <c r="Q441" s="819"/>
      <c r="R441" s="819"/>
      <c r="S441" s="819"/>
      <c r="T441" s="819"/>
      <c r="U441" s="819"/>
      <c r="V441" s="819"/>
      <c r="W441" s="819"/>
      <c r="X441" s="819"/>
      <c r="Y441" s="819"/>
      <c r="Z441" s="819"/>
      <c r="AA441" s="819"/>
      <c r="AB441" s="819"/>
      <c r="AC441" s="819"/>
      <c r="AD441" s="819"/>
      <c r="AE441" s="819"/>
      <c r="AF441" s="819"/>
      <c r="AG441" s="819"/>
      <c r="AH441" s="819"/>
      <c r="AI441" s="819"/>
      <c r="AJ441" s="819"/>
      <c r="AK441" s="819"/>
      <c r="AL441" s="819"/>
      <c r="AM441" s="819"/>
      <c r="AN441" s="819"/>
      <c r="AO441" s="819"/>
      <c r="AP441" s="819"/>
      <c r="AQ441" s="819"/>
      <c r="AR441" s="819"/>
      <c r="AS441" s="819"/>
      <c r="AT441" s="819"/>
      <c r="AU441" s="819"/>
      <c r="AV441" s="819"/>
      <c r="AW441" s="819"/>
      <c r="AX441" s="819"/>
      <c r="AY441" s="819"/>
      <c r="AZ441" s="819"/>
      <c r="BA441" s="819"/>
      <c r="BB441" s="819"/>
      <c r="BC441" s="819"/>
      <c r="BD441" s="819"/>
      <c r="BE441" s="819"/>
      <c r="BF441" s="819"/>
      <c r="BG441" s="819"/>
      <c r="BH441" s="819"/>
      <c r="BI441" s="819"/>
    </row>
    <row r="442" spans="1:61" s="880" customFormat="1" ht="17.25" customHeight="1" x14ac:dyDescent="0.4">
      <c r="A442" s="864"/>
      <c r="B442" s="882" t="s">
        <v>1170</v>
      </c>
      <c r="C442" s="666" t="s">
        <v>1005</v>
      </c>
      <c r="D442" s="876">
        <v>1</v>
      </c>
      <c r="E442" s="881">
        <v>3</v>
      </c>
      <c r="G442" s="648"/>
      <c r="H442" s="816"/>
      <c r="I442" s="819"/>
      <c r="J442" s="819"/>
      <c r="K442" s="819"/>
      <c r="L442" s="819"/>
      <c r="M442" s="819"/>
      <c r="N442" s="819"/>
      <c r="O442" s="819"/>
      <c r="P442" s="819"/>
      <c r="Q442" s="819"/>
      <c r="R442" s="819"/>
      <c r="S442" s="819"/>
      <c r="T442" s="819"/>
      <c r="U442" s="819"/>
      <c r="V442" s="819"/>
      <c r="W442" s="819"/>
      <c r="X442" s="819"/>
      <c r="Y442" s="819"/>
      <c r="Z442" s="819"/>
      <c r="AA442" s="819"/>
      <c r="AB442" s="819"/>
      <c r="AC442" s="819"/>
      <c r="AD442" s="819"/>
      <c r="AE442" s="819"/>
      <c r="AF442" s="819"/>
      <c r="AG442" s="819"/>
      <c r="AH442" s="819"/>
      <c r="AI442" s="819"/>
      <c r="AJ442" s="819"/>
      <c r="AK442" s="819"/>
      <c r="AL442" s="819"/>
      <c r="AM442" s="819"/>
      <c r="AN442" s="819"/>
      <c r="AO442" s="819"/>
      <c r="AP442" s="819"/>
      <c r="AQ442" s="819"/>
      <c r="AR442" s="819"/>
      <c r="AS442" s="819"/>
      <c r="AT442" s="819"/>
      <c r="AU442" s="819"/>
      <c r="AV442" s="819"/>
      <c r="AW442" s="819"/>
      <c r="AX442" s="819"/>
      <c r="AY442" s="819"/>
      <c r="AZ442" s="819"/>
      <c r="BA442" s="819"/>
      <c r="BB442" s="819"/>
      <c r="BC442" s="819"/>
      <c r="BD442" s="819"/>
      <c r="BE442" s="819"/>
      <c r="BF442" s="819"/>
      <c r="BG442" s="819"/>
      <c r="BH442" s="819"/>
      <c r="BI442" s="819"/>
    </row>
    <row r="443" spans="1:61" s="655" customFormat="1" ht="18" customHeight="1" x14ac:dyDescent="0.4">
      <c r="A443" s="743"/>
      <c r="B443" s="884" t="s">
        <v>1171</v>
      </c>
      <c r="C443" s="666" t="s">
        <v>1005</v>
      </c>
      <c r="D443" s="878">
        <v>1</v>
      </c>
      <c r="E443" s="885">
        <v>1</v>
      </c>
      <c r="G443" s="648"/>
      <c r="H443" s="816"/>
      <c r="I443" s="859"/>
    </row>
    <row r="444" spans="1:61" s="655" customFormat="1" ht="18" customHeight="1" x14ac:dyDescent="0.4">
      <c r="A444" s="743"/>
      <c r="B444" s="884" t="s">
        <v>1172</v>
      </c>
      <c r="C444" s="666" t="s">
        <v>1005</v>
      </c>
      <c r="D444" s="878">
        <v>1</v>
      </c>
      <c r="E444" s="698">
        <v>1</v>
      </c>
      <c r="G444" s="648"/>
      <c r="H444" s="816"/>
      <c r="I444" s="859"/>
    </row>
    <row r="445" spans="1:61" s="655" customFormat="1" ht="18" customHeight="1" x14ac:dyDescent="0.4">
      <c r="A445" s="743"/>
      <c r="B445" s="884" t="s">
        <v>1173</v>
      </c>
      <c r="C445" s="666" t="s">
        <v>1005</v>
      </c>
      <c r="D445" s="878">
        <v>1</v>
      </c>
      <c r="E445" s="698">
        <v>3</v>
      </c>
      <c r="G445" s="648"/>
      <c r="H445" s="816"/>
      <c r="I445" s="859"/>
    </row>
    <row r="446" spans="1:61" s="655" customFormat="1" ht="18" customHeight="1" x14ac:dyDescent="0.4">
      <c r="A446" s="743"/>
      <c r="B446" s="884" t="s">
        <v>1174</v>
      </c>
      <c r="C446" s="666" t="s">
        <v>1005</v>
      </c>
      <c r="D446" s="696">
        <v>2</v>
      </c>
      <c r="E446" s="698">
        <v>6</v>
      </c>
      <c r="G446" s="648"/>
      <c r="H446" s="816"/>
      <c r="I446" s="859"/>
    </row>
    <row r="447" spans="1:61" s="655" customFormat="1" ht="18" customHeight="1" x14ac:dyDescent="0.4">
      <c r="A447" s="743"/>
      <c r="B447" s="741" t="s">
        <v>1043</v>
      </c>
      <c r="C447" s="666"/>
      <c r="D447" s="696"/>
      <c r="E447" s="701">
        <f>E448</f>
        <v>32</v>
      </c>
      <c r="G447" s="648"/>
      <c r="H447" s="816"/>
      <c r="I447" s="859"/>
    </row>
    <row r="448" spans="1:61" s="655" customFormat="1" ht="18" customHeight="1" x14ac:dyDescent="0.4">
      <c r="A448" s="743"/>
      <c r="B448" s="886" t="s">
        <v>511</v>
      </c>
      <c r="C448" s="666"/>
      <c r="D448" s="696"/>
      <c r="E448" s="701">
        <f>SUM(E449:E450)</f>
        <v>32</v>
      </c>
      <c r="G448" s="648"/>
      <c r="H448" s="816"/>
      <c r="I448" s="859"/>
    </row>
    <row r="449" spans="1:12" s="655" customFormat="1" ht="18" customHeight="1" x14ac:dyDescent="0.4">
      <c r="A449" s="743"/>
      <c r="B449" s="739" t="s">
        <v>512</v>
      </c>
      <c r="C449" s="666" t="s">
        <v>1005</v>
      </c>
      <c r="D449" s="876">
        <v>1</v>
      </c>
      <c r="E449" s="681">
        <v>7</v>
      </c>
      <c r="G449" s="648"/>
      <c r="H449" s="816"/>
      <c r="I449" s="859"/>
    </row>
    <row r="450" spans="1:12" s="655" customFormat="1" ht="18" customHeight="1" x14ac:dyDescent="0.4">
      <c r="A450" s="743"/>
      <c r="B450" s="739" t="s">
        <v>513</v>
      </c>
      <c r="C450" s="666" t="s">
        <v>1005</v>
      </c>
      <c r="D450" s="876">
        <v>1</v>
      </c>
      <c r="E450" s="681">
        <v>25</v>
      </c>
      <c r="G450" s="648"/>
      <c r="H450" s="816"/>
      <c r="I450" s="859"/>
    </row>
    <row r="451" spans="1:12" s="655" customFormat="1" ht="18" customHeight="1" x14ac:dyDescent="0.4">
      <c r="A451" s="743"/>
      <c r="B451" s="728" t="s">
        <v>1032</v>
      </c>
      <c r="C451" s="666"/>
      <c r="D451" s="666"/>
      <c r="E451" s="694">
        <f>SUM(E452:E453)</f>
        <v>20</v>
      </c>
      <c r="G451" s="648"/>
      <c r="H451" s="816"/>
      <c r="I451" s="859"/>
    </row>
    <row r="452" spans="1:12" s="655" customFormat="1" ht="18" customHeight="1" x14ac:dyDescent="0.4">
      <c r="A452" s="743"/>
      <c r="B452" s="716" t="s">
        <v>486</v>
      </c>
      <c r="C452" s="666" t="s">
        <v>1005</v>
      </c>
      <c r="D452" s="666">
        <v>1</v>
      </c>
      <c r="E452" s="698">
        <v>5</v>
      </c>
      <c r="G452" s="648"/>
      <c r="H452" s="816"/>
      <c r="I452" s="859"/>
    </row>
    <row r="453" spans="1:12" s="655" customFormat="1" ht="18" customHeight="1" x14ac:dyDescent="0.4">
      <c r="A453" s="743"/>
      <c r="B453" s="716" t="s">
        <v>487</v>
      </c>
      <c r="C453" s="666" t="s">
        <v>1005</v>
      </c>
      <c r="D453" s="666">
        <v>1</v>
      </c>
      <c r="E453" s="698">
        <v>15</v>
      </c>
      <c r="G453" s="648"/>
      <c r="H453" s="816"/>
      <c r="I453" s="859"/>
    </row>
    <row r="454" spans="1:12" s="655" customFormat="1" ht="34.5" customHeight="1" x14ac:dyDescent="0.4">
      <c r="A454" s="966" t="s">
        <v>1048</v>
      </c>
      <c r="B454" s="967"/>
      <c r="C454" s="967"/>
      <c r="D454" s="967"/>
      <c r="E454" s="766">
        <f>E455+E495+E492</f>
        <v>2126</v>
      </c>
      <c r="G454" s="648"/>
      <c r="H454" s="816"/>
      <c r="J454" s="650"/>
      <c r="L454" s="650"/>
    </row>
    <row r="455" spans="1:12" s="655" customFormat="1" ht="14.25" customHeight="1" x14ac:dyDescent="0.4">
      <c r="A455" s="817"/>
      <c r="B455" s="774" t="s">
        <v>1175</v>
      </c>
      <c r="C455" s="658" t="s">
        <v>1146</v>
      </c>
      <c r="D455" s="774"/>
      <c r="E455" s="847">
        <f>E483+E481+E456+E469+E475+E472+E488+E461</f>
        <v>1652</v>
      </c>
      <c r="G455" s="648"/>
      <c r="H455" s="816"/>
      <c r="J455" s="650"/>
      <c r="L455" s="650"/>
    </row>
    <row r="456" spans="1:12" s="655" customFormat="1" ht="14.25" customHeight="1" x14ac:dyDescent="0.4">
      <c r="A456" s="817"/>
      <c r="B456" s="887" t="s">
        <v>1147</v>
      </c>
      <c r="C456" s="662"/>
      <c r="D456" s="888"/>
      <c r="E456" s="889">
        <f>SUM(E457:E460)</f>
        <v>110</v>
      </c>
      <c r="G456" s="648"/>
      <c r="H456" s="816"/>
      <c r="J456" s="650"/>
      <c r="L456" s="650"/>
    </row>
    <row r="457" spans="1:12" s="655" customFormat="1" ht="14.25" customHeight="1" x14ac:dyDescent="0.4">
      <c r="A457" s="817"/>
      <c r="B457" s="852" t="s">
        <v>1176</v>
      </c>
      <c r="C457" s="666" t="s">
        <v>1005</v>
      </c>
      <c r="D457" s="890">
        <v>1</v>
      </c>
      <c r="E457" s="891">
        <v>78</v>
      </c>
      <c r="G457" s="648"/>
      <c r="H457" s="816"/>
      <c r="J457" s="650"/>
      <c r="L457" s="650"/>
    </row>
    <row r="458" spans="1:12" s="655" customFormat="1" ht="14.25" customHeight="1" x14ac:dyDescent="0.4">
      <c r="A458" s="817"/>
      <c r="B458" s="852" t="s">
        <v>624</v>
      </c>
      <c r="C458" s="666" t="s">
        <v>1005</v>
      </c>
      <c r="D458" s="890">
        <v>1</v>
      </c>
      <c r="E458" s="891">
        <v>10</v>
      </c>
      <c r="G458" s="648"/>
      <c r="H458" s="816"/>
      <c r="J458" s="650"/>
      <c r="L458" s="650"/>
    </row>
    <row r="459" spans="1:12" s="655" customFormat="1" ht="14.25" customHeight="1" x14ac:dyDescent="0.4">
      <c r="A459" s="817"/>
      <c r="B459" s="770" t="s">
        <v>622</v>
      </c>
      <c r="C459" s="666" t="s">
        <v>1005</v>
      </c>
      <c r="D459" s="890">
        <v>1</v>
      </c>
      <c r="E459" s="891">
        <v>12</v>
      </c>
      <c r="G459" s="648"/>
      <c r="H459" s="816"/>
      <c r="J459" s="650"/>
      <c r="L459" s="650"/>
    </row>
    <row r="460" spans="1:12" s="655" customFormat="1" ht="14.25" customHeight="1" x14ac:dyDescent="0.4">
      <c r="A460" s="817"/>
      <c r="B460" s="770" t="s">
        <v>623</v>
      </c>
      <c r="C460" s="666" t="s">
        <v>1005</v>
      </c>
      <c r="D460" s="890">
        <v>1</v>
      </c>
      <c r="E460" s="809">
        <v>10</v>
      </c>
      <c r="G460" s="648"/>
      <c r="H460" s="816"/>
      <c r="J460" s="650"/>
      <c r="L460" s="650"/>
    </row>
    <row r="461" spans="1:12" s="655" customFormat="1" ht="14.25" customHeight="1" x14ac:dyDescent="0.4">
      <c r="A461" s="817"/>
      <c r="B461" s="887" t="s">
        <v>1151</v>
      </c>
      <c r="C461" s="666"/>
      <c r="D461" s="890"/>
      <c r="E461" s="773">
        <f>SUM(E462:E468)</f>
        <v>499</v>
      </c>
      <c r="G461" s="648"/>
      <c r="H461" s="816"/>
      <c r="J461" s="650"/>
      <c r="L461" s="650"/>
    </row>
    <row r="462" spans="1:12" s="655" customFormat="1" ht="14.25" customHeight="1" x14ac:dyDescent="0.4">
      <c r="A462" s="817"/>
      <c r="B462" s="852" t="s">
        <v>632</v>
      </c>
      <c r="C462" s="696" t="s">
        <v>1005</v>
      </c>
      <c r="D462" s="892">
        <v>1</v>
      </c>
      <c r="E462" s="809">
        <v>155</v>
      </c>
      <c r="G462" s="648"/>
      <c r="H462" s="816"/>
      <c r="J462" s="650"/>
      <c r="L462" s="650"/>
    </row>
    <row r="463" spans="1:12" s="655" customFormat="1" ht="14.25" customHeight="1" x14ac:dyDescent="0.4">
      <c r="A463" s="817"/>
      <c r="B463" s="852" t="s">
        <v>633</v>
      </c>
      <c r="C463" s="696" t="s">
        <v>1005</v>
      </c>
      <c r="D463" s="892">
        <v>1</v>
      </c>
      <c r="E463" s="809">
        <v>65</v>
      </c>
      <c r="G463" s="648"/>
      <c r="H463" s="816"/>
      <c r="J463" s="650"/>
      <c r="L463" s="650"/>
    </row>
    <row r="464" spans="1:12" s="655" customFormat="1" ht="14.25" customHeight="1" x14ac:dyDescent="0.4">
      <c r="A464" s="817"/>
      <c r="B464" s="852" t="s">
        <v>634</v>
      </c>
      <c r="C464" s="696" t="s">
        <v>1005</v>
      </c>
      <c r="D464" s="892">
        <v>1</v>
      </c>
      <c r="E464" s="809">
        <v>65</v>
      </c>
      <c r="G464" s="648"/>
      <c r="H464" s="816"/>
      <c r="J464" s="650"/>
      <c r="L464" s="650"/>
    </row>
    <row r="465" spans="1:12" s="655" customFormat="1" ht="14.25" customHeight="1" x14ac:dyDescent="0.4">
      <c r="A465" s="817"/>
      <c r="B465" s="852" t="s">
        <v>635</v>
      </c>
      <c r="C465" s="696" t="s">
        <v>1005</v>
      </c>
      <c r="D465" s="892">
        <v>1</v>
      </c>
      <c r="E465" s="809">
        <v>65</v>
      </c>
      <c r="G465" s="648"/>
      <c r="H465" s="816"/>
      <c r="J465" s="650"/>
      <c r="L465" s="650"/>
    </row>
    <row r="466" spans="1:12" s="655" customFormat="1" ht="14.25" customHeight="1" x14ac:dyDescent="0.4">
      <c r="A466" s="817"/>
      <c r="B466" s="852" t="s">
        <v>636</v>
      </c>
      <c r="C466" s="696" t="s">
        <v>1005</v>
      </c>
      <c r="D466" s="892">
        <v>1</v>
      </c>
      <c r="E466" s="809">
        <v>107</v>
      </c>
      <c r="G466" s="648"/>
      <c r="H466" s="816"/>
      <c r="J466" s="650"/>
      <c r="L466" s="650"/>
    </row>
    <row r="467" spans="1:12" s="655" customFormat="1" ht="14.25" customHeight="1" x14ac:dyDescent="0.4">
      <c r="A467" s="817"/>
      <c r="B467" s="852" t="s">
        <v>637</v>
      </c>
      <c r="C467" s="696" t="s">
        <v>1005</v>
      </c>
      <c r="D467" s="892">
        <v>1</v>
      </c>
      <c r="E467" s="809">
        <v>18</v>
      </c>
      <c r="G467" s="648"/>
      <c r="H467" s="816"/>
      <c r="J467" s="650"/>
      <c r="L467" s="650"/>
    </row>
    <row r="468" spans="1:12" s="655" customFormat="1" ht="14.25" customHeight="1" x14ac:dyDescent="0.4">
      <c r="A468" s="817"/>
      <c r="B468" s="852" t="s">
        <v>638</v>
      </c>
      <c r="C468" s="696" t="s">
        <v>1005</v>
      </c>
      <c r="D468" s="892">
        <v>1</v>
      </c>
      <c r="E468" s="809">
        <v>24</v>
      </c>
      <c r="G468" s="648"/>
      <c r="H468" s="816"/>
      <c r="J468" s="650"/>
      <c r="L468" s="650"/>
    </row>
    <row r="469" spans="1:12" s="655" customFormat="1" ht="15.75" customHeight="1" x14ac:dyDescent="0.4">
      <c r="A469" s="817"/>
      <c r="B469" s="887" t="s">
        <v>1177</v>
      </c>
      <c r="C469" s="666"/>
      <c r="D469" s="890"/>
      <c r="E469" s="779">
        <f>E470+E471</f>
        <v>9</v>
      </c>
      <c r="G469" s="648"/>
      <c r="H469" s="816"/>
      <c r="J469" s="650"/>
      <c r="L469" s="650"/>
    </row>
    <row r="470" spans="1:12" s="655" customFormat="1" ht="15.75" customHeight="1" x14ac:dyDescent="0.4">
      <c r="A470" s="817"/>
      <c r="B470" s="770" t="s">
        <v>1178</v>
      </c>
      <c r="C470" s="666" t="s">
        <v>1005</v>
      </c>
      <c r="D470" s="890">
        <v>1</v>
      </c>
      <c r="E470" s="769">
        <v>6</v>
      </c>
      <c r="G470" s="648"/>
      <c r="H470" s="816"/>
      <c r="J470" s="650"/>
      <c r="L470" s="650"/>
    </row>
    <row r="471" spans="1:12" s="655" customFormat="1" ht="15.75" customHeight="1" x14ac:dyDescent="0.4">
      <c r="A471" s="817"/>
      <c r="B471" s="770" t="s">
        <v>1179</v>
      </c>
      <c r="C471" s="666" t="s">
        <v>1005</v>
      </c>
      <c r="D471" s="890">
        <v>1</v>
      </c>
      <c r="E471" s="893">
        <v>3</v>
      </c>
      <c r="G471" s="648"/>
      <c r="H471" s="816"/>
      <c r="J471" s="650"/>
      <c r="L471" s="650"/>
    </row>
    <row r="472" spans="1:12" s="655" customFormat="1" ht="15.75" customHeight="1" x14ac:dyDescent="0.4">
      <c r="A472" s="817"/>
      <c r="B472" s="692" t="s">
        <v>1164</v>
      </c>
      <c r="C472" s="894"/>
      <c r="D472" s="895"/>
      <c r="E472" s="889">
        <f>E473+E474</f>
        <v>68</v>
      </c>
      <c r="G472" s="648"/>
      <c r="H472" s="816"/>
      <c r="J472" s="650"/>
      <c r="L472" s="650"/>
    </row>
    <row r="473" spans="1:12" s="655" customFormat="1" ht="15.75" customHeight="1" x14ac:dyDescent="0.4">
      <c r="A473" s="817"/>
      <c r="B473" s="691" t="s">
        <v>670</v>
      </c>
      <c r="C473" s="666" t="s">
        <v>1005</v>
      </c>
      <c r="D473" s="890">
        <v>1</v>
      </c>
      <c r="E473" s="893">
        <f>22+6</f>
        <v>28</v>
      </c>
      <c r="G473" s="648"/>
      <c r="H473" s="816"/>
      <c r="J473" s="650"/>
      <c r="L473" s="650"/>
    </row>
    <row r="474" spans="1:12" s="655" customFormat="1" ht="46.3" x14ac:dyDescent="0.4">
      <c r="A474" s="817"/>
      <c r="B474" s="685" t="s">
        <v>671</v>
      </c>
      <c r="C474" s="666" t="s">
        <v>1005</v>
      </c>
      <c r="D474" s="890">
        <v>1</v>
      </c>
      <c r="E474" s="893">
        <v>40</v>
      </c>
      <c r="G474" s="648"/>
      <c r="H474" s="816"/>
      <c r="J474" s="650"/>
      <c r="L474" s="650"/>
    </row>
    <row r="475" spans="1:12" s="655" customFormat="1" ht="15.75" customHeight="1" x14ac:dyDescent="0.4">
      <c r="A475" s="817"/>
      <c r="B475" s="699" t="s">
        <v>1180</v>
      </c>
      <c r="C475" s="666"/>
      <c r="D475" s="890"/>
      <c r="E475" s="773">
        <f>SUM(E476:E480)</f>
        <v>115</v>
      </c>
      <c r="G475" s="648"/>
      <c r="H475" s="816"/>
      <c r="J475" s="650"/>
      <c r="L475" s="650"/>
    </row>
    <row r="476" spans="1:12" s="655" customFormat="1" ht="15.75" customHeight="1" x14ac:dyDescent="0.4">
      <c r="A476" s="817"/>
      <c r="B476" s="770" t="s">
        <v>650</v>
      </c>
      <c r="C476" s="666" t="s">
        <v>1005</v>
      </c>
      <c r="D476" s="890">
        <v>1</v>
      </c>
      <c r="E476" s="769">
        <v>22</v>
      </c>
      <c r="G476" s="648"/>
      <c r="H476" s="816"/>
      <c r="J476" s="650"/>
      <c r="L476" s="650"/>
    </row>
    <row r="477" spans="1:12" s="655" customFormat="1" ht="15.75" customHeight="1" x14ac:dyDescent="0.4">
      <c r="A477" s="817"/>
      <c r="B477" s="711" t="s">
        <v>1181</v>
      </c>
      <c r="C477" s="666" t="s">
        <v>1005</v>
      </c>
      <c r="D477" s="890">
        <v>1</v>
      </c>
      <c r="E477" s="769">
        <v>18</v>
      </c>
      <c r="G477" s="648"/>
      <c r="H477" s="816"/>
      <c r="J477" s="650"/>
      <c r="L477" s="650"/>
    </row>
    <row r="478" spans="1:12" s="655" customFormat="1" ht="15.75" customHeight="1" x14ac:dyDescent="0.4">
      <c r="A478" s="817"/>
      <c r="B478" s="703" t="s">
        <v>653</v>
      </c>
      <c r="C478" s="666" t="s">
        <v>1005</v>
      </c>
      <c r="D478" s="890">
        <v>1</v>
      </c>
      <c r="E478" s="740">
        <v>3</v>
      </c>
      <c r="G478" s="648"/>
      <c r="H478" s="816"/>
      <c r="J478" s="650"/>
      <c r="L478" s="650"/>
    </row>
    <row r="479" spans="1:12" s="655" customFormat="1" ht="30" customHeight="1" x14ac:dyDescent="0.4">
      <c r="A479" s="817"/>
      <c r="B479" s="703" t="s">
        <v>652</v>
      </c>
      <c r="C479" s="666" t="s">
        <v>1005</v>
      </c>
      <c r="D479" s="890">
        <v>1</v>
      </c>
      <c r="E479" s="740">
        <v>8</v>
      </c>
      <c r="G479" s="648"/>
      <c r="H479" s="816"/>
      <c r="J479" s="650"/>
      <c r="L479" s="650"/>
    </row>
    <row r="480" spans="1:12" s="655" customFormat="1" ht="15.75" customHeight="1" x14ac:dyDescent="0.4">
      <c r="A480" s="817"/>
      <c r="B480" s="795" t="s">
        <v>654</v>
      </c>
      <c r="C480" s="666" t="s">
        <v>1005</v>
      </c>
      <c r="D480" s="890">
        <v>1</v>
      </c>
      <c r="E480" s="740">
        <v>64</v>
      </c>
      <c r="G480" s="648"/>
      <c r="H480" s="816"/>
      <c r="J480" s="650"/>
      <c r="L480" s="650"/>
    </row>
    <row r="481" spans="1:12" s="655" customFormat="1" ht="15.75" customHeight="1" x14ac:dyDescent="0.4">
      <c r="A481" s="896"/>
      <c r="B481" s="726" t="s">
        <v>1182</v>
      </c>
      <c r="C481" s="666"/>
      <c r="D481" s="890"/>
      <c r="E481" s="779">
        <f>SUM(E482:E482)</f>
        <v>5</v>
      </c>
      <c r="G481" s="897"/>
      <c r="H481" s="816"/>
      <c r="I481" s="859"/>
      <c r="L481" s="898"/>
    </row>
    <row r="482" spans="1:12" s="655" customFormat="1" ht="15.75" customHeight="1" x14ac:dyDescent="0.4">
      <c r="A482" s="896"/>
      <c r="B482" s="703" t="s">
        <v>668</v>
      </c>
      <c r="C482" s="666" t="s">
        <v>1005</v>
      </c>
      <c r="D482" s="876">
        <v>1</v>
      </c>
      <c r="E482" s="769">
        <v>5</v>
      </c>
      <c r="G482" s="897"/>
      <c r="H482" s="816"/>
      <c r="I482" s="859"/>
      <c r="L482" s="898"/>
    </row>
    <row r="483" spans="1:12" s="655" customFormat="1" ht="19.5" customHeight="1" x14ac:dyDescent="0.4">
      <c r="A483" s="896"/>
      <c r="B483" s="887" t="s">
        <v>1163</v>
      </c>
      <c r="C483" s="890"/>
      <c r="D483" s="890"/>
      <c r="E483" s="779">
        <f>SUM(E484:E487)</f>
        <v>150</v>
      </c>
      <c r="G483" s="648"/>
      <c r="H483" s="816"/>
      <c r="L483" s="650"/>
    </row>
    <row r="484" spans="1:12" s="655" customFormat="1" ht="18.75" customHeight="1" x14ac:dyDescent="0.4">
      <c r="A484" s="896"/>
      <c r="B484" s="685" t="s">
        <v>1183</v>
      </c>
      <c r="C484" s="808" t="s">
        <v>1005</v>
      </c>
      <c r="D484" s="890">
        <v>1</v>
      </c>
      <c r="E484" s="769">
        <v>30</v>
      </c>
      <c r="G484" s="897"/>
      <c r="H484" s="816"/>
      <c r="I484" s="859"/>
      <c r="L484" s="650"/>
    </row>
    <row r="485" spans="1:12" s="655" customFormat="1" x14ac:dyDescent="0.4">
      <c r="A485" s="896"/>
      <c r="B485" s="685" t="s">
        <v>1184</v>
      </c>
      <c r="C485" s="808" t="s">
        <v>1005</v>
      </c>
      <c r="D485" s="890">
        <v>1</v>
      </c>
      <c r="E485" s="769">
        <v>53</v>
      </c>
      <c r="G485" s="897"/>
      <c r="H485" s="816"/>
      <c r="I485" s="859"/>
      <c r="L485" s="650"/>
    </row>
    <row r="486" spans="1:12" s="655" customFormat="1" ht="15.75" customHeight="1" x14ac:dyDescent="0.4">
      <c r="A486" s="896"/>
      <c r="B486" s="685" t="s">
        <v>1185</v>
      </c>
      <c r="C486" s="808" t="s">
        <v>1005</v>
      </c>
      <c r="D486" s="890">
        <v>1</v>
      </c>
      <c r="E486" s="769">
        <v>62</v>
      </c>
      <c r="G486" s="897"/>
      <c r="H486" s="816"/>
      <c r="I486" s="859"/>
      <c r="L486" s="650"/>
    </row>
    <row r="487" spans="1:12" s="655" customFormat="1" ht="25.5" customHeight="1" x14ac:dyDescent="0.4">
      <c r="A487" s="896"/>
      <c r="B487" s="739" t="s">
        <v>1186</v>
      </c>
      <c r="C487" s="808" t="s">
        <v>1005</v>
      </c>
      <c r="D487" s="890">
        <v>1</v>
      </c>
      <c r="E487" s="769">
        <v>5</v>
      </c>
      <c r="G487" s="897"/>
      <c r="H487" s="816"/>
      <c r="I487" s="859"/>
      <c r="L487" s="650"/>
    </row>
    <row r="488" spans="1:12" s="655" customFormat="1" ht="15.75" customHeight="1" x14ac:dyDescent="0.4">
      <c r="A488" s="896"/>
      <c r="B488" s="865" t="s">
        <v>1157</v>
      </c>
      <c r="C488" s="808"/>
      <c r="D488" s="890"/>
      <c r="E488" s="773">
        <f>SUM(E489:E491)</f>
        <v>696</v>
      </c>
      <c r="G488" s="897"/>
      <c r="H488" s="816"/>
      <c r="I488" s="859"/>
      <c r="L488" s="650"/>
    </row>
    <row r="489" spans="1:12" s="655" customFormat="1" ht="46.3" x14ac:dyDescent="0.4">
      <c r="A489" s="896"/>
      <c r="B489" s="794" t="s">
        <v>663</v>
      </c>
      <c r="C489" s="808" t="s">
        <v>1005</v>
      </c>
      <c r="D489" s="890">
        <v>1</v>
      </c>
      <c r="E489" s="769">
        <v>298</v>
      </c>
      <c r="G489" s="897"/>
      <c r="H489" s="816"/>
      <c r="I489" s="859"/>
      <c r="L489" s="650"/>
    </row>
    <row r="490" spans="1:12" s="655" customFormat="1" ht="46.3" x14ac:dyDescent="0.4">
      <c r="A490" s="896"/>
      <c r="B490" s="794" t="s">
        <v>664</v>
      </c>
      <c r="C490" s="808" t="s">
        <v>1005</v>
      </c>
      <c r="D490" s="890">
        <v>1</v>
      </c>
      <c r="E490" s="769">
        <v>118</v>
      </c>
      <c r="G490" s="897"/>
      <c r="H490" s="816"/>
      <c r="I490" s="859"/>
      <c r="L490" s="650"/>
    </row>
    <row r="491" spans="1:12" s="655" customFormat="1" ht="30.9" x14ac:dyDescent="0.4">
      <c r="A491" s="896"/>
      <c r="B491" s="685" t="s">
        <v>1187</v>
      </c>
      <c r="C491" s="808" t="s">
        <v>1005</v>
      </c>
      <c r="D491" s="890">
        <v>1</v>
      </c>
      <c r="E491" s="769">
        <v>280</v>
      </c>
      <c r="G491" s="897"/>
      <c r="H491" s="816"/>
      <c r="I491" s="859"/>
      <c r="L491" s="650"/>
    </row>
    <row r="492" spans="1:12" s="655" customFormat="1" x14ac:dyDescent="0.4">
      <c r="A492" s="896"/>
      <c r="B492" s="806" t="s">
        <v>1029</v>
      </c>
      <c r="C492" s="762" t="s">
        <v>1165</v>
      </c>
      <c r="D492" s="899"/>
      <c r="E492" s="900">
        <f>E493</f>
        <v>394</v>
      </c>
      <c r="G492" s="897"/>
      <c r="H492" s="816"/>
      <c r="I492" s="859"/>
      <c r="J492" s="650"/>
      <c r="L492" s="650"/>
    </row>
    <row r="493" spans="1:12" s="655" customFormat="1" x14ac:dyDescent="0.4">
      <c r="A493" s="896"/>
      <c r="B493" s="728" t="s">
        <v>1032</v>
      </c>
      <c r="C493" s="808"/>
      <c r="D493" s="890"/>
      <c r="E493" s="769">
        <f>E494</f>
        <v>394</v>
      </c>
      <c r="G493" s="897"/>
      <c r="H493" s="816"/>
      <c r="I493" s="859"/>
      <c r="J493" s="650"/>
      <c r="L493" s="650"/>
    </row>
    <row r="494" spans="1:12" s="655" customFormat="1" ht="46.3" x14ac:dyDescent="0.4">
      <c r="A494" s="896"/>
      <c r="B494" s="685" t="s">
        <v>1188</v>
      </c>
      <c r="C494" s="808"/>
      <c r="D494" s="890"/>
      <c r="E494" s="769">
        <v>394</v>
      </c>
      <c r="G494" s="897"/>
      <c r="H494" s="816"/>
      <c r="I494" s="859"/>
      <c r="J494" s="650"/>
      <c r="L494" s="650"/>
    </row>
    <row r="495" spans="1:12" s="655" customFormat="1" ht="16.5" customHeight="1" x14ac:dyDescent="0.4">
      <c r="A495" s="896"/>
      <c r="B495" s="657" t="s">
        <v>1189</v>
      </c>
      <c r="C495" s="762" t="s">
        <v>1190</v>
      </c>
      <c r="D495" s="657"/>
      <c r="E495" s="879">
        <f>E498+E496</f>
        <v>80</v>
      </c>
      <c r="G495" s="897"/>
      <c r="H495" s="816"/>
      <c r="I495" s="859"/>
      <c r="J495" s="650"/>
      <c r="L495" s="650"/>
    </row>
    <row r="496" spans="1:12" s="655" customFormat="1" ht="16.5" customHeight="1" x14ac:dyDescent="0.4">
      <c r="A496" s="896"/>
      <c r="B496" s="901" t="s">
        <v>1191</v>
      </c>
      <c r="C496" s="762"/>
      <c r="D496" s="657"/>
      <c r="E496" s="879">
        <f>E497</f>
        <v>30</v>
      </c>
      <c r="G496" s="897"/>
      <c r="H496" s="816"/>
      <c r="I496" s="859"/>
      <c r="J496" s="650"/>
      <c r="L496" s="650"/>
    </row>
    <row r="497" spans="1:12" s="655" customFormat="1" ht="30.9" x14ac:dyDescent="0.4">
      <c r="A497" s="896"/>
      <c r="B497" s="685" t="s">
        <v>794</v>
      </c>
      <c r="C497" s="666" t="s">
        <v>1005</v>
      </c>
      <c r="D497" s="666">
        <v>1</v>
      </c>
      <c r="E497" s="769">
        <v>30</v>
      </c>
      <c r="G497" s="897"/>
      <c r="H497" s="816"/>
      <c r="I497" s="859"/>
      <c r="J497" s="650"/>
      <c r="L497" s="650"/>
    </row>
    <row r="498" spans="1:12" s="655" customFormat="1" ht="21" customHeight="1" x14ac:dyDescent="0.4">
      <c r="A498" s="896"/>
      <c r="B498" s="663" t="s">
        <v>1192</v>
      </c>
      <c r="C498" s="666"/>
      <c r="D498" s="666"/>
      <c r="E498" s="779">
        <f>E499</f>
        <v>50</v>
      </c>
      <c r="G498" s="897"/>
      <c r="H498" s="816"/>
      <c r="I498" s="859"/>
      <c r="J498" s="650"/>
      <c r="L498" s="650"/>
    </row>
    <row r="499" spans="1:12" s="615" customFormat="1" ht="15" customHeight="1" x14ac:dyDescent="0.4">
      <c r="A499" s="902"/>
      <c r="B499" s="855" t="s">
        <v>787</v>
      </c>
      <c r="C499" s="798" t="s">
        <v>1005</v>
      </c>
      <c r="D499" s="798">
        <v>1</v>
      </c>
      <c r="E499" s="814">
        <f>40+10</f>
        <v>50</v>
      </c>
      <c r="G499" s="903"/>
      <c r="H499" s="614"/>
      <c r="I499" s="904"/>
      <c r="J499" s="631"/>
      <c r="L499" s="631"/>
    </row>
    <row r="500" spans="1:12" s="655" customFormat="1" ht="15.75" customHeight="1" x14ac:dyDescent="0.4">
      <c r="A500" s="958" t="s">
        <v>1193</v>
      </c>
      <c r="B500" s="959"/>
      <c r="C500" s="959"/>
      <c r="D500" s="905"/>
      <c r="E500" s="647">
        <f>E501</f>
        <v>0</v>
      </c>
      <c r="G500" s="648"/>
      <c r="H500" s="841"/>
      <c r="J500" s="650"/>
      <c r="L500" s="650"/>
    </row>
    <row r="501" spans="1:12" s="655" customFormat="1" ht="15.75" customHeight="1" x14ac:dyDescent="0.4">
      <c r="A501" s="663"/>
      <c r="B501" s="663"/>
      <c r="C501" s="821"/>
      <c r="D501" s="663"/>
      <c r="E501" s="750">
        <v>0</v>
      </c>
      <c r="G501" s="648"/>
      <c r="H501" s="841"/>
      <c r="J501" s="650"/>
      <c r="L501" s="650"/>
    </row>
    <row r="502" spans="1:12" s="655" customFormat="1" ht="21.75" customHeight="1" x14ac:dyDescent="0.4">
      <c r="A502" s="960" t="s">
        <v>1121</v>
      </c>
      <c r="B502" s="961"/>
      <c r="C502" s="961"/>
      <c r="D502" s="961"/>
      <c r="E502" s="766">
        <f>E503+E539</f>
        <v>11849</v>
      </c>
      <c r="G502" s="648"/>
      <c r="H502" s="841"/>
      <c r="J502" s="819"/>
    </row>
    <row r="503" spans="1:12" s="655" customFormat="1" ht="18.75" customHeight="1" x14ac:dyDescent="0.4">
      <c r="A503" s="820"/>
      <c r="B503" s="774" t="s">
        <v>1175</v>
      </c>
      <c r="C503" s="658" t="s">
        <v>1146</v>
      </c>
      <c r="D503" s="774"/>
      <c r="E503" s="847">
        <f>E509+E515+E518+E525+E528+E533+E504+E512+E530</f>
        <v>11519</v>
      </c>
      <c r="G503" s="648"/>
      <c r="H503" s="841"/>
      <c r="J503" s="819"/>
    </row>
    <row r="504" spans="1:12" s="655" customFormat="1" ht="18.75" customHeight="1" x14ac:dyDescent="0.4">
      <c r="A504" s="820"/>
      <c r="B504" s="848" t="s">
        <v>1147</v>
      </c>
      <c r="C504" s="662"/>
      <c r="D504" s="888"/>
      <c r="E504" s="889">
        <f>SUM(E505:E508)</f>
        <v>306</v>
      </c>
      <c r="G504" s="648"/>
      <c r="H504" s="841"/>
      <c r="J504" s="819"/>
    </row>
    <row r="505" spans="1:12" s="655" customFormat="1" ht="18.75" customHeight="1" x14ac:dyDescent="0.4">
      <c r="A505" s="820"/>
      <c r="B505" s="723" t="s">
        <v>866</v>
      </c>
      <c r="C505" s="666" t="s">
        <v>1005</v>
      </c>
      <c r="D505" s="890">
        <v>1</v>
      </c>
      <c r="E505" s="893">
        <v>39</v>
      </c>
      <c r="G505" s="648"/>
      <c r="H505" s="841"/>
      <c r="J505" s="819"/>
    </row>
    <row r="506" spans="1:12" s="655" customFormat="1" ht="18.75" customHeight="1" x14ac:dyDescent="0.4">
      <c r="A506" s="820"/>
      <c r="B506" s="703" t="s">
        <v>867</v>
      </c>
      <c r="C506" s="666" t="s">
        <v>1005</v>
      </c>
      <c r="D506" s="890">
        <v>1</v>
      </c>
      <c r="E506" s="893">
        <v>27</v>
      </c>
      <c r="G506" s="648"/>
      <c r="H506" s="841"/>
      <c r="J506" s="819"/>
    </row>
    <row r="507" spans="1:12" s="655" customFormat="1" ht="18.75" customHeight="1" x14ac:dyDescent="0.4">
      <c r="A507" s="820"/>
      <c r="B507" s="685" t="s">
        <v>907</v>
      </c>
      <c r="C507" s="666" t="s">
        <v>1005</v>
      </c>
      <c r="D507" s="890">
        <v>2</v>
      </c>
      <c r="E507" s="769">
        <v>198</v>
      </c>
      <c r="G507" s="648"/>
      <c r="H507" s="841"/>
      <c r="J507" s="819"/>
    </row>
    <row r="508" spans="1:12" s="655" customFormat="1" ht="30.9" x14ac:dyDescent="0.4">
      <c r="A508" s="820"/>
      <c r="B508" s="906" t="s">
        <v>1194</v>
      </c>
      <c r="C508" s="666" t="s">
        <v>1005</v>
      </c>
      <c r="D508" s="890">
        <v>1</v>
      </c>
      <c r="E508" s="769">
        <v>42</v>
      </c>
      <c r="G508" s="648"/>
      <c r="H508" s="841"/>
      <c r="J508" s="819"/>
    </row>
    <row r="509" spans="1:12" s="655" customFormat="1" ht="15" customHeight="1" x14ac:dyDescent="0.4">
      <c r="A509" s="820"/>
      <c r="B509" s="692" t="s">
        <v>1195</v>
      </c>
      <c r="C509" s="666"/>
      <c r="D509" s="890"/>
      <c r="E509" s="779">
        <f>SUM(E510:E511)</f>
        <v>41</v>
      </c>
      <c r="G509" s="648"/>
      <c r="H509" s="841"/>
      <c r="J509" s="819"/>
    </row>
    <row r="510" spans="1:12" s="655" customFormat="1" ht="15" customHeight="1" x14ac:dyDescent="0.4">
      <c r="A510" s="820"/>
      <c r="B510" s="685" t="s">
        <v>902</v>
      </c>
      <c r="C510" s="666" t="s">
        <v>1005</v>
      </c>
      <c r="D510" s="890">
        <v>1</v>
      </c>
      <c r="E510" s="769">
        <v>11</v>
      </c>
      <c r="G510" s="648"/>
      <c r="H510" s="841"/>
      <c r="J510" s="819"/>
    </row>
    <row r="511" spans="1:12" s="655" customFormat="1" ht="15" customHeight="1" x14ac:dyDescent="0.4">
      <c r="A511" s="820"/>
      <c r="B511" s="685" t="s">
        <v>903</v>
      </c>
      <c r="C511" s="666" t="s">
        <v>1005</v>
      </c>
      <c r="D511" s="890">
        <v>1</v>
      </c>
      <c r="E511" s="769">
        <v>30</v>
      </c>
      <c r="G511" s="648"/>
      <c r="H511" s="816"/>
      <c r="J511" s="819"/>
    </row>
    <row r="512" spans="1:12" s="655" customFormat="1" ht="15" customHeight="1" x14ac:dyDescent="0.4">
      <c r="A512" s="820"/>
      <c r="B512" s="692" t="s">
        <v>1153</v>
      </c>
      <c r="C512" s="666"/>
      <c r="D512" s="890"/>
      <c r="E512" s="779">
        <f>SUM(E513:E514)</f>
        <v>196</v>
      </c>
      <c r="G512" s="648"/>
      <c r="H512" s="816"/>
      <c r="J512" s="819"/>
    </row>
    <row r="513" spans="1:15" s="655" customFormat="1" ht="15" customHeight="1" x14ac:dyDescent="0.4">
      <c r="A513" s="820"/>
      <c r="B513" s="685" t="s">
        <v>1196</v>
      </c>
      <c r="C513" s="666" t="s">
        <v>1005</v>
      </c>
      <c r="D513" s="890">
        <v>1</v>
      </c>
      <c r="E513" s="769">
        <v>175</v>
      </c>
      <c r="G513" s="648"/>
      <c r="H513" s="816"/>
      <c r="J513" s="819"/>
    </row>
    <row r="514" spans="1:15" s="655" customFormat="1" ht="15" customHeight="1" x14ac:dyDescent="0.4">
      <c r="A514" s="820"/>
      <c r="B514" s="685" t="s">
        <v>893</v>
      </c>
      <c r="C514" s="666" t="s">
        <v>1005</v>
      </c>
      <c r="D514" s="890">
        <v>1</v>
      </c>
      <c r="E514" s="769">
        <v>21</v>
      </c>
      <c r="G514" s="648"/>
      <c r="H514" s="816"/>
      <c r="J514" s="819"/>
    </row>
    <row r="515" spans="1:15" s="655" customFormat="1" ht="15.75" customHeight="1" x14ac:dyDescent="0.4">
      <c r="A515" s="857"/>
      <c r="B515" s="848" t="s">
        <v>1163</v>
      </c>
      <c r="C515" s="666"/>
      <c r="D515" s="666"/>
      <c r="E515" s="779">
        <f>SUM(E516:E517)</f>
        <v>970</v>
      </c>
      <c r="G515" s="648"/>
      <c r="H515" s="816"/>
      <c r="O515" s="875"/>
    </row>
    <row r="516" spans="1:15" s="655" customFormat="1" ht="30.9" x14ac:dyDescent="0.4">
      <c r="A516" s="896"/>
      <c r="B516" s="685" t="s">
        <v>876</v>
      </c>
      <c r="C516" s="666" t="s">
        <v>1005</v>
      </c>
      <c r="D516" s="890">
        <v>1</v>
      </c>
      <c r="E516" s="769">
        <v>925</v>
      </c>
      <c r="G516" s="897"/>
      <c r="H516" s="816"/>
      <c r="I516" s="859"/>
      <c r="J516" s="907"/>
      <c r="O516" s="875"/>
    </row>
    <row r="517" spans="1:15" s="655" customFormat="1" x14ac:dyDescent="0.4">
      <c r="A517" s="896"/>
      <c r="B517" s="739" t="s">
        <v>879</v>
      </c>
      <c r="C517" s="666" t="s">
        <v>1005</v>
      </c>
      <c r="D517" s="890">
        <v>1</v>
      </c>
      <c r="E517" s="769">
        <v>45</v>
      </c>
      <c r="G517" s="897"/>
      <c r="H517" s="816"/>
      <c r="I517" s="859"/>
      <c r="J517" s="907"/>
      <c r="O517" s="875"/>
    </row>
    <row r="518" spans="1:15" s="655" customFormat="1" ht="19.5" customHeight="1" x14ac:dyDescent="0.4">
      <c r="A518" s="743"/>
      <c r="B518" s="887" t="s">
        <v>1151</v>
      </c>
      <c r="C518" s="666"/>
      <c r="D518" s="890"/>
      <c r="E518" s="779">
        <f>SUM(E519:E524)</f>
        <v>8094</v>
      </c>
      <c r="G518" s="648"/>
      <c r="H518" s="816"/>
      <c r="O518" s="875"/>
    </row>
    <row r="519" spans="1:15" s="655" customFormat="1" ht="15.75" customHeight="1" x14ac:dyDescent="0.4">
      <c r="A519" s="743"/>
      <c r="B519" s="761" t="s">
        <v>872</v>
      </c>
      <c r="C519" s="666" t="s">
        <v>1005</v>
      </c>
      <c r="D519" s="666">
        <v>1</v>
      </c>
      <c r="E519" s="908">
        <v>119</v>
      </c>
      <c r="G519" s="648"/>
      <c r="H519" s="816"/>
      <c r="I519" s="859"/>
      <c r="O519" s="875"/>
    </row>
    <row r="520" spans="1:15" s="655" customFormat="1" x14ac:dyDescent="0.4">
      <c r="A520" s="743"/>
      <c r="B520" s="761" t="s">
        <v>1197</v>
      </c>
      <c r="C520" s="666" t="s">
        <v>1005</v>
      </c>
      <c r="D520" s="666">
        <v>1</v>
      </c>
      <c r="E520" s="908">
        <v>4165</v>
      </c>
      <c r="G520" s="648"/>
      <c r="H520" s="816"/>
      <c r="I520" s="859"/>
      <c r="O520" s="875"/>
    </row>
    <row r="521" spans="1:15" s="655" customFormat="1" ht="15.75" customHeight="1" x14ac:dyDescent="0.4">
      <c r="A521" s="743"/>
      <c r="B521" s="328" t="s">
        <v>909</v>
      </c>
      <c r="C521" s="666" t="s">
        <v>1005</v>
      </c>
      <c r="D521" s="666">
        <v>1</v>
      </c>
      <c r="E521" s="908">
        <v>3147</v>
      </c>
      <c r="G521" s="648"/>
      <c r="H521" s="816"/>
      <c r="I521" s="859"/>
      <c r="O521" s="875"/>
    </row>
    <row r="522" spans="1:15" s="655" customFormat="1" ht="15.75" customHeight="1" x14ac:dyDescent="0.4">
      <c r="A522" s="743"/>
      <c r="B522" s="328" t="s">
        <v>911</v>
      </c>
      <c r="C522" s="666" t="s">
        <v>1005</v>
      </c>
      <c r="D522" s="666">
        <v>1</v>
      </c>
      <c r="E522" s="908">
        <v>451</v>
      </c>
      <c r="G522" s="648"/>
      <c r="H522" s="816"/>
      <c r="I522" s="859"/>
      <c r="O522" s="875"/>
    </row>
    <row r="523" spans="1:15" s="655" customFormat="1" ht="15.75" customHeight="1" x14ac:dyDescent="0.4">
      <c r="A523" s="743"/>
      <c r="B523" s="761" t="s">
        <v>873</v>
      </c>
      <c r="C523" s="666" t="s">
        <v>1005</v>
      </c>
      <c r="D523" s="666">
        <v>1</v>
      </c>
      <c r="E523" s="908">
        <v>104</v>
      </c>
      <c r="G523" s="648"/>
      <c r="H523" s="816"/>
      <c r="I523" s="859"/>
      <c r="O523" s="875"/>
    </row>
    <row r="524" spans="1:15" s="655" customFormat="1" ht="15.75" customHeight="1" x14ac:dyDescent="0.4">
      <c r="A524" s="743"/>
      <c r="B524" s="739" t="s">
        <v>875</v>
      </c>
      <c r="C524" s="666" t="s">
        <v>1005</v>
      </c>
      <c r="D524" s="666">
        <v>1</v>
      </c>
      <c r="E524" s="908">
        <v>108</v>
      </c>
      <c r="G524" s="648"/>
      <c r="H524" s="816"/>
      <c r="I524" s="859"/>
      <c r="O524" s="875"/>
    </row>
    <row r="525" spans="1:15" s="655" customFormat="1" ht="15.75" customHeight="1" x14ac:dyDescent="0.4">
      <c r="A525" s="743"/>
      <c r="B525" s="726" t="s">
        <v>1159</v>
      </c>
      <c r="C525" s="726"/>
      <c r="D525" s="726"/>
      <c r="E525" s="722">
        <f>SUM(E526:E527)</f>
        <v>1454</v>
      </c>
      <c r="G525" s="909"/>
      <c r="H525" s="816"/>
      <c r="I525" s="910"/>
      <c r="J525" s="859"/>
      <c r="O525" s="875"/>
    </row>
    <row r="526" spans="1:15" s="655" customFormat="1" ht="15.75" customHeight="1" x14ac:dyDescent="0.4">
      <c r="A526" s="743"/>
      <c r="B526" s="685" t="s">
        <v>913</v>
      </c>
      <c r="C526" s="666" t="s">
        <v>1005</v>
      </c>
      <c r="D526" s="666">
        <v>1</v>
      </c>
      <c r="E526" s="911">
        <v>205</v>
      </c>
      <c r="G526" s="909"/>
      <c r="H526" s="816"/>
      <c r="I526" s="910"/>
      <c r="J526" s="859"/>
      <c r="O526" s="875"/>
    </row>
    <row r="527" spans="1:15" s="655" customFormat="1" x14ac:dyDescent="0.4">
      <c r="A527" s="743"/>
      <c r="B527" s="739" t="s">
        <v>1198</v>
      </c>
      <c r="C527" s="666" t="s">
        <v>1005</v>
      </c>
      <c r="D527" s="666">
        <v>1</v>
      </c>
      <c r="E527" s="911">
        <v>1249</v>
      </c>
      <c r="G527" s="909"/>
      <c r="H527" s="816"/>
      <c r="I527" s="910"/>
      <c r="J527" s="859"/>
      <c r="O527" s="875"/>
    </row>
    <row r="528" spans="1:15" s="655" customFormat="1" ht="15.75" customHeight="1" x14ac:dyDescent="0.4">
      <c r="A528" s="743"/>
      <c r="B528" s="692" t="s">
        <v>1164</v>
      </c>
      <c r="C528" s="666"/>
      <c r="D528" s="666"/>
      <c r="E528" s="912">
        <f>SUM(E529:E529)</f>
        <v>180</v>
      </c>
      <c r="G528" s="731"/>
      <c r="H528" s="816"/>
      <c r="I528" s="910"/>
      <c r="J528" s="859"/>
      <c r="O528" s="875"/>
    </row>
    <row r="529" spans="1:15" s="655" customFormat="1" ht="15.75" customHeight="1" x14ac:dyDescent="0.4">
      <c r="A529" s="743"/>
      <c r="B529" s="691" t="s">
        <v>896</v>
      </c>
      <c r="C529" s="666" t="s">
        <v>1005</v>
      </c>
      <c r="D529" s="666">
        <v>1</v>
      </c>
      <c r="E529" s="911">
        <f>150+30</f>
        <v>180</v>
      </c>
      <c r="G529" s="909"/>
      <c r="H529" s="816"/>
      <c r="I529" s="910"/>
      <c r="J529" s="859"/>
      <c r="O529" s="875"/>
    </row>
    <row r="530" spans="1:15" s="655" customFormat="1" ht="15.75" customHeight="1" x14ac:dyDescent="0.4">
      <c r="A530" s="743"/>
      <c r="B530" s="913" t="s">
        <v>1157</v>
      </c>
      <c r="C530" s="666"/>
      <c r="D530" s="666"/>
      <c r="E530" s="912">
        <f>E531+E532</f>
        <v>150</v>
      </c>
      <c r="G530" s="909"/>
      <c r="H530" s="816"/>
      <c r="I530" s="910"/>
      <c r="J530" s="859"/>
      <c r="O530" s="875"/>
    </row>
    <row r="531" spans="1:15" s="655" customFormat="1" ht="15.75" customHeight="1" x14ac:dyDescent="0.4">
      <c r="A531" s="743"/>
      <c r="B531" s="872" t="s">
        <v>1199</v>
      </c>
      <c r="C531" s="666" t="s">
        <v>1005</v>
      </c>
      <c r="D531" s="666">
        <v>1</v>
      </c>
      <c r="E531" s="911">
        <f>350-280</f>
        <v>70</v>
      </c>
      <c r="G531" s="909"/>
      <c r="H531" s="816"/>
      <c r="I531" s="910"/>
      <c r="J531" s="859"/>
      <c r="O531" s="875"/>
    </row>
    <row r="532" spans="1:15" s="655" customFormat="1" ht="15.75" customHeight="1" x14ac:dyDescent="0.4">
      <c r="A532" s="743"/>
      <c r="B532" s="685" t="s">
        <v>900</v>
      </c>
      <c r="C532" s="666" t="s">
        <v>1005</v>
      </c>
      <c r="D532" s="666">
        <v>2</v>
      </c>
      <c r="E532" s="911">
        <v>80</v>
      </c>
      <c r="G532" s="909"/>
      <c r="H532" s="816"/>
      <c r="I532" s="910"/>
      <c r="J532" s="859"/>
      <c r="O532" s="875"/>
    </row>
    <row r="533" spans="1:15" s="655" customFormat="1" ht="15.75" customHeight="1" x14ac:dyDescent="0.4">
      <c r="A533" s="743"/>
      <c r="B533" s="914" t="s">
        <v>1177</v>
      </c>
      <c r="C533" s="848"/>
      <c r="D533" s="848"/>
      <c r="E533" s="915">
        <f>SUM(E534:E538)</f>
        <v>128</v>
      </c>
      <c r="G533" s="909"/>
      <c r="H533" s="816"/>
      <c r="I533" s="910"/>
      <c r="J533" s="859"/>
      <c r="O533" s="875"/>
    </row>
    <row r="534" spans="1:15" s="655" customFormat="1" ht="15.75" customHeight="1" x14ac:dyDescent="0.4">
      <c r="A534" s="743"/>
      <c r="B534" s="691" t="s">
        <v>881</v>
      </c>
      <c r="C534" s="666" t="s">
        <v>1005</v>
      </c>
      <c r="D534" s="666">
        <v>1</v>
      </c>
      <c r="E534" s="916">
        <v>21</v>
      </c>
      <c r="G534" s="909"/>
      <c r="H534" s="816"/>
      <c r="I534" s="910"/>
      <c r="J534" s="859"/>
      <c r="O534" s="875"/>
    </row>
    <row r="535" spans="1:15" s="655" customFormat="1" ht="15.75" customHeight="1" x14ac:dyDescent="0.4">
      <c r="A535" s="743"/>
      <c r="B535" s="917" t="s">
        <v>1200</v>
      </c>
      <c r="C535" s="666" t="s">
        <v>1005</v>
      </c>
      <c r="D535" s="666">
        <v>1</v>
      </c>
      <c r="E535" s="916">
        <v>8</v>
      </c>
      <c r="G535" s="909"/>
      <c r="H535" s="816"/>
      <c r="I535" s="910"/>
      <c r="J535" s="859"/>
      <c r="O535" s="875"/>
    </row>
    <row r="536" spans="1:15" s="655" customFormat="1" ht="15.75" customHeight="1" x14ac:dyDescent="0.4">
      <c r="A536" s="743"/>
      <c r="B536" s="918" t="s">
        <v>883</v>
      </c>
      <c r="C536" s="666" t="s">
        <v>1005</v>
      </c>
      <c r="D536" s="666">
        <v>1</v>
      </c>
      <c r="E536" s="916">
        <v>6</v>
      </c>
      <c r="G536" s="909"/>
      <c r="H536" s="816"/>
      <c r="I536" s="910"/>
      <c r="J536" s="859"/>
      <c r="O536" s="875"/>
    </row>
    <row r="537" spans="1:15" s="655" customFormat="1" ht="15.75" customHeight="1" x14ac:dyDescent="0.4">
      <c r="A537" s="743"/>
      <c r="B537" s="739" t="s">
        <v>884</v>
      </c>
      <c r="C537" s="666" t="s">
        <v>1005</v>
      </c>
      <c r="D537" s="666">
        <v>1</v>
      </c>
      <c r="E537" s="916">
        <v>90</v>
      </c>
      <c r="G537" s="909"/>
      <c r="H537" s="816"/>
      <c r="I537" s="910"/>
      <c r="J537" s="859"/>
      <c r="O537" s="875"/>
    </row>
    <row r="538" spans="1:15" s="655" customFormat="1" ht="15.75" customHeight="1" x14ac:dyDescent="0.4">
      <c r="A538" s="743"/>
      <c r="B538" s="739" t="s">
        <v>885</v>
      </c>
      <c r="C538" s="666" t="s">
        <v>1005</v>
      </c>
      <c r="D538" s="666">
        <v>1</v>
      </c>
      <c r="E538" s="916">
        <f>26-23</f>
        <v>3</v>
      </c>
      <c r="G538" s="909"/>
      <c r="H538" s="816"/>
      <c r="I538" s="910"/>
      <c r="J538" s="859"/>
      <c r="O538" s="875"/>
    </row>
    <row r="539" spans="1:15" s="655" customFormat="1" ht="15.75" customHeight="1" x14ac:dyDescent="0.4">
      <c r="A539" s="857"/>
      <c r="B539" s="806" t="s">
        <v>1189</v>
      </c>
      <c r="C539" s="762" t="s">
        <v>1190</v>
      </c>
      <c r="D539" s="762"/>
      <c r="E539" s="919">
        <f>E540</f>
        <v>330</v>
      </c>
      <c r="G539" s="909"/>
      <c r="H539" s="816"/>
      <c r="O539" s="875"/>
    </row>
    <row r="540" spans="1:15" s="655" customFormat="1" ht="15.75" customHeight="1" x14ac:dyDescent="0.4">
      <c r="A540" s="743"/>
      <c r="B540" s="834" t="s">
        <v>1045</v>
      </c>
      <c r="C540" s="666"/>
      <c r="D540" s="666"/>
      <c r="E540" s="779">
        <f>E541</f>
        <v>330</v>
      </c>
      <c r="G540" s="909"/>
      <c r="H540" s="816"/>
      <c r="O540" s="875"/>
    </row>
    <row r="541" spans="1:15" s="615" customFormat="1" ht="15.75" customHeight="1" x14ac:dyDescent="0.4">
      <c r="A541" s="612"/>
      <c r="B541" s="835" t="s">
        <v>968</v>
      </c>
      <c r="C541" s="798" t="s">
        <v>1005</v>
      </c>
      <c r="D541" s="798">
        <v>1</v>
      </c>
      <c r="E541" s="814">
        <f>200+20+110</f>
        <v>330</v>
      </c>
      <c r="G541" s="920"/>
      <c r="H541" s="614"/>
      <c r="I541" s="904"/>
      <c r="O541" s="921"/>
    </row>
    <row r="542" spans="1:15" s="655" customFormat="1" x14ac:dyDescent="0.4">
      <c r="A542" s="962" t="s">
        <v>1201</v>
      </c>
      <c r="B542" s="963"/>
      <c r="C542" s="963"/>
      <c r="D542" s="963"/>
      <c r="E542" s="839">
        <f>E547+E543</f>
        <v>267</v>
      </c>
      <c r="G542" s="909"/>
      <c r="H542" s="816"/>
      <c r="J542" s="649"/>
      <c r="O542" s="875"/>
    </row>
    <row r="543" spans="1:15" s="655" customFormat="1" ht="15.75" customHeight="1" x14ac:dyDescent="0.4">
      <c r="A543" s="857"/>
      <c r="B543" s="922" t="s">
        <v>1202</v>
      </c>
      <c r="C543" s="922"/>
      <c r="D543" s="922"/>
      <c r="E543" s="923">
        <f>E544</f>
        <v>18</v>
      </c>
      <c r="G543" s="909"/>
      <c r="H543" s="816"/>
      <c r="I543" s="649"/>
      <c r="O543" s="875"/>
    </row>
    <row r="544" spans="1:15" s="655" customFormat="1" ht="15.75" customHeight="1" x14ac:dyDescent="0.4">
      <c r="A544" s="857"/>
      <c r="B544" s="924" t="s">
        <v>1203</v>
      </c>
      <c r="C544" s="666"/>
      <c r="D544" s="890"/>
      <c r="E544" s="925">
        <f>E545</f>
        <v>18</v>
      </c>
      <c r="G544" s="926"/>
      <c r="H544" s="816"/>
      <c r="I544" s="649"/>
      <c r="O544" s="875"/>
    </row>
    <row r="545" spans="1:61" s="655" customFormat="1" ht="15.75" customHeight="1" x14ac:dyDescent="0.4">
      <c r="A545" s="857"/>
      <c r="B545" s="927" t="s">
        <v>1204</v>
      </c>
      <c r="C545" s="666"/>
      <c r="D545" s="890"/>
      <c r="E545" s="925">
        <f>SUM(E546:E546)</f>
        <v>18</v>
      </c>
      <c r="G545" s="926"/>
      <c r="H545" s="816"/>
      <c r="I545" s="649"/>
      <c r="O545" s="875"/>
    </row>
    <row r="546" spans="1:61" s="655" customFormat="1" ht="15.75" customHeight="1" x14ac:dyDescent="0.4">
      <c r="A546" s="857"/>
      <c r="B546" s="718" t="s">
        <v>1205</v>
      </c>
      <c r="C546" s="666" t="s">
        <v>1005</v>
      </c>
      <c r="D546" s="890">
        <v>1</v>
      </c>
      <c r="E546" s="928">
        <v>18</v>
      </c>
      <c r="G546" s="926"/>
      <c r="H546" s="816"/>
      <c r="I546" s="649"/>
      <c r="O546" s="875"/>
    </row>
    <row r="547" spans="1:61" s="840" customFormat="1" ht="15.75" customHeight="1" x14ac:dyDescent="0.4">
      <c r="A547" s="857"/>
      <c r="B547" s="922" t="s">
        <v>1206</v>
      </c>
      <c r="C547" s="922"/>
      <c r="D547" s="922"/>
      <c r="E547" s="923">
        <f>E548</f>
        <v>249</v>
      </c>
      <c r="G547" s="926"/>
      <c r="H547" s="816"/>
      <c r="I547" s="655"/>
      <c r="J547" s="655"/>
      <c r="K547" s="655"/>
      <c r="L547" s="655"/>
      <c r="M547" s="655"/>
      <c r="N547" s="655"/>
      <c r="O547" s="875"/>
      <c r="P547" s="655"/>
      <c r="Q547" s="655"/>
      <c r="R547" s="655"/>
      <c r="S547" s="655"/>
      <c r="T547" s="655"/>
      <c r="U547" s="655"/>
      <c r="V547" s="655"/>
      <c r="W547" s="655"/>
      <c r="X547" s="655"/>
      <c r="Y547" s="655"/>
      <c r="Z547" s="655"/>
      <c r="AA547" s="655"/>
      <c r="AB547" s="655"/>
      <c r="AC547" s="655"/>
      <c r="AD547" s="655"/>
      <c r="AE547" s="655"/>
      <c r="AF547" s="655"/>
      <c r="AG547" s="655"/>
      <c r="AH547" s="655"/>
      <c r="AI547" s="655"/>
      <c r="AJ547" s="655"/>
      <c r="AK547" s="655"/>
      <c r="AL547" s="655"/>
      <c r="AM547" s="655"/>
      <c r="AN547" s="655"/>
      <c r="AO547" s="655"/>
      <c r="AP547" s="655"/>
      <c r="AQ547" s="655"/>
      <c r="AR547" s="655"/>
      <c r="AS547" s="655"/>
      <c r="AT547" s="655"/>
      <c r="AU547" s="655"/>
      <c r="AV547" s="655"/>
      <c r="AW547" s="655"/>
      <c r="AX547" s="655"/>
      <c r="AY547" s="655"/>
      <c r="AZ547" s="655"/>
      <c r="BA547" s="655"/>
      <c r="BB547" s="655"/>
      <c r="BC547" s="655"/>
      <c r="BD547" s="655"/>
      <c r="BE547" s="655"/>
      <c r="BF547" s="655"/>
      <c r="BG547" s="655"/>
      <c r="BH547" s="655"/>
      <c r="BI547" s="655"/>
    </row>
    <row r="548" spans="1:61" s="840" customFormat="1" ht="78.75" customHeight="1" x14ac:dyDescent="0.4">
      <c r="A548" s="857"/>
      <c r="B548" s="685" t="s">
        <v>795</v>
      </c>
      <c r="C548" s="666" t="s">
        <v>1005</v>
      </c>
      <c r="D548" s="890">
        <v>1</v>
      </c>
      <c r="E548" s="928">
        <v>249</v>
      </c>
      <c r="G548" s="926"/>
      <c r="H548" s="816"/>
      <c r="I548" s="655"/>
      <c r="J548" s="655"/>
      <c r="K548" s="655"/>
      <c r="L548" s="655"/>
      <c r="M548" s="655"/>
      <c r="N548" s="655"/>
      <c r="O548" s="875"/>
      <c r="P548" s="655"/>
      <c r="Q548" s="655"/>
      <c r="R548" s="655"/>
      <c r="S548" s="655"/>
      <c r="T548" s="655"/>
      <c r="U548" s="655"/>
      <c r="V548" s="655"/>
      <c r="W548" s="655"/>
      <c r="X548" s="655"/>
      <c r="Y548" s="655"/>
      <c r="Z548" s="655"/>
      <c r="AA548" s="655"/>
      <c r="AB548" s="655"/>
      <c r="AC548" s="655"/>
      <c r="AD548" s="655"/>
      <c r="AE548" s="655"/>
      <c r="AF548" s="655"/>
      <c r="AG548" s="655"/>
      <c r="AH548" s="655"/>
      <c r="AI548" s="655"/>
      <c r="AJ548" s="655"/>
      <c r="AK548" s="655"/>
      <c r="AL548" s="655"/>
      <c r="AM548" s="655"/>
      <c r="AN548" s="655"/>
      <c r="AO548" s="655"/>
      <c r="AP548" s="655"/>
      <c r="AQ548" s="655"/>
      <c r="AR548" s="655"/>
      <c r="AS548" s="655"/>
      <c r="AT548" s="655"/>
      <c r="AU548" s="655"/>
      <c r="AV548" s="655"/>
      <c r="AW548" s="655"/>
      <c r="AX548" s="655"/>
      <c r="AY548" s="655"/>
      <c r="AZ548" s="655"/>
      <c r="BA548" s="655"/>
      <c r="BB548" s="655"/>
      <c r="BC548" s="655"/>
      <c r="BD548" s="655"/>
      <c r="BE548" s="655"/>
      <c r="BF548" s="655"/>
      <c r="BG548" s="655"/>
      <c r="BH548" s="655"/>
      <c r="BI548" s="655"/>
    </row>
    <row r="549" spans="1:61" s="840" customFormat="1" ht="37.5" customHeight="1" x14ac:dyDescent="0.4">
      <c r="A549" s="962" t="s">
        <v>1207</v>
      </c>
      <c r="B549" s="963" t="s">
        <v>1208</v>
      </c>
      <c r="C549" s="963"/>
      <c r="D549" s="963"/>
      <c r="E549" s="839">
        <f>E550</f>
        <v>19691</v>
      </c>
      <c r="G549" s="926"/>
      <c r="H549" s="816"/>
      <c r="I549" s="655"/>
      <c r="J549" s="655"/>
      <c r="K549" s="655"/>
      <c r="L549" s="655"/>
      <c r="M549" s="655"/>
      <c r="N549" s="655"/>
      <c r="O549" s="875"/>
      <c r="P549" s="655"/>
      <c r="Q549" s="655"/>
      <c r="R549" s="655"/>
      <c r="S549" s="655"/>
      <c r="T549" s="655"/>
      <c r="U549" s="655"/>
      <c r="V549" s="655"/>
      <c r="W549" s="655"/>
      <c r="X549" s="655"/>
      <c r="Y549" s="655"/>
      <c r="Z549" s="655"/>
      <c r="AA549" s="655"/>
      <c r="AB549" s="655"/>
      <c r="AC549" s="655"/>
      <c r="AD549" s="655"/>
      <c r="AE549" s="655"/>
      <c r="AF549" s="655"/>
      <c r="AG549" s="655"/>
      <c r="AH549" s="655"/>
      <c r="AI549" s="655"/>
      <c r="AJ549" s="655"/>
      <c r="AK549" s="655"/>
      <c r="AL549" s="655"/>
      <c r="AM549" s="655"/>
      <c r="AN549" s="655"/>
      <c r="AO549" s="655"/>
      <c r="AP549" s="655"/>
      <c r="AQ549" s="655"/>
      <c r="AR549" s="655"/>
      <c r="AS549" s="655"/>
      <c r="AT549" s="655"/>
      <c r="AU549" s="655"/>
      <c r="AV549" s="655"/>
      <c r="AW549" s="655"/>
      <c r="AX549" s="655"/>
      <c r="AY549" s="655"/>
      <c r="AZ549" s="655"/>
      <c r="BA549" s="655"/>
      <c r="BB549" s="655"/>
      <c r="BC549" s="655"/>
      <c r="BD549" s="655"/>
      <c r="BE549" s="655"/>
      <c r="BF549" s="655"/>
      <c r="BG549" s="655"/>
      <c r="BH549" s="655"/>
      <c r="BI549" s="655"/>
    </row>
    <row r="550" spans="1:61" s="840" customFormat="1" ht="15" customHeight="1" x14ac:dyDescent="0.4">
      <c r="A550" s="743"/>
      <c r="B550" s="774" t="s">
        <v>1175</v>
      </c>
      <c r="C550" s="929"/>
      <c r="D550" s="929"/>
      <c r="E550" s="925">
        <f>E551+E554</f>
        <v>19691</v>
      </c>
      <c r="G550" s="926"/>
      <c r="H550" s="816"/>
      <c r="I550" s="655"/>
      <c r="J550" s="655"/>
      <c r="K550" s="655"/>
      <c r="L550" s="655"/>
      <c r="M550" s="655"/>
      <c r="N550" s="655"/>
      <c r="O550" s="875"/>
      <c r="P550" s="655"/>
      <c r="Q550" s="655"/>
      <c r="R550" s="655"/>
      <c r="S550" s="655"/>
      <c r="T550" s="655"/>
      <c r="U550" s="655"/>
      <c r="V550" s="655"/>
      <c r="W550" s="655"/>
      <c r="X550" s="655"/>
      <c r="Y550" s="655"/>
      <c r="Z550" s="655"/>
      <c r="AA550" s="655"/>
      <c r="AB550" s="655"/>
      <c r="AC550" s="655"/>
      <c r="AD550" s="655"/>
      <c r="AE550" s="655"/>
      <c r="AF550" s="655"/>
      <c r="AG550" s="655"/>
      <c r="AH550" s="655"/>
      <c r="AI550" s="655"/>
      <c r="AJ550" s="655"/>
      <c r="AK550" s="655"/>
      <c r="AL550" s="655"/>
      <c r="AM550" s="655"/>
      <c r="AN550" s="655"/>
      <c r="AO550" s="655"/>
      <c r="AP550" s="655"/>
      <c r="AQ550" s="655"/>
      <c r="AR550" s="655"/>
      <c r="AS550" s="655"/>
      <c r="AT550" s="655"/>
      <c r="AU550" s="655"/>
      <c r="AV550" s="655"/>
      <c r="AW550" s="655"/>
      <c r="AX550" s="655"/>
      <c r="AY550" s="655"/>
      <c r="AZ550" s="655"/>
      <c r="BA550" s="655"/>
      <c r="BB550" s="655"/>
      <c r="BC550" s="655"/>
      <c r="BD550" s="655"/>
      <c r="BE550" s="655"/>
      <c r="BF550" s="655"/>
      <c r="BG550" s="655"/>
      <c r="BH550" s="655"/>
      <c r="BI550" s="655"/>
    </row>
    <row r="551" spans="1:61" s="840" customFormat="1" ht="15" customHeight="1" x14ac:dyDescent="0.4">
      <c r="A551" s="743"/>
      <c r="B551" s="848" t="s">
        <v>1147</v>
      </c>
      <c r="C551" s="666"/>
      <c r="D551" s="876"/>
      <c r="E551" s="928">
        <f>E552+E553</f>
        <v>17918</v>
      </c>
      <c r="G551" s="926"/>
      <c r="H551" s="816"/>
      <c r="I551" s="655"/>
      <c r="J551" s="655"/>
      <c r="K551" s="655"/>
      <c r="L551" s="655"/>
      <c r="M551" s="655"/>
      <c r="N551" s="655"/>
      <c r="O551" s="875"/>
      <c r="P551" s="655"/>
      <c r="Q551" s="655"/>
      <c r="R551" s="655"/>
      <c r="S551" s="655"/>
      <c r="T551" s="655"/>
      <c r="U551" s="655"/>
      <c r="V551" s="655"/>
      <c r="W551" s="655"/>
      <c r="X551" s="655"/>
      <c r="Y551" s="655"/>
      <c r="Z551" s="655"/>
      <c r="AA551" s="655"/>
      <c r="AB551" s="655"/>
      <c r="AC551" s="655"/>
      <c r="AD551" s="655"/>
      <c r="AE551" s="655"/>
      <c r="AF551" s="655"/>
      <c r="AG551" s="655"/>
      <c r="AH551" s="655"/>
      <c r="AI551" s="655"/>
      <c r="AJ551" s="655"/>
      <c r="AK551" s="655"/>
      <c r="AL551" s="655"/>
      <c r="AM551" s="655"/>
      <c r="AN551" s="655"/>
      <c r="AO551" s="655"/>
      <c r="AP551" s="655"/>
      <c r="AQ551" s="655"/>
      <c r="AR551" s="655"/>
      <c r="AS551" s="655"/>
      <c r="AT551" s="655"/>
      <c r="AU551" s="655"/>
      <c r="AV551" s="655"/>
      <c r="AW551" s="655"/>
      <c r="AX551" s="655"/>
      <c r="AY551" s="655"/>
      <c r="AZ551" s="655"/>
      <c r="BA551" s="655"/>
      <c r="BB551" s="655"/>
      <c r="BC551" s="655"/>
      <c r="BD551" s="655"/>
      <c r="BE551" s="655"/>
      <c r="BF551" s="655"/>
      <c r="BG551" s="655"/>
      <c r="BH551" s="655"/>
      <c r="BI551" s="655"/>
    </row>
    <row r="552" spans="1:61" s="840" customFormat="1" ht="15" customHeight="1" x14ac:dyDescent="0.4">
      <c r="A552" s="857"/>
      <c r="B552" s="703" t="s">
        <v>1209</v>
      </c>
      <c r="C552" s="666" t="s">
        <v>1005</v>
      </c>
      <c r="D552" s="930">
        <v>1</v>
      </c>
      <c r="E552" s="931">
        <v>14064</v>
      </c>
      <c r="G552" s="926"/>
      <c r="H552" s="816"/>
      <c r="I552" s="655"/>
      <c r="J552" s="655"/>
      <c r="K552" s="655"/>
      <c r="L552" s="655"/>
      <c r="M552" s="655"/>
      <c r="N552" s="655"/>
      <c r="O552" s="875"/>
      <c r="P552" s="655"/>
      <c r="Q552" s="655"/>
      <c r="R552" s="655"/>
      <c r="S552" s="655"/>
      <c r="T552" s="655"/>
      <c r="U552" s="655"/>
      <c r="V552" s="655"/>
      <c r="W552" s="655"/>
      <c r="X552" s="655"/>
      <c r="Y552" s="655"/>
      <c r="Z552" s="655"/>
      <c r="AA552" s="655"/>
      <c r="AB552" s="655"/>
      <c r="AC552" s="655"/>
      <c r="AD552" s="655"/>
      <c r="AE552" s="655"/>
      <c r="AF552" s="655"/>
      <c r="AG552" s="655"/>
      <c r="AH552" s="655"/>
      <c r="AI552" s="655"/>
      <c r="AJ552" s="655"/>
      <c r="AK552" s="655"/>
      <c r="AL552" s="655"/>
      <c r="AM552" s="655"/>
      <c r="AN552" s="655"/>
      <c r="AO552" s="655"/>
      <c r="AP552" s="655"/>
      <c r="AQ552" s="655"/>
      <c r="AR552" s="655"/>
      <c r="AS552" s="655"/>
      <c r="AT552" s="655"/>
      <c r="AU552" s="655"/>
      <c r="AV552" s="655"/>
      <c r="AW552" s="655"/>
      <c r="AX552" s="655"/>
      <c r="AY552" s="655"/>
      <c r="AZ552" s="655"/>
      <c r="BA552" s="655"/>
      <c r="BB552" s="655"/>
      <c r="BC552" s="655"/>
      <c r="BD552" s="655"/>
      <c r="BE552" s="655"/>
      <c r="BF552" s="655"/>
      <c r="BG552" s="655"/>
      <c r="BH552" s="655"/>
      <c r="BI552" s="655"/>
    </row>
    <row r="553" spans="1:61" s="840" customFormat="1" ht="15" customHeight="1" x14ac:dyDescent="0.4">
      <c r="A553" s="857"/>
      <c r="B553" s="932" t="s">
        <v>332</v>
      </c>
      <c r="C553" s="666" t="s">
        <v>1005</v>
      </c>
      <c r="D553" s="930">
        <v>1</v>
      </c>
      <c r="E553" s="933">
        <v>3854</v>
      </c>
      <c r="G553" s="926"/>
      <c r="H553" s="816"/>
      <c r="I553" s="655"/>
      <c r="J553" s="655"/>
      <c r="K553" s="655"/>
      <c r="L553" s="655"/>
      <c r="M553" s="655"/>
      <c r="N553" s="655"/>
      <c r="O553" s="875"/>
      <c r="P553" s="655"/>
      <c r="Q553" s="655"/>
      <c r="R553" s="655"/>
      <c r="S553" s="655"/>
      <c r="T553" s="655"/>
      <c r="U553" s="655"/>
      <c r="V553" s="655"/>
      <c r="W553" s="655"/>
      <c r="X553" s="655"/>
      <c r="Y553" s="655"/>
      <c r="Z553" s="655"/>
      <c r="AA553" s="655"/>
      <c r="AB553" s="655"/>
      <c r="AC553" s="655"/>
      <c r="AD553" s="655"/>
      <c r="AE553" s="655"/>
      <c r="AF553" s="655"/>
      <c r="AG553" s="655"/>
      <c r="AH553" s="655"/>
      <c r="AI553" s="655"/>
      <c r="AJ553" s="655"/>
      <c r="AK553" s="655"/>
      <c r="AL553" s="655"/>
      <c r="AM553" s="655"/>
      <c r="AN553" s="655"/>
      <c r="AO553" s="655"/>
      <c r="AP553" s="655"/>
      <c r="AQ553" s="655"/>
      <c r="AR553" s="655"/>
      <c r="AS553" s="655"/>
      <c r="AT553" s="655"/>
      <c r="AU553" s="655"/>
      <c r="AV553" s="655"/>
      <c r="AW553" s="655"/>
      <c r="AX553" s="655"/>
      <c r="AY553" s="655"/>
      <c r="AZ553" s="655"/>
      <c r="BA553" s="655"/>
      <c r="BB553" s="655"/>
      <c r="BC553" s="655"/>
      <c r="BD553" s="655"/>
      <c r="BE553" s="655"/>
      <c r="BF553" s="655"/>
      <c r="BG553" s="655"/>
      <c r="BH553" s="655"/>
      <c r="BI553" s="655"/>
    </row>
    <row r="554" spans="1:61" s="840" customFormat="1" ht="15" customHeight="1" x14ac:dyDescent="0.4">
      <c r="A554" s="857"/>
      <c r="B554" s="934" t="s">
        <v>1164</v>
      </c>
      <c r="C554" s="666"/>
      <c r="D554" s="753"/>
      <c r="E554" s="935">
        <f>E555</f>
        <v>1773</v>
      </c>
      <c r="F554" s="936"/>
      <c r="G554" s="926"/>
      <c r="H554" s="816"/>
      <c r="I554" s="655"/>
      <c r="J554" s="655"/>
      <c r="K554" s="655"/>
      <c r="L554" s="655"/>
      <c r="M554" s="655"/>
      <c r="N554" s="655"/>
      <c r="O554" s="875"/>
      <c r="P554" s="655"/>
      <c r="Q554" s="655"/>
      <c r="R554" s="655"/>
      <c r="S554" s="655"/>
      <c r="T554" s="655"/>
      <c r="U554" s="655"/>
      <c r="V554" s="655"/>
      <c r="W554" s="655"/>
      <c r="X554" s="655"/>
      <c r="Y554" s="655"/>
      <c r="Z554" s="655"/>
      <c r="AA554" s="655"/>
      <c r="AB554" s="655"/>
      <c r="AC554" s="655"/>
      <c r="AD554" s="655"/>
      <c r="AE554" s="655"/>
      <c r="AF554" s="655"/>
      <c r="AG554" s="655"/>
      <c r="AH554" s="655"/>
      <c r="AI554" s="655"/>
      <c r="AJ554" s="655"/>
      <c r="AK554" s="655"/>
      <c r="AL554" s="655"/>
      <c r="AM554" s="655"/>
      <c r="AN554" s="655"/>
      <c r="AO554" s="655"/>
      <c r="AP554" s="655"/>
      <c r="AQ554" s="655"/>
      <c r="AR554" s="655"/>
      <c r="AS554" s="655"/>
      <c r="AT554" s="655"/>
      <c r="AU554" s="655"/>
      <c r="AV554" s="655"/>
      <c r="AW554" s="655"/>
      <c r="AX554" s="655"/>
      <c r="AY554" s="655"/>
      <c r="AZ554" s="655"/>
      <c r="BA554" s="655"/>
      <c r="BB554" s="655"/>
      <c r="BC554" s="655"/>
      <c r="BD554" s="655"/>
      <c r="BE554" s="655"/>
      <c r="BF554" s="655"/>
      <c r="BG554" s="655"/>
      <c r="BH554" s="655"/>
      <c r="BI554" s="655"/>
    </row>
    <row r="555" spans="1:61" s="840" customFormat="1" ht="15" customHeight="1" x14ac:dyDescent="0.4">
      <c r="A555" s="857"/>
      <c r="B555" s="937" t="s">
        <v>1209</v>
      </c>
      <c r="C555" s="666" t="s">
        <v>1005</v>
      </c>
      <c r="D555" s="930">
        <v>1</v>
      </c>
      <c r="E555" s="938">
        <v>1773</v>
      </c>
      <c r="F555" s="936"/>
      <c r="G555" s="926"/>
      <c r="H555" s="816"/>
      <c r="I555" s="655"/>
      <c r="J555" s="655"/>
      <c r="K555" s="655"/>
      <c r="L555" s="655"/>
      <c r="M555" s="655"/>
      <c r="N555" s="655"/>
      <c r="O555" s="875"/>
      <c r="P555" s="655"/>
      <c r="Q555" s="655"/>
      <c r="R555" s="655"/>
      <c r="S555" s="655"/>
      <c r="T555" s="655"/>
      <c r="U555" s="655"/>
      <c r="V555" s="655"/>
      <c r="W555" s="655"/>
      <c r="X555" s="655"/>
      <c r="Y555" s="655"/>
      <c r="Z555" s="655"/>
      <c r="AA555" s="655"/>
      <c r="AB555" s="655"/>
      <c r="AC555" s="655"/>
      <c r="AD555" s="655"/>
      <c r="AE555" s="655"/>
      <c r="AF555" s="655"/>
      <c r="AG555" s="655"/>
      <c r="AH555" s="655"/>
      <c r="AI555" s="655"/>
      <c r="AJ555" s="655"/>
      <c r="AK555" s="655"/>
      <c r="AL555" s="655"/>
      <c r="AM555" s="655"/>
      <c r="AN555" s="655"/>
      <c r="AO555" s="655"/>
      <c r="AP555" s="655"/>
      <c r="AQ555" s="655"/>
      <c r="AR555" s="655"/>
      <c r="AS555" s="655"/>
      <c r="AT555" s="655"/>
      <c r="AU555" s="655"/>
      <c r="AV555" s="655"/>
      <c r="AW555" s="655"/>
      <c r="AX555" s="655"/>
      <c r="AY555" s="655"/>
      <c r="AZ555" s="655"/>
      <c r="BA555" s="655"/>
      <c r="BB555" s="655"/>
      <c r="BC555" s="655"/>
      <c r="BD555" s="655"/>
      <c r="BE555" s="655"/>
      <c r="BF555" s="655"/>
      <c r="BG555" s="655"/>
      <c r="BH555" s="655"/>
      <c r="BI555" s="655"/>
    </row>
    <row r="556" spans="1:61" s="840" customFormat="1" ht="15" customHeight="1" x14ac:dyDescent="0.4">
      <c r="A556" s="857"/>
      <c r="B556" s="939"/>
      <c r="C556" s="731"/>
      <c r="D556" s="753"/>
      <c r="E556" s="940"/>
      <c r="F556" s="936"/>
      <c r="G556" s="926"/>
      <c r="H556" s="816"/>
      <c r="I556" s="655"/>
      <c r="J556" s="655"/>
      <c r="K556" s="655"/>
      <c r="L556" s="655"/>
      <c r="M556" s="655"/>
      <c r="N556" s="655"/>
      <c r="O556" s="875"/>
      <c r="P556" s="655"/>
      <c r="Q556" s="655"/>
      <c r="R556" s="655"/>
      <c r="S556" s="655"/>
      <c r="T556" s="655"/>
      <c r="U556" s="655"/>
      <c r="V556" s="655"/>
      <c r="W556" s="655"/>
      <c r="X556" s="655"/>
      <c r="Y556" s="655"/>
      <c r="Z556" s="655"/>
      <c r="AA556" s="655"/>
      <c r="AB556" s="655"/>
      <c r="AC556" s="655"/>
      <c r="AD556" s="655"/>
      <c r="AE556" s="655"/>
      <c r="AF556" s="655"/>
      <c r="AG556" s="655"/>
      <c r="AH556" s="655"/>
      <c r="AI556" s="655"/>
      <c r="AJ556" s="655"/>
      <c r="AK556" s="655"/>
      <c r="AL556" s="655"/>
      <c r="AM556" s="655"/>
      <c r="AN556" s="655"/>
      <c r="AO556" s="655"/>
      <c r="AP556" s="655"/>
      <c r="AQ556" s="655"/>
      <c r="AR556" s="655"/>
      <c r="AS556" s="655"/>
      <c r="AT556" s="655"/>
      <c r="AU556" s="655"/>
      <c r="AV556" s="655"/>
      <c r="AW556" s="655"/>
      <c r="AX556" s="655"/>
      <c r="AY556" s="655"/>
      <c r="AZ556" s="655"/>
      <c r="BA556" s="655"/>
      <c r="BB556" s="655"/>
      <c r="BC556" s="655"/>
      <c r="BD556" s="655"/>
      <c r="BE556" s="655"/>
      <c r="BF556" s="655"/>
      <c r="BG556" s="655"/>
      <c r="BH556" s="655"/>
      <c r="BI556" s="655"/>
    </row>
    <row r="557" spans="1:61" x14ac:dyDescent="0.4">
      <c r="A557" s="941"/>
      <c r="B557" s="942"/>
      <c r="C557" s="943"/>
      <c r="D557" s="943"/>
      <c r="E557" s="943"/>
      <c r="F557" s="943"/>
      <c r="G557" s="944"/>
      <c r="O557" s="946"/>
    </row>
    <row r="558" spans="1:61" x14ac:dyDescent="0.4">
      <c r="A558" s="941"/>
      <c r="B558" s="948" t="s">
        <v>1210</v>
      </c>
      <c r="C558" s="943"/>
      <c r="D558" s="943"/>
      <c r="E558" s="943"/>
      <c r="F558" s="943"/>
      <c r="G558" s="944"/>
      <c r="O558" s="946"/>
    </row>
    <row r="559" spans="1:61" x14ac:dyDescent="0.4">
      <c r="A559" s="941"/>
      <c r="B559" s="948" t="s">
        <v>1211</v>
      </c>
      <c r="F559" s="943"/>
      <c r="G559" s="944"/>
      <c r="O559" s="946"/>
    </row>
    <row r="560" spans="1:61" x14ac:dyDescent="0.4">
      <c r="A560" s="941"/>
      <c r="B560" s="951"/>
      <c r="C560" s="943" t="s">
        <v>985</v>
      </c>
      <c r="D560" s="943"/>
      <c r="F560" s="943"/>
      <c r="G560" s="952"/>
      <c r="O560" s="946"/>
    </row>
    <row r="561" spans="1:61" x14ac:dyDescent="0.4">
      <c r="A561" s="941"/>
      <c r="B561" s="943"/>
      <c r="C561" s="943" t="s">
        <v>1212</v>
      </c>
      <c r="D561" s="943"/>
      <c r="E561" s="943"/>
      <c r="F561" s="936"/>
      <c r="G561" s="952"/>
      <c r="J561" s="947"/>
      <c r="O561" s="946"/>
    </row>
    <row r="562" spans="1:61" x14ac:dyDescent="0.4">
      <c r="A562" s="941"/>
      <c r="B562" s="951"/>
      <c r="D562" s="949"/>
      <c r="F562" s="943"/>
      <c r="G562" s="943"/>
      <c r="O562" s="946"/>
    </row>
    <row r="563" spans="1:61" x14ac:dyDescent="0.4">
      <c r="C563" s="951"/>
      <c r="D563" s="618" t="s">
        <v>1213</v>
      </c>
      <c r="F563" s="943"/>
      <c r="G563" s="943"/>
      <c r="I563" s="953"/>
      <c r="J563" s="953"/>
      <c r="K563" s="953"/>
      <c r="L563" s="953"/>
    </row>
    <row r="564" spans="1:61" x14ac:dyDescent="0.4">
      <c r="C564" s="941"/>
      <c r="D564" s="618"/>
      <c r="F564" s="936"/>
    </row>
    <row r="565" spans="1:61" x14ac:dyDescent="0.4">
      <c r="B565" s="951"/>
      <c r="C565" s="951"/>
      <c r="D565" s="949"/>
      <c r="E565" s="955" t="s">
        <v>1214</v>
      </c>
      <c r="F565" s="936"/>
      <c r="H565" s="947"/>
      <c r="I565" s="947"/>
      <c r="J565" s="947"/>
      <c r="K565" s="947"/>
      <c r="L565" s="947"/>
      <c r="M565" s="947"/>
      <c r="N565" s="947"/>
      <c r="O565" s="947"/>
      <c r="P565" s="947"/>
      <c r="Q565" s="947"/>
      <c r="R565" s="947"/>
      <c r="S565" s="947"/>
      <c r="T565" s="947"/>
      <c r="U565" s="947"/>
      <c r="V565" s="947"/>
      <c r="W565" s="947"/>
      <c r="X565" s="947"/>
      <c r="Y565" s="947"/>
      <c r="Z565" s="947"/>
      <c r="AA565" s="947"/>
      <c r="AB565" s="947"/>
      <c r="AC565" s="947"/>
      <c r="AD565" s="947"/>
      <c r="AE565" s="947"/>
      <c r="AF565" s="947"/>
      <c r="AG565" s="947"/>
      <c r="AH565" s="947"/>
      <c r="AI565" s="947"/>
      <c r="AJ565" s="947"/>
      <c r="AK565" s="947"/>
      <c r="AL565" s="947"/>
      <c r="AM565" s="947"/>
      <c r="AN565" s="947"/>
      <c r="AO565" s="947"/>
      <c r="AP565" s="947"/>
      <c r="AQ565" s="947"/>
      <c r="AR565" s="947"/>
      <c r="AS565" s="947"/>
      <c r="AT565" s="947"/>
      <c r="AU565" s="947"/>
      <c r="AV565" s="947"/>
      <c r="AW565" s="947"/>
      <c r="AX565" s="947"/>
      <c r="AY565" s="947"/>
      <c r="AZ565" s="947"/>
      <c r="BA565" s="947"/>
      <c r="BB565" s="947"/>
      <c r="BC565" s="947"/>
      <c r="BD565" s="947"/>
      <c r="BE565" s="947"/>
      <c r="BF565" s="947"/>
      <c r="BG565" s="947"/>
      <c r="BH565" s="947"/>
      <c r="BI565" s="947"/>
    </row>
    <row r="566" spans="1:61" s="941" customFormat="1" x14ac:dyDescent="0.4">
      <c r="A566" s="947"/>
      <c r="C566" s="618"/>
      <c r="E566" s="955" t="s">
        <v>1215</v>
      </c>
      <c r="F566" s="620"/>
      <c r="G566" s="954"/>
      <c r="H566" s="945"/>
      <c r="I566" s="660"/>
      <c r="J566" s="660"/>
      <c r="K566" s="660"/>
      <c r="L566" s="660"/>
      <c r="M566" s="660"/>
      <c r="N566" s="660"/>
      <c r="O566" s="660"/>
      <c r="P566" s="660"/>
      <c r="Q566" s="660"/>
      <c r="R566" s="660"/>
      <c r="S566" s="660"/>
      <c r="T566" s="660"/>
      <c r="U566" s="660"/>
      <c r="V566" s="660"/>
      <c r="W566" s="660"/>
      <c r="X566" s="660"/>
      <c r="Y566" s="660"/>
      <c r="Z566" s="660"/>
      <c r="AA566" s="660"/>
      <c r="AB566" s="660"/>
      <c r="AC566" s="660"/>
      <c r="AD566" s="660"/>
      <c r="AE566" s="660"/>
      <c r="AF566" s="660"/>
      <c r="AG566" s="660"/>
      <c r="AH566" s="660"/>
      <c r="AI566" s="660"/>
      <c r="AJ566" s="660"/>
      <c r="AK566" s="660"/>
      <c r="AL566" s="660"/>
      <c r="AM566" s="660"/>
      <c r="AN566" s="660"/>
      <c r="AO566" s="660"/>
      <c r="AP566" s="660"/>
      <c r="AQ566" s="660"/>
      <c r="AR566" s="660"/>
      <c r="AS566" s="660"/>
      <c r="AT566" s="660"/>
      <c r="AU566" s="660"/>
      <c r="AV566" s="660"/>
      <c r="AW566" s="660"/>
      <c r="AX566" s="660"/>
      <c r="AY566" s="660"/>
      <c r="AZ566" s="660"/>
      <c r="BA566" s="660"/>
      <c r="BB566" s="660"/>
      <c r="BC566" s="660"/>
      <c r="BD566" s="660"/>
      <c r="BE566" s="660"/>
      <c r="BF566" s="660"/>
      <c r="BG566" s="660"/>
      <c r="BH566" s="660"/>
      <c r="BI566" s="660"/>
    </row>
    <row r="567" spans="1:61" s="941" customFormat="1" x14ac:dyDescent="0.4">
      <c r="A567" s="947"/>
      <c r="C567" s="618"/>
      <c r="E567" s="955" t="s">
        <v>1216</v>
      </c>
      <c r="F567" s="620"/>
      <c r="G567" s="954"/>
      <c r="H567" s="945"/>
      <c r="I567" s="660"/>
      <c r="J567" s="660"/>
      <c r="K567" s="660"/>
      <c r="L567" s="660"/>
      <c r="M567" s="660"/>
      <c r="N567" s="660"/>
      <c r="O567" s="660"/>
      <c r="P567" s="660"/>
      <c r="Q567" s="660"/>
      <c r="R567" s="660"/>
      <c r="S567" s="660"/>
      <c r="T567" s="660"/>
      <c r="U567" s="660"/>
      <c r="V567" s="660"/>
      <c r="W567" s="660"/>
      <c r="X567" s="660"/>
      <c r="Y567" s="660"/>
      <c r="Z567" s="660"/>
      <c r="AA567" s="660"/>
      <c r="AB567" s="660"/>
      <c r="AC567" s="660"/>
      <c r="AD567" s="660"/>
      <c r="AE567" s="660"/>
      <c r="AF567" s="660"/>
      <c r="AG567" s="660"/>
      <c r="AH567" s="660"/>
      <c r="AI567" s="660"/>
      <c r="AJ567" s="660"/>
      <c r="AK567" s="660"/>
      <c r="AL567" s="660"/>
      <c r="AM567" s="660"/>
      <c r="AN567" s="660"/>
      <c r="AO567" s="660"/>
      <c r="AP567" s="660"/>
      <c r="AQ567" s="660"/>
      <c r="AR567" s="660"/>
      <c r="AS567" s="660"/>
      <c r="AT567" s="660"/>
      <c r="AU567" s="660"/>
      <c r="AV567" s="660"/>
      <c r="AW567" s="660"/>
      <c r="AX567" s="660"/>
      <c r="AY567" s="660"/>
      <c r="AZ567" s="660"/>
      <c r="BA567" s="660"/>
      <c r="BB567" s="660"/>
      <c r="BC567" s="660"/>
      <c r="BD567" s="660"/>
      <c r="BE567" s="660"/>
      <c r="BF567" s="660"/>
      <c r="BG567" s="660"/>
      <c r="BH567" s="660"/>
      <c r="BI567" s="660"/>
    </row>
    <row r="568" spans="1:61" s="941" customFormat="1" x14ac:dyDescent="0.4">
      <c r="A568" s="947"/>
      <c r="C568" s="618"/>
      <c r="D568" s="951"/>
      <c r="F568" s="620"/>
      <c r="G568" s="954"/>
      <c r="H568" s="945"/>
      <c r="I568" s="660"/>
      <c r="J568" s="660"/>
      <c r="K568" s="660"/>
      <c r="L568" s="660"/>
      <c r="M568" s="660"/>
      <c r="N568" s="660"/>
      <c r="O568" s="660"/>
      <c r="P568" s="660"/>
      <c r="Q568" s="660"/>
      <c r="R568" s="660"/>
      <c r="S568" s="660"/>
      <c r="T568" s="660"/>
      <c r="U568" s="660"/>
      <c r="V568" s="660"/>
      <c r="W568" s="660"/>
      <c r="X568" s="660"/>
      <c r="Y568" s="660"/>
      <c r="Z568" s="660"/>
      <c r="AA568" s="660"/>
      <c r="AB568" s="660"/>
      <c r="AC568" s="660"/>
      <c r="AD568" s="660"/>
      <c r="AE568" s="660"/>
      <c r="AF568" s="660"/>
      <c r="AG568" s="660"/>
      <c r="AH568" s="660"/>
      <c r="AI568" s="660"/>
      <c r="AJ568" s="660"/>
      <c r="AK568" s="660"/>
      <c r="AL568" s="660"/>
      <c r="AM568" s="660"/>
      <c r="AN568" s="660"/>
      <c r="AO568" s="660"/>
      <c r="AP568" s="660"/>
      <c r="AQ568" s="660"/>
      <c r="AR568" s="660"/>
      <c r="AS568" s="660"/>
      <c r="AT568" s="660"/>
      <c r="AU568" s="660"/>
      <c r="AV568" s="660"/>
      <c r="AW568" s="660"/>
      <c r="AX568" s="660"/>
      <c r="AY568" s="660"/>
      <c r="AZ568" s="660"/>
      <c r="BA568" s="660"/>
      <c r="BB568" s="660"/>
      <c r="BC568" s="660"/>
      <c r="BD568" s="660"/>
      <c r="BE568" s="660"/>
      <c r="BF568" s="660"/>
      <c r="BG568" s="660"/>
      <c r="BH568" s="660"/>
      <c r="BI568" s="660"/>
    </row>
    <row r="569" spans="1:61" s="941" customFormat="1" x14ac:dyDescent="0.4">
      <c r="A569" s="947"/>
      <c r="B569" s="951"/>
      <c r="C569" s="618"/>
      <c r="D569" s="951"/>
      <c r="F569" s="620"/>
      <c r="G569" s="954"/>
      <c r="H569" s="945"/>
      <c r="I569" s="660"/>
      <c r="J569" s="660"/>
      <c r="K569" s="660"/>
      <c r="L569" s="660"/>
      <c r="M569" s="660"/>
      <c r="N569" s="660"/>
      <c r="O569" s="660"/>
      <c r="P569" s="660"/>
      <c r="Q569" s="660"/>
      <c r="R569" s="660"/>
      <c r="S569" s="660"/>
      <c r="T569" s="660"/>
      <c r="U569" s="660"/>
      <c r="V569" s="660"/>
      <c r="W569" s="660"/>
      <c r="X569" s="660"/>
      <c r="Y569" s="660"/>
      <c r="Z569" s="660"/>
      <c r="AA569" s="660"/>
      <c r="AB569" s="660"/>
      <c r="AC569" s="660"/>
      <c r="AD569" s="660"/>
      <c r="AE569" s="660"/>
      <c r="AF569" s="660"/>
      <c r="AG569" s="660"/>
      <c r="AH569" s="660"/>
      <c r="AI569" s="660"/>
      <c r="AJ569" s="660"/>
      <c r="AK569" s="660"/>
      <c r="AL569" s="660"/>
      <c r="AM569" s="660"/>
      <c r="AN569" s="660"/>
      <c r="AO569" s="660"/>
      <c r="AP569" s="660"/>
      <c r="AQ569" s="660"/>
      <c r="AR569" s="660"/>
      <c r="AS569" s="660"/>
      <c r="AT569" s="660"/>
      <c r="AU569" s="660"/>
      <c r="AV569" s="660"/>
      <c r="AW569" s="660"/>
      <c r="AX569" s="660"/>
      <c r="AY569" s="660"/>
      <c r="AZ569" s="660"/>
      <c r="BA569" s="660"/>
      <c r="BB569" s="660"/>
      <c r="BC569" s="660"/>
      <c r="BD569" s="660"/>
      <c r="BE569" s="660"/>
      <c r="BF569" s="660"/>
      <c r="BG569" s="660"/>
      <c r="BH569" s="660"/>
      <c r="BI569" s="660"/>
    </row>
    <row r="570" spans="1:61" s="941" customFormat="1" x14ac:dyDescent="0.4">
      <c r="A570" s="947"/>
      <c r="B570" s="951"/>
      <c r="C570" s="618"/>
      <c r="D570" s="611"/>
      <c r="F570" s="620"/>
      <c r="G570" s="954"/>
      <c r="H570" s="945"/>
      <c r="I570" s="660"/>
      <c r="J570" s="660"/>
      <c r="K570" s="660"/>
      <c r="L570" s="660"/>
      <c r="M570" s="660"/>
      <c r="N570" s="660"/>
      <c r="O570" s="660"/>
      <c r="P570" s="660"/>
      <c r="Q570" s="660"/>
      <c r="R570" s="660"/>
      <c r="S570" s="660"/>
      <c r="T570" s="660"/>
      <c r="U570" s="660"/>
      <c r="V570" s="660"/>
      <c r="W570" s="660"/>
      <c r="X570" s="660"/>
      <c r="Y570" s="660"/>
      <c r="Z570" s="660"/>
      <c r="AA570" s="660"/>
      <c r="AB570" s="660"/>
      <c r="AC570" s="660"/>
      <c r="AD570" s="660"/>
      <c r="AE570" s="660"/>
      <c r="AF570" s="660"/>
      <c r="AG570" s="660"/>
      <c r="AH570" s="660"/>
      <c r="AI570" s="660"/>
      <c r="AJ570" s="660"/>
      <c r="AK570" s="660"/>
      <c r="AL570" s="660"/>
      <c r="AM570" s="660"/>
      <c r="AN570" s="660"/>
      <c r="AO570" s="660"/>
      <c r="AP570" s="660"/>
      <c r="AQ570" s="660"/>
      <c r="AR570" s="660"/>
      <c r="AS570" s="660"/>
      <c r="AT570" s="660"/>
      <c r="AU570" s="660"/>
      <c r="AV570" s="660"/>
      <c r="AW570" s="660"/>
      <c r="AX570" s="660"/>
      <c r="AY570" s="660"/>
      <c r="AZ570" s="660"/>
      <c r="BA570" s="660"/>
      <c r="BB570" s="660"/>
      <c r="BC570" s="660"/>
      <c r="BD570" s="660"/>
      <c r="BE570" s="660"/>
      <c r="BF570" s="660"/>
      <c r="BG570" s="660"/>
      <c r="BH570" s="660"/>
      <c r="BI570" s="660"/>
    </row>
    <row r="571" spans="1:61" s="941" customFormat="1" x14ac:dyDescent="0.4">
      <c r="A571" s="947"/>
      <c r="C571" s="618"/>
      <c r="D571" s="611"/>
      <c r="F571" s="620"/>
      <c r="G571" s="954"/>
      <c r="H571" s="945"/>
      <c r="I571" s="660"/>
      <c r="J571" s="660"/>
      <c r="K571" s="660"/>
      <c r="L571" s="660"/>
      <c r="M571" s="660"/>
      <c r="N571" s="660"/>
      <c r="O571" s="660"/>
      <c r="P571" s="660"/>
      <c r="Q571" s="660"/>
      <c r="R571" s="660"/>
      <c r="S571" s="660"/>
      <c r="T571" s="660"/>
      <c r="U571" s="660"/>
      <c r="V571" s="660"/>
      <c r="W571" s="660"/>
      <c r="X571" s="660"/>
      <c r="Y571" s="660"/>
      <c r="Z571" s="660"/>
      <c r="AA571" s="660"/>
      <c r="AB571" s="660"/>
      <c r="AC571" s="660"/>
      <c r="AD571" s="660"/>
      <c r="AE571" s="660"/>
      <c r="AF571" s="660"/>
      <c r="AG571" s="660"/>
      <c r="AH571" s="660"/>
      <c r="AI571" s="660"/>
      <c r="AJ571" s="660"/>
      <c r="AK571" s="660"/>
      <c r="AL571" s="660"/>
      <c r="AM571" s="660"/>
      <c r="AN571" s="660"/>
      <c r="AO571" s="660"/>
      <c r="AP571" s="660"/>
      <c r="AQ571" s="660"/>
      <c r="AR571" s="660"/>
      <c r="AS571" s="660"/>
      <c r="AT571" s="660"/>
      <c r="AU571" s="660"/>
      <c r="AV571" s="660"/>
      <c r="AW571" s="660"/>
      <c r="AX571" s="660"/>
      <c r="AY571" s="660"/>
      <c r="AZ571" s="660"/>
      <c r="BA571" s="660"/>
      <c r="BB571" s="660"/>
      <c r="BC571" s="660"/>
      <c r="BD571" s="660"/>
      <c r="BE571" s="660"/>
      <c r="BF571" s="660"/>
      <c r="BG571" s="660"/>
      <c r="BH571" s="660"/>
      <c r="BI571" s="660"/>
    </row>
    <row r="576" spans="1:61" x14ac:dyDescent="0.4">
      <c r="B576" s="956" t="s">
        <v>1217</v>
      </c>
    </row>
    <row r="577" spans="2:2" x14ac:dyDescent="0.4">
      <c r="B577" s="957" t="s">
        <v>1218</v>
      </c>
    </row>
  </sheetData>
  <autoFilter ref="A5:BI555" xr:uid="{00000000-0009-0000-0000-000000000000}"/>
  <mergeCells count="16">
    <mergeCell ref="A121:C121"/>
    <mergeCell ref="C2:E2"/>
    <mergeCell ref="A3:J3"/>
    <mergeCell ref="A4:F4"/>
    <mergeCell ref="H6:J6"/>
    <mergeCell ref="A9:B9"/>
    <mergeCell ref="A500:C500"/>
    <mergeCell ref="A502:D502"/>
    <mergeCell ref="A542:D542"/>
    <mergeCell ref="A549:D549"/>
    <mergeCell ref="G160:I160"/>
    <mergeCell ref="G161:I161"/>
    <mergeCell ref="A232:C232"/>
    <mergeCell ref="A236:D236"/>
    <mergeCell ref="C323:D323"/>
    <mergeCell ref="A454:D454"/>
  </mergeCells>
  <pageMargins left="0.39370078740157483" right="0.19685039370078741" top="0.11811023622047245" bottom="0.15748031496062992" header="0.11811023622047245" footer="0.15748031496062992"/>
  <pageSetup paperSize="9" scale="86" fitToHeight="0" orientation="landscape" r:id="rId1"/>
  <headerFooter alignWithMargins="0">
    <oddHeader>&amp;R
&amp;D</oddHeader>
    <oddFooter>Page &amp;P</oddFooter>
  </headerFooter>
  <rowBreaks count="18" manualBreakCount="18">
    <brk id="38" max="60" man="1"/>
    <brk id="74" max="60" man="1"/>
    <brk id="110" max="60" man="1"/>
    <brk id="131" max="60" man="1"/>
    <brk id="150" max="60" man="1"/>
    <brk id="182" max="60" man="1"/>
    <brk id="213" max="60" man="1"/>
    <brk id="228" max="60" man="1"/>
    <brk id="252" max="60" man="1"/>
    <brk id="288" max="60" man="1"/>
    <brk id="322" max="60" man="1"/>
    <brk id="357" max="60" man="1"/>
    <brk id="395" max="60" man="1"/>
    <brk id="431" max="60" man="1"/>
    <brk id="465" max="60" man="1"/>
    <brk id="494" max="60" man="1"/>
    <brk id="526" max="60" man="1"/>
    <brk id="548" max="60" man="1"/>
  </rowBreaks>
  <colBreaks count="1" manualBreakCount="1">
    <brk id="5" max="57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51"/>
  <sheetViews>
    <sheetView tabSelected="1" zoomScale="110" zoomScaleNormal="110" workbookViewId="0">
      <pane ySplit="25" topLeftCell="A26" activePane="bottomLeft" state="frozen"/>
      <selection pane="bottomLeft" activeCell="M17" sqref="M17"/>
    </sheetView>
  </sheetViews>
  <sheetFormatPr defaultRowHeight="12.45" x14ac:dyDescent="0.3"/>
  <cols>
    <col min="1" max="1" width="54.84375" customWidth="1"/>
    <col min="2" max="2" width="4.53515625" style="2" customWidth="1"/>
    <col min="3" max="3" width="12" customWidth="1"/>
    <col min="4" max="4" width="13.69140625" style="2" customWidth="1"/>
    <col min="5" max="5" width="12.3828125" customWidth="1"/>
    <col min="6" max="6" width="11.84375" customWidth="1"/>
    <col min="7" max="7" width="11.15234375" customWidth="1"/>
    <col min="8" max="8" width="10.84375" customWidth="1"/>
    <col min="9" max="9" width="11.53515625" customWidth="1"/>
    <col min="10" max="10" width="11.69140625" customWidth="1"/>
    <col min="11" max="11" width="9" customWidth="1"/>
    <col min="13" max="13" width="10.3046875" bestFit="1" customWidth="1"/>
    <col min="15" max="15" width="9.3046875" bestFit="1" customWidth="1"/>
    <col min="16" max="16" width="10.3046875" bestFit="1" customWidth="1"/>
    <col min="17" max="17" width="9.15234375" customWidth="1"/>
  </cols>
  <sheetData>
    <row r="1" spans="1:13" ht="15" customHeight="1" x14ac:dyDescent="0.3">
      <c r="A1" s="1"/>
      <c r="F1" s="1198" t="s">
        <v>0</v>
      </c>
      <c r="G1" s="1199"/>
      <c r="H1" s="1199"/>
      <c r="I1" s="1199"/>
    </row>
    <row r="2" spans="1:13" ht="12.75" customHeight="1" x14ac:dyDescent="0.3">
      <c r="A2" s="1" t="s">
        <v>1</v>
      </c>
      <c r="F2" t="s">
        <v>2</v>
      </c>
      <c r="I2" s="3"/>
    </row>
    <row r="3" spans="1:13" ht="13.5" customHeight="1" x14ac:dyDescent="0.3">
      <c r="A3" s="1047" t="s">
        <v>3</v>
      </c>
      <c r="B3" s="983"/>
      <c r="C3" s="983"/>
      <c r="D3" s="983"/>
      <c r="E3" s="983"/>
      <c r="F3" s="983"/>
      <c r="G3" s="983"/>
      <c r="H3" s="983"/>
      <c r="I3" s="983"/>
    </row>
    <row r="4" spans="1:13" ht="15" customHeight="1" x14ac:dyDescent="0.3">
      <c r="A4" s="1047" t="s">
        <v>4</v>
      </c>
      <c r="B4" s="983"/>
      <c r="C4" s="983"/>
      <c r="D4" s="983"/>
      <c r="E4" s="983"/>
      <c r="F4" s="983"/>
      <c r="G4" s="983"/>
      <c r="H4" s="983"/>
      <c r="I4" s="983"/>
    </row>
    <row r="5" spans="1:13" ht="15.75" customHeight="1" x14ac:dyDescent="0.3">
      <c r="A5" s="1047" t="s">
        <v>5</v>
      </c>
      <c r="B5" s="983"/>
      <c r="C5" s="983"/>
      <c r="D5" s="983"/>
      <c r="E5" s="983"/>
      <c r="F5" s="983"/>
      <c r="G5" s="983"/>
      <c r="H5" s="983"/>
      <c r="I5" s="983"/>
    </row>
    <row r="6" spans="1:13" ht="15" customHeight="1" x14ac:dyDescent="0.3">
      <c r="A6" s="4" t="s">
        <v>6</v>
      </c>
    </row>
    <row r="7" spans="1:13" ht="15" customHeight="1" x14ac:dyDescent="0.3">
      <c r="A7" s="4" t="s">
        <v>7</v>
      </c>
    </row>
    <row r="8" spans="1:13" ht="15" customHeight="1" x14ac:dyDescent="0.3">
      <c r="A8" s="4"/>
    </row>
    <row r="9" spans="1:13" ht="15.75" customHeight="1" x14ac:dyDescent="0.3">
      <c r="A9" s="1200" t="s">
        <v>8</v>
      </c>
      <c r="B9" s="983"/>
      <c r="C9" s="983"/>
      <c r="D9" s="983"/>
      <c r="E9" s="983"/>
      <c r="F9" s="983"/>
      <c r="G9" s="983"/>
      <c r="H9" s="983"/>
      <c r="I9" s="983"/>
    </row>
    <row r="10" spans="1:13" ht="13.5" customHeight="1" x14ac:dyDescent="0.35">
      <c r="A10" s="1196" t="s">
        <v>9</v>
      </c>
      <c r="B10" s="983"/>
      <c r="C10" s="983"/>
      <c r="D10" s="983"/>
      <c r="E10" s="983"/>
      <c r="F10" s="983"/>
      <c r="G10" s="983"/>
      <c r="H10" s="983"/>
      <c r="I10" s="983"/>
      <c r="M10" s="6"/>
    </row>
    <row r="11" spans="1:13" ht="15.75" customHeight="1" x14ac:dyDescent="0.3">
      <c r="A11" s="1196" t="s">
        <v>10</v>
      </c>
      <c r="B11" s="983"/>
      <c r="C11" s="983"/>
      <c r="D11" s="983"/>
      <c r="E11" s="983"/>
      <c r="F11" s="983"/>
      <c r="G11" s="983"/>
      <c r="H11" s="983"/>
      <c r="I11" s="983"/>
    </row>
    <row r="12" spans="1:13" ht="15.75" customHeight="1" x14ac:dyDescent="0.3">
      <c r="A12" s="5"/>
      <c r="B12"/>
      <c r="D12"/>
    </row>
    <row r="13" spans="1:13" ht="13.5" customHeight="1" x14ac:dyDescent="0.3">
      <c r="F13" s="980" t="s">
        <v>11</v>
      </c>
      <c r="G13" s="980"/>
      <c r="H13" s="980"/>
      <c r="I13" s="980"/>
    </row>
    <row r="14" spans="1:13" ht="14.25" customHeight="1" x14ac:dyDescent="0.3">
      <c r="F14" s="978" t="s">
        <v>12</v>
      </c>
      <c r="G14" s="983"/>
      <c r="H14" s="983"/>
      <c r="I14" s="983"/>
    </row>
    <row r="15" spans="1:13" ht="14.25" customHeight="1" x14ac:dyDescent="0.3">
      <c r="F15" s="982" t="s">
        <v>13</v>
      </c>
      <c r="G15" s="983"/>
      <c r="H15" s="983"/>
      <c r="I15" s="983"/>
    </row>
    <row r="16" spans="1:13" ht="16.5" customHeight="1" x14ac:dyDescent="0.3">
      <c r="F16" s="2"/>
    </row>
    <row r="17" spans="1:13" ht="15" customHeight="1" x14ac:dyDescent="0.3">
      <c r="A17" s="1197" t="s">
        <v>14</v>
      </c>
      <c r="B17" s="1197"/>
      <c r="C17" s="1197"/>
      <c r="D17" s="1197"/>
      <c r="E17" s="1197"/>
      <c r="F17" s="1197"/>
      <c r="G17" s="1197"/>
      <c r="H17" s="1197"/>
      <c r="I17" s="1197"/>
    </row>
    <row r="18" spans="1:13" ht="15" customHeight="1" x14ac:dyDescent="0.3">
      <c r="A18" s="1197" t="s">
        <v>15</v>
      </c>
      <c r="B18" s="1197"/>
      <c r="C18" s="1197"/>
      <c r="D18" s="1197"/>
      <c r="E18" s="1197"/>
      <c r="F18" s="1197"/>
      <c r="G18" s="1197"/>
      <c r="H18" s="1197"/>
      <c r="I18" s="1197"/>
    </row>
    <row r="19" spans="1:13" ht="13.5" customHeight="1" x14ac:dyDescent="0.3">
      <c r="A19" s="8"/>
      <c r="B19" s="8"/>
      <c r="C19" s="8"/>
      <c r="D19" s="8"/>
      <c r="E19" s="8"/>
      <c r="F19" s="8"/>
      <c r="G19" s="8"/>
      <c r="H19" s="8"/>
      <c r="I19" s="8"/>
    </row>
    <row r="20" spans="1:13" ht="13.5" customHeight="1" x14ac:dyDescent="0.3">
      <c r="B20" s="9"/>
      <c r="C20" s="10"/>
      <c r="D20" s="9"/>
      <c r="H20" s="1185" t="s">
        <v>16</v>
      </c>
      <c r="I20" s="1186"/>
    </row>
    <row r="21" spans="1:13" s="14" customFormat="1" x14ac:dyDescent="0.3">
      <c r="A21" s="11" t="s">
        <v>17</v>
      </c>
      <c r="B21" s="12" t="s">
        <v>18</v>
      </c>
      <c r="C21" s="12" t="s">
        <v>19</v>
      </c>
      <c r="D21" s="13" t="s">
        <v>20</v>
      </c>
      <c r="E21" s="1187" t="s">
        <v>21</v>
      </c>
      <c r="F21" s="1187" t="s">
        <v>22</v>
      </c>
      <c r="G21" s="1190" t="s">
        <v>23</v>
      </c>
      <c r="H21" s="1187" t="s">
        <v>24</v>
      </c>
      <c r="I21" s="1193" t="s">
        <v>25</v>
      </c>
    </row>
    <row r="22" spans="1:13" s="14" customFormat="1" x14ac:dyDescent="0.3">
      <c r="A22" s="15" t="s">
        <v>26</v>
      </c>
      <c r="B22" s="16"/>
      <c r="C22" s="16"/>
      <c r="D22" s="17" t="s">
        <v>27</v>
      </c>
      <c r="E22" s="1188"/>
      <c r="F22" s="1188"/>
      <c r="G22" s="1191"/>
      <c r="H22" s="1188"/>
      <c r="I22" s="1194"/>
    </row>
    <row r="23" spans="1:13" s="14" customFormat="1" x14ac:dyDescent="0.3">
      <c r="A23" s="15" t="s">
        <v>28</v>
      </c>
      <c r="B23" s="16"/>
      <c r="C23" s="15"/>
      <c r="D23" s="18" t="s">
        <v>29</v>
      </c>
      <c r="E23" s="1188"/>
      <c r="F23" s="1188"/>
      <c r="G23" s="1191"/>
      <c r="H23" s="1188"/>
      <c r="I23" s="1194"/>
    </row>
    <row r="24" spans="1:13" s="14" customFormat="1" x14ac:dyDescent="0.3">
      <c r="A24" s="19"/>
      <c r="B24" s="20"/>
      <c r="C24" s="19"/>
      <c r="D24" s="21">
        <v>45291</v>
      </c>
      <c r="E24" s="1189"/>
      <c r="F24" s="1189"/>
      <c r="G24" s="1192"/>
      <c r="H24" s="1189"/>
      <c r="I24" s="1195"/>
    </row>
    <row r="25" spans="1:13" s="25" customFormat="1" x14ac:dyDescent="0.3">
      <c r="A25" s="22">
        <v>0</v>
      </c>
      <c r="B25" s="22">
        <v>1</v>
      </c>
      <c r="C25" s="22" t="s">
        <v>30</v>
      </c>
      <c r="D25" s="22">
        <v>3</v>
      </c>
      <c r="E25" s="23">
        <v>4</v>
      </c>
      <c r="F25" s="23">
        <v>5</v>
      </c>
      <c r="G25" s="23">
        <v>6</v>
      </c>
      <c r="H25" s="23">
        <v>7</v>
      </c>
      <c r="I25" s="24">
        <v>8</v>
      </c>
    </row>
    <row r="26" spans="1:13" ht="15.45" x14ac:dyDescent="0.4">
      <c r="A26" s="26" t="s">
        <v>31</v>
      </c>
      <c r="B26" s="27" t="s">
        <v>32</v>
      </c>
      <c r="C26" s="28">
        <f>D26+E26+F26+G26+H26+I26</f>
        <v>2735459.6590000005</v>
      </c>
      <c r="D26" s="29">
        <f>D28+D50+D56</f>
        <v>642577.46900000004</v>
      </c>
      <c r="E26" s="29">
        <f t="shared" ref="E26:I27" si="0">E28+E50+E56</f>
        <v>527874.38</v>
      </c>
      <c r="F26" s="29">
        <f t="shared" si="0"/>
        <v>696902.65000000014</v>
      </c>
      <c r="G26" s="29">
        <f t="shared" si="0"/>
        <v>371719.05</v>
      </c>
      <c r="H26" s="29">
        <f t="shared" si="0"/>
        <v>215306.91</v>
      </c>
      <c r="I26" s="29">
        <f t="shared" si="0"/>
        <v>281079.2</v>
      </c>
      <c r="J26" s="30"/>
      <c r="M26" s="31"/>
    </row>
    <row r="27" spans="1:13" ht="12.9" thickBot="1" x14ac:dyDescent="0.35">
      <c r="A27" s="32"/>
      <c r="B27" s="33" t="s">
        <v>33</v>
      </c>
      <c r="C27" s="28">
        <f t="shared" ref="C27:C75" si="1">D27+E27+F27+G27+H27+I27</f>
        <v>2735459.6590000005</v>
      </c>
      <c r="D27" s="29">
        <f>D29+D51+D57</f>
        <v>642577.46900000004</v>
      </c>
      <c r="E27" s="29">
        <f t="shared" si="0"/>
        <v>527874.38</v>
      </c>
      <c r="F27" s="29">
        <f t="shared" si="0"/>
        <v>696902.65000000014</v>
      </c>
      <c r="G27" s="29">
        <f t="shared" si="0"/>
        <v>371719.05</v>
      </c>
      <c r="H27" s="29">
        <f t="shared" si="0"/>
        <v>215306.91</v>
      </c>
      <c r="I27" s="29">
        <f t="shared" si="0"/>
        <v>281079.2</v>
      </c>
      <c r="J27" s="30"/>
    </row>
    <row r="28" spans="1:13" x14ac:dyDescent="0.3">
      <c r="A28" s="34" t="s">
        <v>34</v>
      </c>
      <c r="B28" s="35" t="s">
        <v>32</v>
      </c>
      <c r="C28" s="36">
        <f t="shared" si="1"/>
        <v>2220589.0130000003</v>
      </c>
      <c r="D28" s="36">
        <f>D30+D32+D34+D36</f>
        <v>461352.80300000001</v>
      </c>
      <c r="E28" s="36">
        <f t="shared" ref="E28:I29" si="2">E30+E32+E34+E36</f>
        <v>338167.5</v>
      </c>
      <c r="F28" s="36">
        <f t="shared" si="2"/>
        <v>635144.6100000001</v>
      </c>
      <c r="G28" s="36">
        <f t="shared" si="2"/>
        <v>327759.05</v>
      </c>
      <c r="H28" s="36">
        <f t="shared" si="2"/>
        <v>200921.91</v>
      </c>
      <c r="I28" s="36">
        <f t="shared" si="2"/>
        <v>257243.14</v>
      </c>
    </row>
    <row r="29" spans="1:13" x14ac:dyDescent="0.3">
      <c r="A29" s="37" t="s">
        <v>35</v>
      </c>
      <c r="B29" s="38" t="s">
        <v>33</v>
      </c>
      <c r="C29" s="36">
        <f t="shared" si="1"/>
        <v>2220589.0130000003</v>
      </c>
      <c r="D29" s="36">
        <f>D31+D33+D35+D37</f>
        <v>461352.80300000001</v>
      </c>
      <c r="E29" s="36">
        <f t="shared" si="2"/>
        <v>338167.5</v>
      </c>
      <c r="F29" s="36">
        <f t="shared" si="2"/>
        <v>635144.6100000001</v>
      </c>
      <c r="G29" s="36">
        <f t="shared" si="2"/>
        <v>327759.05</v>
      </c>
      <c r="H29" s="36">
        <f t="shared" si="2"/>
        <v>200921.91</v>
      </c>
      <c r="I29" s="36">
        <f t="shared" si="2"/>
        <v>257243.14</v>
      </c>
    </row>
    <row r="30" spans="1:13" s="42" customFormat="1" ht="25.75" x14ac:dyDescent="0.35">
      <c r="A30" s="39" t="s">
        <v>36</v>
      </c>
      <c r="B30" s="40" t="s">
        <v>32</v>
      </c>
      <c r="C30" s="41">
        <f>D30+E30+F30+G30+H30+I30</f>
        <v>739504.88</v>
      </c>
      <c r="D30" s="41">
        <f>D82+D363</f>
        <v>791.87</v>
      </c>
      <c r="E30" s="41">
        <f t="shared" ref="E30:I31" si="3">E82+E363</f>
        <v>16146</v>
      </c>
      <c r="F30" s="41">
        <f t="shared" si="3"/>
        <v>200708.5</v>
      </c>
      <c r="G30" s="41">
        <f t="shared" si="3"/>
        <v>211141</v>
      </c>
      <c r="H30" s="41">
        <f t="shared" si="3"/>
        <v>200367</v>
      </c>
      <c r="I30" s="41">
        <f t="shared" si="3"/>
        <v>110350.51000000001</v>
      </c>
    </row>
    <row r="31" spans="1:13" s="42" customFormat="1" ht="12.9" x14ac:dyDescent="0.35">
      <c r="A31" s="43"/>
      <c r="B31" s="44"/>
      <c r="C31" s="41">
        <f>D31+E31+F31+G31+H31+I31</f>
        <v>739504.88</v>
      </c>
      <c r="D31" s="41">
        <f>D83+D364</f>
        <v>791.87</v>
      </c>
      <c r="E31" s="41">
        <f t="shared" si="3"/>
        <v>16146</v>
      </c>
      <c r="F31" s="41">
        <f t="shared" si="3"/>
        <v>200708.5</v>
      </c>
      <c r="G31" s="41">
        <f t="shared" si="3"/>
        <v>211141</v>
      </c>
      <c r="H31" s="41">
        <f t="shared" si="3"/>
        <v>200367</v>
      </c>
      <c r="I31" s="41">
        <f t="shared" si="3"/>
        <v>110350.51000000001</v>
      </c>
    </row>
    <row r="32" spans="1:13" s="42" customFormat="1" ht="12.9" x14ac:dyDescent="0.35">
      <c r="A32" s="45" t="s">
        <v>37</v>
      </c>
      <c r="B32" s="40" t="s">
        <v>32</v>
      </c>
      <c r="C32" s="41">
        <f t="shared" si="1"/>
        <v>359893.93</v>
      </c>
      <c r="D32" s="41">
        <f t="shared" ref="D32:I33" si="4">D84+D524</f>
        <v>333204.25</v>
      </c>
      <c r="E32" s="41">
        <f t="shared" si="4"/>
        <v>19599</v>
      </c>
      <c r="F32" s="41">
        <f t="shared" si="4"/>
        <v>249</v>
      </c>
      <c r="G32" s="41">
        <f t="shared" si="4"/>
        <v>1550</v>
      </c>
      <c r="H32" s="41">
        <f t="shared" si="4"/>
        <v>0</v>
      </c>
      <c r="I32" s="41">
        <f t="shared" si="4"/>
        <v>5291.68</v>
      </c>
    </row>
    <row r="33" spans="1:10" s="42" customFormat="1" ht="12.9" x14ac:dyDescent="0.35">
      <c r="A33" s="43" t="s">
        <v>38</v>
      </c>
      <c r="B33" s="44" t="s">
        <v>33</v>
      </c>
      <c r="C33" s="41">
        <f t="shared" si="1"/>
        <v>359893.93</v>
      </c>
      <c r="D33" s="41">
        <f t="shared" si="4"/>
        <v>333204.25</v>
      </c>
      <c r="E33" s="41">
        <f t="shared" si="4"/>
        <v>19599</v>
      </c>
      <c r="F33" s="41">
        <f t="shared" si="4"/>
        <v>249</v>
      </c>
      <c r="G33" s="41">
        <f t="shared" si="4"/>
        <v>1550</v>
      </c>
      <c r="H33" s="41">
        <f t="shared" si="4"/>
        <v>0</v>
      </c>
      <c r="I33" s="41">
        <f t="shared" si="4"/>
        <v>5291.68</v>
      </c>
    </row>
    <row r="34" spans="1:10" s="51" customFormat="1" ht="25.5" customHeight="1" x14ac:dyDescent="0.35">
      <c r="A34" s="46" t="s">
        <v>39</v>
      </c>
      <c r="B34" s="47" t="s">
        <v>32</v>
      </c>
      <c r="C34" s="48">
        <f t="shared" si="1"/>
        <v>115689</v>
      </c>
      <c r="D34" s="49">
        <f t="shared" ref="D34:I35" si="5">D86+D365+D526</f>
        <v>0</v>
      </c>
      <c r="E34" s="49">
        <f t="shared" si="5"/>
        <v>80800</v>
      </c>
      <c r="F34" s="49">
        <f t="shared" si="5"/>
        <v>34556</v>
      </c>
      <c r="G34" s="49">
        <f t="shared" si="5"/>
        <v>333</v>
      </c>
      <c r="H34" s="49">
        <f t="shared" si="5"/>
        <v>0</v>
      </c>
      <c r="I34" s="49">
        <f t="shared" si="5"/>
        <v>0</v>
      </c>
      <c r="J34" s="50"/>
    </row>
    <row r="35" spans="1:10" s="51" customFormat="1" ht="12.9" x14ac:dyDescent="0.35">
      <c r="A35" s="52"/>
      <c r="B35" s="53" t="s">
        <v>33</v>
      </c>
      <c r="C35" s="48">
        <f t="shared" si="1"/>
        <v>115689</v>
      </c>
      <c r="D35" s="49">
        <f t="shared" si="5"/>
        <v>0</v>
      </c>
      <c r="E35" s="49">
        <f t="shared" si="5"/>
        <v>80800</v>
      </c>
      <c r="F35" s="49">
        <f t="shared" si="5"/>
        <v>34556</v>
      </c>
      <c r="G35" s="49">
        <f t="shared" si="5"/>
        <v>333</v>
      </c>
      <c r="H35" s="49">
        <f t="shared" si="5"/>
        <v>0</v>
      </c>
      <c r="I35" s="49">
        <f t="shared" si="5"/>
        <v>0</v>
      </c>
      <c r="J35" s="50"/>
    </row>
    <row r="36" spans="1:10" ht="12.9" x14ac:dyDescent="0.35">
      <c r="A36" s="54" t="s">
        <v>40</v>
      </c>
      <c r="B36" s="35" t="s">
        <v>32</v>
      </c>
      <c r="C36" s="49">
        <f t="shared" si="1"/>
        <v>1005501.2030000002</v>
      </c>
      <c r="D36" s="48">
        <f>D38+D48</f>
        <v>127356.683</v>
      </c>
      <c r="E36" s="48">
        <f>E38+E48</f>
        <v>221622.5</v>
      </c>
      <c r="F36" s="48">
        <f t="shared" ref="E36:I37" si="6">F38+F48</f>
        <v>399631.11000000004</v>
      </c>
      <c r="G36" s="48">
        <f t="shared" si="6"/>
        <v>114735.04999999999</v>
      </c>
      <c r="H36" s="48">
        <f t="shared" si="6"/>
        <v>554.9100000000002</v>
      </c>
      <c r="I36" s="48">
        <f t="shared" si="6"/>
        <v>141600.95000000001</v>
      </c>
    </row>
    <row r="37" spans="1:10" ht="12.9" x14ac:dyDescent="0.35">
      <c r="A37" s="43"/>
      <c r="B37" s="38" t="s">
        <v>33</v>
      </c>
      <c r="C37" s="49">
        <f t="shared" si="1"/>
        <v>1005501.2030000002</v>
      </c>
      <c r="D37" s="48">
        <f>D39+D49</f>
        <v>127356.683</v>
      </c>
      <c r="E37" s="48">
        <f t="shared" si="6"/>
        <v>221622.5</v>
      </c>
      <c r="F37" s="48">
        <f t="shared" si="6"/>
        <v>399631.11000000004</v>
      </c>
      <c r="G37" s="48">
        <f t="shared" si="6"/>
        <v>114735.04999999999</v>
      </c>
      <c r="H37" s="48">
        <f t="shared" si="6"/>
        <v>554.9100000000002</v>
      </c>
      <c r="I37" s="48">
        <f t="shared" si="6"/>
        <v>141600.95000000001</v>
      </c>
    </row>
    <row r="38" spans="1:10" ht="12.9" x14ac:dyDescent="0.35">
      <c r="A38" s="55" t="s">
        <v>41</v>
      </c>
      <c r="B38" s="56" t="s">
        <v>32</v>
      </c>
      <c r="C38" s="49">
        <f t="shared" si="1"/>
        <v>740927.52300000004</v>
      </c>
      <c r="D38" s="41">
        <f>D40+D42+D44+D46</f>
        <v>126134.89300000001</v>
      </c>
      <c r="E38" s="41">
        <f t="shared" ref="E38:I39" si="7">E40+E42+E44+E46</f>
        <v>141035.5</v>
      </c>
      <c r="F38" s="41">
        <f t="shared" si="7"/>
        <v>377263.53</v>
      </c>
      <c r="G38" s="41">
        <f t="shared" si="7"/>
        <v>87623.709999999992</v>
      </c>
      <c r="H38" s="41">
        <f t="shared" si="7"/>
        <v>554.9100000000002</v>
      </c>
      <c r="I38" s="41">
        <f t="shared" si="7"/>
        <v>8314.98</v>
      </c>
    </row>
    <row r="39" spans="1:10" ht="12.9" x14ac:dyDescent="0.35">
      <c r="A39" s="57"/>
      <c r="B39" s="53" t="s">
        <v>33</v>
      </c>
      <c r="C39" s="49">
        <f t="shared" si="1"/>
        <v>740927.52300000004</v>
      </c>
      <c r="D39" s="41">
        <f>D41+D43+D45+D47</f>
        <v>126134.89300000001</v>
      </c>
      <c r="E39" s="41">
        <f t="shared" si="7"/>
        <v>141035.5</v>
      </c>
      <c r="F39" s="41">
        <f t="shared" si="7"/>
        <v>377263.53</v>
      </c>
      <c r="G39" s="41">
        <f t="shared" si="7"/>
        <v>87623.709999999992</v>
      </c>
      <c r="H39" s="41">
        <f t="shared" si="7"/>
        <v>554.9100000000002</v>
      </c>
      <c r="I39" s="41">
        <f t="shared" si="7"/>
        <v>8314.98</v>
      </c>
    </row>
    <row r="40" spans="1:10" x14ac:dyDescent="0.3">
      <c r="A40" s="58" t="s">
        <v>42</v>
      </c>
      <c r="B40" s="47" t="s">
        <v>32</v>
      </c>
      <c r="C40" s="49">
        <f t="shared" si="1"/>
        <v>686045.32300000009</v>
      </c>
      <c r="D40" s="59">
        <f t="shared" ref="D40:I41" si="8">D92+D371</f>
        <v>117353.63300000002</v>
      </c>
      <c r="E40" s="59">
        <f t="shared" si="8"/>
        <v>115063</v>
      </c>
      <c r="F40" s="59">
        <f t="shared" si="8"/>
        <v>357885.53</v>
      </c>
      <c r="G40" s="59">
        <f t="shared" si="8"/>
        <v>87623.709999999992</v>
      </c>
      <c r="H40" s="59">
        <f t="shared" si="8"/>
        <v>554.9100000000002</v>
      </c>
      <c r="I40" s="59">
        <f t="shared" si="8"/>
        <v>7564.5399999999991</v>
      </c>
    </row>
    <row r="41" spans="1:10" x14ac:dyDescent="0.3">
      <c r="A41" s="60"/>
      <c r="B41" s="53" t="s">
        <v>33</v>
      </c>
      <c r="C41" s="49">
        <f t="shared" si="1"/>
        <v>686045.32300000009</v>
      </c>
      <c r="D41" s="59">
        <f t="shared" si="8"/>
        <v>117353.63300000002</v>
      </c>
      <c r="E41" s="59">
        <f t="shared" si="8"/>
        <v>115063</v>
      </c>
      <c r="F41" s="59">
        <f t="shared" si="8"/>
        <v>357885.53</v>
      </c>
      <c r="G41" s="59">
        <f t="shared" si="8"/>
        <v>87623.709999999992</v>
      </c>
      <c r="H41" s="59">
        <f t="shared" si="8"/>
        <v>554.9100000000002</v>
      </c>
      <c r="I41" s="59">
        <f t="shared" si="8"/>
        <v>7564.5399999999991</v>
      </c>
    </row>
    <row r="42" spans="1:10" ht="12.9" x14ac:dyDescent="0.35">
      <c r="A42" s="55" t="s">
        <v>43</v>
      </c>
      <c r="B42" s="47" t="s">
        <v>32</v>
      </c>
      <c r="C42" s="49">
        <f t="shared" si="1"/>
        <v>29864.799999999999</v>
      </c>
      <c r="D42" s="48">
        <f t="shared" ref="D42:I49" si="9">D532</f>
        <v>2266.8000000000002</v>
      </c>
      <c r="E42" s="48">
        <f t="shared" si="9"/>
        <v>9950</v>
      </c>
      <c r="F42" s="48">
        <f t="shared" si="9"/>
        <v>17648</v>
      </c>
      <c r="G42" s="48">
        <f t="shared" si="9"/>
        <v>0</v>
      </c>
      <c r="H42" s="48">
        <f t="shared" si="9"/>
        <v>0</v>
      </c>
      <c r="I42" s="48">
        <f t="shared" si="9"/>
        <v>0</v>
      </c>
    </row>
    <row r="43" spans="1:10" ht="12.9" x14ac:dyDescent="0.35">
      <c r="A43" s="57"/>
      <c r="B43" s="53" t="s">
        <v>33</v>
      </c>
      <c r="C43" s="49">
        <f t="shared" si="1"/>
        <v>29864.799999999999</v>
      </c>
      <c r="D43" s="48">
        <f t="shared" si="9"/>
        <v>2266.8000000000002</v>
      </c>
      <c r="E43" s="48">
        <f t="shared" si="9"/>
        <v>9950</v>
      </c>
      <c r="F43" s="48">
        <f t="shared" si="9"/>
        <v>17648</v>
      </c>
      <c r="G43" s="48">
        <f t="shared" si="9"/>
        <v>0</v>
      </c>
      <c r="H43" s="48">
        <f t="shared" si="9"/>
        <v>0</v>
      </c>
      <c r="I43" s="48">
        <f t="shared" si="9"/>
        <v>0</v>
      </c>
    </row>
    <row r="44" spans="1:10" ht="12.9" x14ac:dyDescent="0.35">
      <c r="A44" s="55" t="s">
        <v>44</v>
      </c>
      <c r="B44" s="47" t="s">
        <v>32</v>
      </c>
      <c r="C44" s="49">
        <f t="shared" si="1"/>
        <v>1307.5</v>
      </c>
      <c r="D44" s="48">
        <f t="shared" si="9"/>
        <v>18.5</v>
      </c>
      <c r="E44" s="48">
        <f t="shared" si="9"/>
        <v>1289</v>
      </c>
      <c r="F44" s="48">
        <f t="shared" si="9"/>
        <v>0</v>
      </c>
      <c r="G44" s="48">
        <f t="shared" si="9"/>
        <v>0</v>
      </c>
      <c r="H44" s="48">
        <f t="shared" si="9"/>
        <v>0</v>
      </c>
      <c r="I44" s="48">
        <f t="shared" si="9"/>
        <v>0</v>
      </c>
    </row>
    <row r="45" spans="1:10" ht="12.9" x14ac:dyDescent="0.35">
      <c r="A45" s="57"/>
      <c r="B45" s="53" t="s">
        <v>33</v>
      </c>
      <c r="C45" s="49">
        <f t="shared" si="1"/>
        <v>1307.5</v>
      </c>
      <c r="D45" s="48">
        <f t="shared" si="9"/>
        <v>18.5</v>
      </c>
      <c r="E45" s="48">
        <f t="shared" si="9"/>
        <v>1289</v>
      </c>
      <c r="F45" s="48">
        <f t="shared" si="9"/>
        <v>0</v>
      </c>
      <c r="G45" s="48">
        <f t="shared" si="9"/>
        <v>0</v>
      </c>
      <c r="H45" s="48">
        <f t="shared" si="9"/>
        <v>0</v>
      </c>
      <c r="I45" s="48">
        <f t="shared" si="9"/>
        <v>0</v>
      </c>
    </row>
    <row r="46" spans="1:10" ht="12.9" x14ac:dyDescent="0.35">
      <c r="A46" s="55" t="s">
        <v>45</v>
      </c>
      <c r="B46" s="47" t="s">
        <v>32</v>
      </c>
      <c r="C46" s="49">
        <f t="shared" si="1"/>
        <v>23709.899999999998</v>
      </c>
      <c r="D46" s="48">
        <f t="shared" si="9"/>
        <v>6495.9599999999991</v>
      </c>
      <c r="E46" s="48">
        <f t="shared" si="9"/>
        <v>14733.5</v>
      </c>
      <c r="F46" s="48">
        <f t="shared" si="9"/>
        <v>1730</v>
      </c>
      <c r="G46" s="48">
        <f t="shared" si="9"/>
        <v>0</v>
      </c>
      <c r="H46" s="48">
        <f t="shared" si="9"/>
        <v>0</v>
      </c>
      <c r="I46" s="48">
        <f t="shared" si="9"/>
        <v>750.44</v>
      </c>
    </row>
    <row r="47" spans="1:10" ht="12.9" x14ac:dyDescent="0.35">
      <c r="A47" s="57"/>
      <c r="B47" s="53" t="s">
        <v>33</v>
      </c>
      <c r="C47" s="49">
        <f t="shared" si="1"/>
        <v>23709.899999999998</v>
      </c>
      <c r="D47" s="48">
        <f t="shared" si="9"/>
        <v>6495.9599999999991</v>
      </c>
      <c r="E47" s="48">
        <f>E537</f>
        <v>14733.5</v>
      </c>
      <c r="F47" s="48">
        <f t="shared" si="9"/>
        <v>1730</v>
      </c>
      <c r="G47" s="48">
        <f t="shared" si="9"/>
        <v>0</v>
      </c>
      <c r="H47" s="48">
        <f t="shared" si="9"/>
        <v>0</v>
      </c>
      <c r="I47" s="48">
        <f t="shared" si="9"/>
        <v>750.44</v>
      </c>
    </row>
    <row r="48" spans="1:10" ht="12.9" x14ac:dyDescent="0.35">
      <c r="A48" s="55" t="s">
        <v>46</v>
      </c>
      <c r="B48" s="47" t="s">
        <v>32</v>
      </c>
      <c r="C48" s="49">
        <f t="shared" si="1"/>
        <v>264573.68</v>
      </c>
      <c r="D48" s="48">
        <f t="shared" si="9"/>
        <v>1221.79</v>
      </c>
      <c r="E48" s="48">
        <f>E538</f>
        <v>80587</v>
      </c>
      <c r="F48" s="48">
        <f t="shared" si="9"/>
        <v>22367.58</v>
      </c>
      <c r="G48" s="48">
        <f t="shared" si="9"/>
        <v>27111.34</v>
      </c>
      <c r="H48" s="48">
        <f t="shared" si="9"/>
        <v>0</v>
      </c>
      <c r="I48" s="48">
        <f t="shared" si="9"/>
        <v>133285.97</v>
      </c>
    </row>
    <row r="49" spans="1:10" ht="12.9" x14ac:dyDescent="0.35">
      <c r="A49" s="57"/>
      <c r="B49" s="53" t="s">
        <v>33</v>
      </c>
      <c r="C49" s="49">
        <f t="shared" si="1"/>
        <v>264573.68</v>
      </c>
      <c r="D49" s="48">
        <f t="shared" si="9"/>
        <v>1221.79</v>
      </c>
      <c r="E49" s="48">
        <f>E539</f>
        <v>80587</v>
      </c>
      <c r="F49" s="48">
        <f t="shared" si="9"/>
        <v>22367.58</v>
      </c>
      <c r="G49" s="48">
        <f t="shared" si="9"/>
        <v>27111.34</v>
      </c>
      <c r="H49" s="48">
        <f t="shared" si="9"/>
        <v>0</v>
      </c>
      <c r="I49" s="48">
        <f t="shared" si="9"/>
        <v>133285.97</v>
      </c>
    </row>
    <row r="50" spans="1:10" s="51" customFormat="1" x14ac:dyDescent="0.3">
      <c r="A50" s="61" t="s">
        <v>47</v>
      </c>
      <c r="B50" s="47" t="s">
        <v>32</v>
      </c>
      <c r="C50" s="36">
        <f t="shared" si="1"/>
        <v>156194.26999999999</v>
      </c>
      <c r="D50" s="36">
        <f>D52+D54</f>
        <v>87578.22</v>
      </c>
      <c r="E50" s="36">
        <f t="shared" ref="E50:I51" si="10">E52+E54</f>
        <v>50465</v>
      </c>
      <c r="F50" s="36">
        <f t="shared" si="10"/>
        <v>12070.900000000001</v>
      </c>
      <c r="G50" s="36">
        <f t="shared" si="10"/>
        <v>0</v>
      </c>
      <c r="H50" s="36">
        <f t="shared" si="10"/>
        <v>0</v>
      </c>
      <c r="I50" s="36">
        <f t="shared" si="10"/>
        <v>6080.15</v>
      </c>
      <c r="J50" s="50"/>
    </row>
    <row r="51" spans="1:10" s="51" customFormat="1" x14ac:dyDescent="0.3">
      <c r="A51" s="60" t="s">
        <v>48</v>
      </c>
      <c r="B51" s="53" t="s">
        <v>33</v>
      </c>
      <c r="C51" s="36">
        <f t="shared" si="1"/>
        <v>156194.26999999999</v>
      </c>
      <c r="D51" s="36">
        <f>D53+D55</f>
        <v>87578.22</v>
      </c>
      <c r="E51" s="36">
        <f t="shared" si="10"/>
        <v>50465</v>
      </c>
      <c r="F51" s="36">
        <f t="shared" si="10"/>
        <v>12070.900000000001</v>
      </c>
      <c r="G51" s="36">
        <f t="shared" si="10"/>
        <v>0</v>
      </c>
      <c r="H51" s="36">
        <f t="shared" si="10"/>
        <v>0</v>
      </c>
      <c r="I51" s="36">
        <f t="shared" si="10"/>
        <v>6080.15</v>
      </c>
      <c r="J51" s="50"/>
    </row>
    <row r="52" spans="1:10" s="51" customFormat="1" ht="25.5" customHeight="1" x14ac:dyDescent="0.35">
      <c r="A52" s="62" t="s">
        <v>49</v>
      </c>
      <c r="B52" s="47" t="s">
        <v>32</v>
      </c>
      <c r="C52" s="48">
        <f t="shared" si="1"/>
        <v>89307.15</v>
      </c>
      <c r="D52" s="49">
        <f>D96</f>
        <v>67259</v>
      </c>
      <c r="E52" s="49">
        <f t="shared" ref="E52:I55" si="11">E96</f>
        <v>15968</v>
      </c>
      <c r="F52" s="49">
        <f t="shared" si="11"/>
        <v>0</v>
      </c>
      <c r="G52" s="49">
        <f t="shared" si="11"/>
        <v>0</v>
      </c>
      <c r="H52" s="49">
        <f t="shared" si="11"/>
        <v>0</v>
      </c>
      <c r="I52" s="49">
        <f t="shared" si="11"/>
        <v>6080.15</v>
      </c>
      <c r="J52" s="50"/>
    </row>
    <row r="53" spans="1:10" s="51" customFormat="1" ht="12.9" x14ac:dyDescent="0.35">
      <c r="A53" s="52"/>
      <c r="B53" s="53" t="s">
        <v>33</v>
      </c>
      <c r="C53" s="48">
        <f t="shared" si="1"/>
        <v>89307.15</v>
      </c>
      <c r="D53" s="49">
        <f>D97</f>
        <v>67259</v>
      </c>
      <c r="E53" s="49">
        <f t="shared" si="11"/>
        <v>15968</v>
      </c>
      <c r="F53" s="49">
        <f t="shared" si="11"/>
        <v>0</v>
      </c>
      <c r="G53" s="49">
        <f t="shared" si="11"/>
        <v>0</v>
      </c>
      <c r="H53" s="49">
        <f t="shared" si="11"/>
        <v>0</v>
      </c>
      <c r="I53" s="49">
        <f t="shared" si="11"/>
        <v>6080.15</v>
      </c>
      <c r="J53" s="50"/>
    </row>
    <row r="54" spans="1:10" x14ac:dyDescent="0.3">
      <c r="A54" s="58" t="s">
        <v>42</v>
      </c>
      <c r="B54" s="47" t="s">
        <v>32</v>
      </c>
      <c r="C54" s="49">
        <f t="shared" si="1"/>
        <v>66887.12</v>
      </c>
      <c r="D54" s="59">
        <f>D98</f>
        <v>20319.22</v>
      </c>
      <c r="E54" s="59">
        <f t="shared" si="11"/>
        <v>34497</v>
      </c>
      <c r="F54" s="59">
        <f t="shared" si="11"/>
        <v>12070.900000000001</v>
      </c>
      <c r="G54" s="59">
        <f t="shared" si="11"/>
        <v>0</v>
      </c>
      <c r="H54" s="59">
        <f t="shared" si="11"/>
        <v>0</v>
      </c>
      <c r="I54" s="59">
        <f t="shared" si="11"/>
        <v>0</v>
      </c>
    </row>
    <row r="55" spans="1:10" x14ac:dyDescent="0.3">
      <c r="A55" s="60"/>
      <c r="B55" s="53" t="s">
        <v>33</v>
      </c>
      <c r="C55" s="49">
        <f t="shared" si="1"/>
        <v>66887.12</v>
      </c>
      <c r="D55" s="59">
        <f>D99</f>
        <v>20319.22</v>
      </c>
      <c r="E55" s="59">
        <f t="shared" si="11"/>
        <v>34497</v>
      </c>
      <c r="F55" s="59">
        <f t="shared" si="11"/>
        <v>12070.900000000001</v>
      </c>
      <c r="G55" s="59">
        <f t="shared" si="11"/>
        <v>0</v>
      </c>
      <c r="H55" s="59">
        <f t="shared" si="11"/>
        <v>0</v>
      </c>
      <c r="I55" s="59">
        <f t="shared" si="11"/>
        <v>0</v>
      </c>
    </row>
    <row r="56" spans="1:10" x14ac:dyDescent="0.3">
      <c r="A56" s="34" t="s">
        <v>50</v>
      </c>
      <c r="B56" s="56" t="s">
        <v>32</v>
      </c>
      <c r="C56" s="36">
        <f t="shared" si="1"/>
        <v>358676.37599999999</v>
      </c>
      <c r="D56" s="36">
        <f>D58+D60+D62</f>
        <v>93646.446000000011</v>
      </c>
      <c r="E56" s="36">
        <f t="shared" ref="E56:I57" si="12">E58+E60+E62</f>
        <v>139241.88</v>
      </c>
      <c r="F56" s="36">
        <f t="shared" si="12"/>
        <v>49687.14</v>
      </c>
      <c r="G56" s="36">
        <f t="shared" si="12"/>
        <v>43960</v>
      </c>
      <c r="H56" s="36">
        <f t="shared" si="12"/>
        <v>14385</v>
      </c>
      <c r="I56" s="36">
        <f t="shared" si="12"/>
        <v>17755.909999999996</v>
      </c>
    </row>
    <row r="57" spans="1:10" x14ac:dyDescent="0.3">
      <c r="A57" s="63" t="s">
        <v>51</v>
      </c>
      <c r="B57" s="38" t="s">
        <v>33</v>
      </c>
      <c r="C57" s="36">
        <f t="shared" si="1"/>
        <v>358676.37599999999</v>
      </c>
      <c r="D57" s="36">
        <f>D59+D61+D63</f>
        <v>93646.446000000011</v>
      </c>
      <c r="E57" s="36">
        <f>E59+E61+E63</f>
        <v>139241.88</v>
      </c>
      <c r="F57" s="36">
        <f t="shared" si="12"/>
        <v>49687.14</v>
      </c>
      <c r="G57" s="36">
        <f t="shared" si="12"/>
        <v>43960</v>
      </c>
      <c r="H57" s="36">
        <f t="shared" si="12"/>
        <v>14385</v>
      </c>
      <c r="I57" s="36">
        <f t="shared" si="12"/>
        <v>17755.909999999996</v>
      </c>
    </row>
    <row r="58" spans="1:10" s="65" customFormat="1" ht="25.75" x14ac:dyDescent="0.35">
      <c r="A58" s="64" t="s">
        <v>52</v>
      </c>
      <c r="B58" s="40" t="s">
        <v>32</v>
      </c>
      <c r="C58" s="41">
        <f>D58+E58+F58+G58+H58+I58</f>
        <v>28294.950000000004</v>
      </c>
      <c r="D58" s="41">
        <f t="shared" ref="D58:I59" si="13">D102+D542</f>
        <v>26417.070000000003</v>
      </c>
      <c r="E58" s="41">
        <f t="shared" si="13"/>
        <v>24</v>
      </c>
      <c r="F58" s="41">
        <f t="shared" si="13"/>
        <v>0</v>
      </c>
      <c r="G58" s="41">
        <f t="shared" si="13"/>
        <v>0</v>
      </c>
      <c r="H58" s="41">
        <f t="shared" si="13"/>
        <v>0</v>
      </c>
      <c r="I58" s="41">
        <f t="shared" si="13"/>
        <v>1853.8799999999999</v>
      </c>
    </row>
    <row r="59" spans="1:10" s="65" customFormat="1" ht="12.9" x14ac:dyDescent="0.35">
      <c r="A59" s="43"/>
      <c r="B59" s="44" t="s">
        <v>33</v>
      </c>
      <c r="C59" s="41">
        <f>D59+E59+F59+G59+H59+I59</f>
        <v>28294.950000000004</v>
      </c>
      <c r="D59" s="41">
        <f t="shared" si="13"/>
        <v>26417.070000000003</v>
      </c>
      <c r="E59" s="41">
        <f t="shared" si="13"/>
        <v>24</v>
      </c>
      <c r="F59" s="41">
        <f t="shared" si="13"/>
        <v>0</v>
      </c>
      <c r="G59" s="41">
        <f t="shared" si="13"/>
        <v>0</v>
      </c>
      <c r="H59" s="41">
        <f t="shared" si="13"/>
        <v>0</v>
      </c>
      <c r="I59" s="41">
        <f t="shared" si="13"/>
        <v>1853.8799999999999</v>
      </c>
    </row>
    <row r="60" spans="1:10" s="68" customFormat="1" ht="25.75" x14ac:dyDescent="0.35">
      <c r="A60" s="46" t="s">
        <v>39</v>
      </c>
      <c r="B60" s="66" t="s">
        <v>32</v>
      </c>
      <c r="C60" s="67">
        <f>D60+E60+F60+G60+H60+I60</f>
        <v>19691</v>
      </c>
      <c r="D60" s="67">
        <f>D544</f>
        <v>0</v>
      </c>
      <c r="E60" s="67">
        <f t="shared" ref="E60:I61" si="14">E544</f>
        <v>19691</v>
      </c>
      <c r="F60" s="67">
        <f t="shared" si="14"/>
        <v>0</v>
      </c>
      <c r="G60" s="67">
        <f t="shared" si="14"/>
        <v>0</v>
      </c>
      <c r="H60" s="67">
        <f t="shared" si="14"/>
        <v>0</v>
      </c>
      <c r="I60" s="67">
        <f t="shared" si="14"/>
        <v>0</v>
      </c>
    </row>
    <row r="61" spans="1:10" s="68" customFormat="1" ht="12.9" x14ac:dyDescent="0.35">
      <c r="A61" s="69"/>
      <c r="B61" s="70" t="s">
        <v>33</v>
      </c>
      <c r="C61" s="67">
        <f>D61+E61+F61+G61+H61+I61</f>
        <v>19691</v>
      </c>
      <c r="D61" s="67">
        <f>D545</f>
        <v>0</v>
      </c>
      <c r="E61" s="67">
        <f t="shared" si="14"/>
        <v>19691</v>
      </c>
      <c r="F61" s="67">
        <f t="shared" si="14"/>
        <v>0</v>
      </c>
      <c r="G61" s="67">
        <f t="shared" si="14"/>
        <v>0</v>
      </c>
      <c r="H61" s="67">
        <f t="shared" si="14"/>
        <v>0</v>
      </c>
      <c r="I61" s="67">
        <f t="shared" si="14"/>
        <v>0</v>
      </c>
    </row>
    <row r="62" spans="1:10" ht="12.9" x14ac:dyDescent="0.35">
      <c r="A62" s="54" t="s">
        <v>40</v>
      </c>
      <c r="B62" s="35" t="s">
        <v>32</v>
      </c>
      <c r="C62" s="49">
        <f t="shared" si="1"/>
        <v>310690.42599999998</v>
      </c>
      <c r="D62" s="48">
        <f>D64+D74</f>
        <v>67229.376000000004</v>
      </c>
      <c r="E62" s="48">
        <f t="shared" ref="E62:I63" si="15">E64+E74</f>
        <v>119526.88</v>
      </c>
      <c r="F62" s="48">
        <f t="shared" si="15"/>
        <v>49687.14</v>
      </c>
      <c r="G62" s="48">
        <f t="shared" si="15"/>
        <v>43960</v>
      </c>
      <c r="H62" s="48">
        <f t="shared" si="15"/>
        <v>14385</v>
      </c>
      <c r="I62" s="48">
        <f t="shared" si="15"/>
        <v>15902.029999999997</v>
      </c>
    </row>
    <row r="63" spans="1:10" ht="12.9" x14ac:dyDescent="0.35">
      <c r="A63" s="43"/>
      <c r="B63" s="38" t="s">
        <v>33</v>
      </c>
      <c r="C63" s="49">
        <f t="shared" si="1"/>
        <v>310690.42599999998</v>
      </c>
      <c r="D63" s="48">
        <f>D65+D75</f>
        <v>67229.376000000004</v>
      </c>
      <c r="E63" s="48">
        <f t="shared" si="15"/>
        <v>119526.88</v>
      </c>
      <c r="F63" s="48">
        <f t="shared" si="15"/>
        <v>49687.14</v>
      </c>
      <c r="G63" s="48">
        <f t="shared" si="15"/>
        <v>43960</v>
      </c>
      <c r="H63" s="48">
        <f t="shared" si="15"/>
        <v>14385</v>
      </c>
      <c r="I63" s="48">
        <f t="shared" si="15"/>
        <v>15902.029999999997</v>
      </c>
    </row>
    <row r="64" spans="1:10" ht="12.9" x14ac:dyDescent="0.35">
      <c r="A64" s="54" t="s">
        <v>53</v>
      </c>
      <c r="B64" s="56" t="s">
        <v>32</v>
      </c>
      <c r="C64" s="49">
        <f t="shared" si="1"/>
        <v>301655.016</v>
      </c>
      <c r="D64" s="48">
        <f>D66+D68+D70+D72</f>
        <v>66405.966</v>
      </c>
      <c r="E64" s="48">
        <f t="shared" ref="E64:I65" si="16">E66+E68+E70+E72</f>
        <v>111360.88</v>
      </c>
      <c r="F64" s="48">
        <f t="shared" si="16"/>
        <v>49687.14</v>
      </c>
      <c r="G64" s="48">
        <f t="shared" si="16"/>
        <v>43960</v>
      </c>
      <c r="H64" s="48">
        <f t="shared" si="16"/>
        <v>14385</v>
      </c>
      <c r="I64" s="48">
        <f t="shared" si="16"/>
        <v>15856.029999999997</v>
      </c>
    </row>
    <row r="65" spans="1:9" x14ac:dyDescent="0.3">
      <c r="A65" s="37"/>
      <c r="B65" s="38" t="s">
        <v>33</v>
      </c>
      <c r="C65" s="49">
        <f t="shared" si="1"/>
        <v>301655.016</v>
      </c>
      <c r="D65" s="48">
        <f>D67+D69+D71+D73</f>
        <v>66405.966</v>
      </c>
      <c r="E65" s="48">
        <f t="shared" si="16"/>
        <v>111360.88</v>
      </c>
      <c r="F65" s="48">
        <f t="shared" si="16"/>
        <v>49687.14</v>
      </c>
      <c r="G65" s="48">
        <f t="shared" si="16"/>
        <v>43960</v>
      </c>
      <c r="H65" s="48">
        <f t="shared" si="16"/>
        <v>14385</v>
      </c>
      <c r="I65" s="48">
        <f t="shared" si="16"/>
        <v>15856.029999999997</v>
      </c>
    </row>
    <row r="66" spans="1:9" x14ac:dyDescent="0.3">
      <c r="A66" s="58" t="s">
        <v>42</v>
      </c>
      <c r="B66" s="47" t="s">
        <v>32</v>
      </c>
      <c r="C66" s="49">
        <f t="shared" si="1"/>
        <v>250566.18900000004</v>
      </c>
      <c r="D66" s="59">
        <f t="shared" ref="D66:I67" si="17">D379+D108</f>
        <v>59600.879000000001</v>
      </c>
      <c r="E66" s="59">
        <f t="shared" si="17"/>
        <v>72914.38</v>
      </c>
      <c r="F66" s="59">
        <f t="shared" si="17"/>
        <v>49057.14</v>
      </c>
      <c r="G66" s="59">
        <f t="shared" si="17"/>
        <v>43960</v>
      </c>
      <c r="H66" s="59">
        <f t="shared" si="17"/>
        <v>14385</v>
      </c>
      <c r="I66" s="59">
        <f t="shared" si="17"/>
        <v>10648.789999999997</v>
      </c>
    </row>
    <row r="67" spans="1:9" x14ac:dyDescent="0.3">
      <c r="A67" s="60"/>
      <c r="B67" s="53" t="s">
        <v>33</v>
      </c>
      <c r="C67" s="49">
        <f t="shared" si="1"/>
        <v>250566.18900000004</v>
      </c>
      <c r="D67" s="59">
        <f t="shared" si="17"/>
        <v>59600.879000000001</v>
      </c>
      <c r="E67" s="59">
        <f t="shared" si="17"/>
        <v>72914.38</v>
      </c>
      <c r="F67" s="59">
        <f t="shared" si="17"/>
        <v>49057.14</v>
      </c>
      <c r="G67" s="59">
        <f t="shared" si="17"/>
        <v>43960</v>
      </c>
      <c r="H67" s="59">
        <f t="shared" si="17"/>
        <v>14385</v>
      </c>
      <c r="I67" s="59">
        <f t="shared" si="17"/>
        <v>10648.789999999997</v>
      </c>
    </row>
    <row r="68" spans="1:9" x14ac:dyDescent="0.3">
      <c r="A68" s="71" t="s">
        <v>43</v>
      </c>
      <c r="B68" s="56" t="s">
        <v>32</v>
      </c>
      <c r="C68" s="49">
        <f t="shared" si="1"/>
        <v>32431.32</v>
      </c>
      <c r="D68" s="48">
        <f t="shared" ref="D68:I75" si="18">D550</f>
        <v>1586.82</v>
      </c>
      <c r="E68" s="48">
        <f t="shared" si="18"/>
        <v>30844.5</v>
      </c>
      <c r="F68" s="48">
        <f t="shared" si="18"/>
        <v>0</v>
      </c>
      <c r="G68" s="48">
        <f t="shared" si="18"/>
        <v>0</v>
      </c>
      <c r="H68" s="48">
        <f t="shared" si="18"/>
        <v>0</v>
      </c>
      <c r="I68" s="48">
        <f t="shared" si="18"/>
        <v>0</v>
      </c>
    </row>
    <row r="69" spans="1:9" x14ac:dyDescent="0.3">
      <c r="A69" s="37"/>
      <c r="B69" s="38" t="s">
        <v>33</v>
      </c>
      <c r="C69" s="49">
        <f t="shared" si="1"/>
        <v>32431.32</v>
      </c>
      <c r="D69" s="48">
        <f t="shared" si="18"/>
        <v>1586.82</v>
      </c>
      <c r="E69" s="48">
        <f t="shared" si="18"/>
        <v>30844.5</v>
      </c>
      <c r="F69" s="48">
        <f t="shared" si="18"/>
        <v>0</v>
      </c>
      <c r="G69" s="48">
        <f t="shared" si="18"/>
        <v>0</v>
      </c>
      <c r="H69" s="48">
        <f t="shared" si="18"/>
        <v>0</v>
      </c>
      <c r="I69" s="48">
        <f t="shared" si="18"/>
        <v>0</v>
      </c>
    </row>
    <row r="70" spans="1:9" x14ac:dyDescent="0.3">
      <c r="A70" s="72" t="s">
        <v>44</v>
      </c>
      <c r="B70" s="56" t="s">
        <v>32</v>
      </c>
      <c r="C70" s="49">
        <f t="shared" si="1"/>
        <v>65</v>
      </c>
      <c r="D70" s="48">
        <f t="shared" si="18"/>
        <v>65</v>
      </c>
      <c r="E70" s="48">
        <f t="shared" si="18"/>
        <v>0</v>
      </c>
      <c r="F70" s="48">
        <f t="shared" si="18"/>
        <v>0</v>
      </c>
      <c r="G70" s="48">
        <f t="shared" si="18"/>
        <v>0</v>
      </c>
      <c r="H70" s="48">
        <f t="shared" si="18"/>
        <v>0</v>
      </c>
      <c r="I70" s="48">
        <f t="shared" si="18"/>
        <v>0</v>
      </c>
    </row>
    <row r="71" spans="1:9" x14ac:dyDescent="0.3">
      <c r="A71" s="37"/>
      <c r="B71" s="38" t="s">
        <v>33</v>
      </c>
      <c r="C71" s="49">
        <f t="shared" si="1"/>
        <v>65</v>
      </c>
      <c r="D71" s="48">
        <f t="shared" si="18"/>
        <v>65</v>
      </c>
      <c r="E71" s="48">
        <f t="shared" si="18"/>
        <v>0</v>
      </c>
      <c r="F71" s="48">
        <f t="shared" si="18"/>
        <v>0</v>
      </c>
      <c r="G71" s="48">
        <f t="shared" si="18"/>
        <v>0</v>
      </c>
      <c r="H71" s="48">
        <f t="shared" si="18"/>
        <v>0</v>
      </c>
      <c r="I71" s="48">
        <f t="shared" si="18"/>
        <v>0</v>
      </c>
    </row>
    <row r="72" spans="1:9" ht="12.9" x14ac:dyDescent="0.35">
      <c r="A72" s="73" t="s">
        <v>54</v>
      </c>
      <c r="B72" s="47" t="s">
        <v>32</v>
      </c>
      <c r="C72" s="49">
        <f t="shared" si="1"/>
        <v>18592.506999999998</v>
      </c>
      <c r="D72" s="48">
        <f t="shared" si="18"/>
        <v>5153.2669999999998</v>
      </c>
      <c r="E72" s="48">
        <f t="shared" si="18"/>
        <v>7602</v>
      </c>
      <c r="F72" s="48">
        <f t="shared" si="18"/>
        <v>630</v>
      </c>
      <c r="G72" s="48">
        <f t="shared" si="18"/>
        <v>0</v>
      </c>
      <c r="H72" s="48">
        <f t="shared" si="18"/>
        <v>0</v>
      </c>
      <c r="I72" s="48">
        <f t="shared" si="18"/>
        <v>5207.24</v>
      </c>
    </row>
    <row r="73" spans="1:9" x14ac:dyDescent="0.3">
      <c r="A73" s="63"/>
      <c r="B73" s="53" t="s">
        <v>33</v>
      </c>
      <c r="C73" s="49">
        <f t="shared" si="1"/>
        <v>18592.506999999998</v>
      </c>
      <c r="D73" s="48">
        <f t="shared" si="18"/>
        <v>5153.2669999999998</v>
      </c>
      <c r="E73" s="48">
        <f t="shared" si="18"/>
        <v>7602</v>
      </c>
      <c r="F73" s="48">
        <f t="shared" si="18"/>
        <v>630</v>
      </c>
      <c r="G73" s="48">
        <f t="shared" si="18"/>
        <v>0</v>
      </c>
      <c r="H73" s="48">
        <f t="shared" si="18"/>
        <v>0</v>
      </c>
      <c r="I73" s="48">
        <f t="shared" si="18"/>
        <v>5207.24</v>
      </c>
    </row>
    <row r="74" spans="1:9" ht="12.9" x14ac:dyDescent="0.35">
      <c r="A74" s="54" t="s">
        <v>55</v>
      </c>
      <c r="B74" s="47" t="s">
        <v>32</v>
      </c>
      <c r="C74" s="49">
        <f t="shared" si="1"/>
        <v>9035.41</v>
      </c>
      <c r="D74" s="48">
        <f t="shared" si="18"/>
        <v>823.41000000000008</v>
      </c>
      <c r="E74" s="48">
        <f t="shared" si="18"/>
        <v>8166</v>
      </c>
      <c r="F74" s="48">
        <f t="shared" si="18"/>
        <v>0</v>
      </c>
      <c r="G74" s="48">
        <f t="shared" si="18"/>
        <v>0</v>
      </c>
      <c r="H74" s="48">
        <f t="shared" si="18"/>
        <v>0</v>
      </c>
      <c r="I74" s="48">
        <f t="shared" si="18"/>
        <v>46</v>
      </c>
    </row>
    <row r="75" spans="1:9" x14ac:dyDescent="0.3">
      <c r="A75" s="63"/>
      <c r="B75" s="53" t="s">
        <v>33</v>
      </c>
      <c r="C75" s="49">
        <f t="shared" si="1"/>
        <v>9035.41</v>
      </c>
      <c r="D75" s="48">
        <f t="shared" si="18"/>
        <v>823.41000000000008</v>
      </c>
      <c r="E75" s="48">
        <f t="shared" si="18"/>
        <v>8166</v>
      </c>
      <c r="F75" s="48">
        <f t="shared" si="18"/>
        <v>0</v>
      </c>
      <c r="G75" s="48">
        <f t="shared" si="18"/>
        <v>0</v>
      </c>
      <c r="H75" s="48">
        <f t="shared" si="18"/>
        <v>0</v>
      </c>
      <c r="I75" s="48">
        <f t="shared" si="18"/>
        <v>46</v>
      </c>
    </row>
    <row r="76" spans="1:9" x14ac:dyDescent="0.3">
      <c r="A76" s="1079" t="s">
        <v>56</v>
      </c>
      <c r="B76" s="1081"/>
      <c r="C76" s="1081"/>
      <c r="D76" s="1081"/>
      <c r="E76" s="1081"/>
      <c r="F76" s="1081"/>
      <c r="G76" s="1081"/>
      <c r="H76" s="1081"/>
      <c r="I76" s="1082"/>
    </row>
    <row r="77" spans="1:9" x14ac:dyDescent="0.3">
      <c r="A77" s="1010" t="s">
        <v>57</v>
      </c>
      <c r="B77" s="1011"/>
      <c r="C77" s="1011"/>
      <c r="D77" s="1011"/>
      <c r="E77" s="1011"/>
      <c r="F77" s="1011"/>
      <c r="G77" s="1011"/>
      <c r="H77" s="1011"/>
      <c r="I77" s="1012"/>
    </row>
    <row r="78" spans="1:9" x14ac:dyDescent="0.3">
      <c r="A78" s="72" t="s">
        <v>31</v>
      </c>
      <c r="B78" s="74" t="s">
        <v>32</v>
      </c>
      <c r="C78" s="59">
        <f>D78+E78+F78+G78+H78+I78</f>
        <v>1193385.442</v>
      </c>
      <c r="D78" s="59">
        <f>D80+D94+D100</f>
        <v>595000.12200000009</v>
      </c>
      <c r="E78" s="59">
        <f t="shared" ref="E78:I79" si="19">E80+E94+E100</f>
        <v>178731</v>
      </c>
      <c r="F78" s="59">
        <f t="shared" si="19"/>
        <v>321353.04000000004</v>
      </c>
      <c r="G78" s="59">
        <f t="shared" si="19"/>
        <v>67979.78</v>
      </c>
      <c r="H78" s="59">
        <f t="shared" si="19"/>
        <v>554.9100000000002</v>
      </c>
      <c r="I78" s="59">
        <f t="shared" si="19"/>
        <v>29766.589999999997</v>
      </c>
    </row>
    <row r="79" spans="1:9" ht="12.9" thickBot="1" x14ac:dyDescent="0.35">
      <c r="A79" s="75"/>
      <c r="B79" s="76" t="s">
        <v>33</v>
      </c>
      <c r="C79" s="59">
        <f t="shared" ref="C79:C109" si="20">D79+E79+F79+G79+H79+I79</f>
        <v>1193385.442</v>
      </c>
      <c r="D79" s="59">
        <f>D81+D95+D101</f>
        <v>595000.12200000009</v>
      </c>
      <c r="E79" s="59">
        <f t="shared" si="19"/>
        <v>178731</v>
      </c>
      <c r="F79" s="59">
        <f t="shared" si="19"/>
        <v>321353.04000000004</v>
      </c>
      <c r="G79" s="59">
        <f t="shared" si="19"/>
        <v>67979.78</v>
      </c>
      <c r="H79" s="59">
        <f t="shared" si="19"/>
        <v>554.9100000000002</v>
      </c>
      <c r="I79" s="59">
        <f t="shared" si="19"/>
        <v>29766.589999999997</v>
      </c>
    </row>
    <row r="80" spans="1:9" x14ac:dyDescent="0.3">
      <c r="A80" s="77" t="s">
        <v>34</v>
      </c>
      <c r="B80" s="74" t="s">
        <v>32</v>
      </c>
      <c r="C80" s="59">
        <f t="shared" si="20"/>
        <v>949520.63300000003</v>
      </c>
      <c r="D80" s="59">
        <f>D82+D84+D86+D88</f>
        <v>448704.45300000004</v>
      </c>
      <c r="E80" s="59">
        <f t="shared" ref="E80:I81" si="21">E82+E84+E86+E88</f>
        <v>109967</v>
      </c>
      <c r="F80" s="59">
        <f t="shared" si="21"/>
        <v>309282.14</v>
      </c>
      <c r="G80" s="59">
        <f t="shared" si="21"/>
        <v>67979.78</v>
      </c>
      <c r="H80" s="59">
        <f t="shared" si="21"/>
        <v>554.9100000000002</v>
      </c>
      <c r="I80" s="59">
        <f t="shared" si="21"/>
        <v>13032.349999999999</v>
      </c>
    </row>
    <row r="81" spans="1:10" x14ac:dyDescent="0.3">
      <c r="A81" s="60" t="s">
        <v>51</v>
      </c>
      <c r="B81" s="53" t="s">
        <v>33</v>
      </c>
      <c r="C81" s="59">
        <f t="shared" si="20"/>
        <v>949520.63300000003</v>
      </c>
      <c r="D81" s="59">
        <f>D83+D85+D87+D89</f>
        <v>448704.45300000004</v>
      </c>
      <c r="E81" s="59">
        <f t="shared" si="21"/>
        <v>109967</v>
      </c>
      <c r="F81" s="59">
        <f t="shared" si="21"/>
        <v>309282.14</v>
      </c>
      <c r="G81" s="59">
        <f t="shared" si="21"/>
        <v>67979.78</v>
      </c>
      <c r="H81" s="59">
        <f t="shared" si="21"/>
        <v>554.9100000000002</v>
      </c>
      <c r="I81" s="59">
        <f t="shared" si="21"/>
        <v>13032.349999999999</v>
      </c>
    </row>
    <row r="82" spans="1:10" ht="12.9" x14ac:dyDescent="0.35">
      <c r="A82" s="73" t="s">
        <v>58</v>
      </c>
      <c r="B82" s="47" t="s">
        <v>32</v>
      </c>
      <c r="C82" s="59">
        <f>D82+E82+F82+G82+H82+I82</f>
        <v>1008</v>
      </c>
      <c r="D82" s="59">
        <f t="shared" ref="D82:I83" si="22">D235</f>
        <v>791.87</v>
      </c>
      <c r="E82" s="59">
        <f t="shared" si="22"/>
        <v>0</v>
      </c>
      <c r="F82" s="59">
        <f t="shared" si="22"/>
        <v>0</v>
      </c>
      <c r="G82" s="59">
        <f t="shared" si="22"/>
        <v>0</v>
      </c>
      <c r="H82" s="59">
        <f t="shared" si="22"/>
        <v>0</v>
      </c>
      <c r="I82" s="59">
        <f t="shared" si="22"/>
        <v>216.13</v>
      </c>
    </row>
    <row r="83" spans="1:10" ht="12.9" x14ac:dyDescent="0.35">
      <c r="A83" s="52" t="s">
        <v>38</v>
      </c>
      <c r="B83" s="53" t="s">
        <v>33</v>
      </c>
      <c r="C83" s="59">
        <f>D83+E83+F83+G83+H83+I83</f>
        <v>1008</v>
      </c>
      <c r="D83" s="59">
        <f t="shared" si="22"/>
        <v>791.87</v>
      </c>
      <c r="E83" s="59">
        <f t="shared" si="22"/>
        <v>0</v>
      </c>
      <c r="F83" s="59">
        <f t="shared" si="22"/>
        <v>0</v>
      </c>
      <c r="G83" s="59">
        <f t="shared" si="22"/>
        <v>0</v>
      </c>
      <c r="H83" s="59">
        <f t="shared" si="22"/>
        <v>0</v>
      </c>
      <c r="I83" s="59">
        <f t="shared" si="22"/>
        <v>216.13</v>
      </c>
    </row>
    <row r="84" spans="1:10" ht="12.9" x14ac:dyDescent="0.35">
      <c r="A84" s="73" t="s">
        <v>59</v>
      </c>
      <c r="B84" s="47" t="s">
        <v>32</v>
      </c>
      <c r="C84" s="59">
        <f t="shared" si="20"/>
        <v>355142.63</v>
      </c>
      <c r="D84" s="59">
        <f t="shared" ref="D84:I85" si="23">D116+D212+D253</f>
        <v>330558.95</v>
      </c>
      <c r="E84" s="59">
        <f t="shared" si="23"/>
        <v>19332</v>
      </c>
      <c r="F84" s="59">
        <f t="shared" si="23"/>
        <v>0</v>
      </c>
      <c r="G84" s="59">
        <f t="shared" si="23"/>
        <v>0</v>
      </c>
      <c r="H84" s="59">
        <f t="shared" si="23"/>
        <v>0</v>
      </c>
      <c r="I84" s="59">
        <f t="shared" si="23"/>
        <v>5251.68</v>
      </c>
    </row>
    <row r="85" spans="1:10" ht="12.9" x14ac:dyDescent="0.35">
      <c r="A85" s="52" t="s">
        <v>38</v>
      </c>
      <c r="B85" s="53" t="s">
        <v>33</v>
      </c>
      <c r="C85" s="59">
        <f t="shared" si="20"/>
        <v>355142.63</v>
      </c>
      <c r="D85" s="59">
        <f t="shared" si="23"/>
        <v>330558.95</v>
      </c>
      <c r="E85" s="59">
        <f t="shared" si="23"/>
        <v>19332</v>
      </c>
      <c r="F85" s="59">
        <f t="shared" si="23"/>
        <v>0</v>
      </c>
      <c r="G85" s="59">
        <f t="shared" si="23"/>
        <v>0</v>
      </c>
      <c r="H85" s="59">
        <f t="shared" si="23"/>
        <v>0</v>
      </c>
      <c r="I85" s="59">
        <f t="shared" si="23"/>
        <v>5251.68</v>
      </c>
    </row>
    <row r="86" spans="1:10" s="42" customFormat="1" ht="25.5" customHeight="1" x14ac:dyDescent="0.35">
      <c r="A86" s="46" t="s">
        <v>39</v>
      </c>
      <c r="B86" s="40" t="s">
        <v>32</v>
      </c>
      <c r="C86" s="41">
        <f t="shared" si="20"/>
        <v>2358</v>
      </c>
      <c r="D86" s="41">
        <f>D138</f>
        <v>0</v>
      </c>
      <c r="E86" s="41">
        <f t="shared" ref="E86:I87" si="24">E138</f>
        <v>1572</v>
      </c>
      <c r="F86" s="41">
        <f t="shared" si="24"/>
        <v>786</v>
      </c>
      <c r="G86" s="41">
        <f t="shared" si="24"/>
        <v>0</v>
      </c>
      <c r="H86" s="41">
        <f t="shared" si="24"/>
        <v>0</v>
      </c>
      <c r="I86" s="41">
        <f t="shared" si="24"/>
        <v>0</v>
      </c>
      <c r="J86" s="78"/>
    </row>
    <row r="87" spans="1:10" s="42" customFormat="1" ht="12.9" x14ac:dyDescent="0.35">
      <c r="A87" s="43"/>
      <c r="B87" s="44" t="s">
        <v>33</v>
      </c>
      <c r="C87" s="41">
        <f t="shared" si="20"/>
        <v>2358</v>
      </c>
      <c r="D87" s="41">
        <f>D139</f>
        <v>0</v>
      </c>
      <c r="E87" s="41">
        <f t="shared" si="24"/>
        <v>1572</v>
      </c>
      <c r="F87" s="41">
        <f t="shared" si="24"/>
        <v>786</v>
      </c>
      <c r="G87" s="41">
        <f t="shared" si="24"/>
        <v>0</v>
      </c>
      <c r="H87" s="41">
        <f t="shared" si="24"/>
        <v>0</v>
      </c>
      <c r="I87" s="41">
        <f t="shared" si="24"/>
        <v>0</v>
      </c>
      <c r="J87" s="78"/>
    </row>
    <row r="88" spans="1:10" ht="12.9" x14ac:dyDescent="0.35">
      <c r="A88" s="54" t="s">
        <v>40</v>
      </c>
      <c r="B88" s="35" t="s">
        <v>32</v>
      </c>
      <c r="C88" s="59">
        <f t="shared" si="20"/>
        <v>591012.00300000014</v>
      </c>
      <c r="D88" s="49">
        <f>D90</f>
        <v>117353.63300000002</v>
      </c>
      <c r="E88" s="49">
        <f t="shared" ref="E88:I91" si="25">E90</f>
        <v>89063</v>
      </c>
      <c r="F88" s="49">
        <f t="shared" si="25"/>
        <v>308496.14</v>
      </c>
      <c r="G88" s="49">
        <f t="shared" si="25"/>
        <v>67979.78</v>
      </c>
      <c r="H88" s="49">
        <f t="shared" si="25"/>
        <v>554.9100000000002</v>
      </c>
      <c r="I88" s="49">
        <f t="shared" si="25"/>
        <v>7564.5399999999991</v>
      </c>
    </row>
    <row r="89" spans="1:10" ht="12.9" x14ac:dyDescent="0.35">
      <c r="A89" s="43"/>
      <c r="B89" s="38" t="s">
        <v>33</v>
      </c>
      <c r="C89" s="59">
        <f t="shared" si="20"/>
        <v>591012.00300000014</v>
      </c>
      <c r="D89" s="49">
        <f>D91</f>
        <v>117353.63300000002</v>
      </c>
      <c r="E89" s="49">
        <f t="shared" si="25"/>
        <v>89063</v>
      </c>
      <c r="F89" s="49">
        <f t="shared" si="25"/>
        <v>308496.14</v>
      </c>
      <c r="G89" s="49">
        <f t="shared" si="25"/>
        <v>67979.78</v>
      </c>
      <c r="H89" s="49">
        <f t="shared" si="25"/>
        <v>554.9100000000002</v>
      </c>
      <c r="I89" s="49">
        <f t="shared" si="25"/>
        <v>7564.5399999999991</v>
      </c>
    </row>
    <row r="90" spans="1:10" x14ac:dyDescent="0.3">
      <c r="A90" s="72" t="s">
        <v>60</v>
      </c>
      <c r="B90" s="74" t="s">
        <v>32</v>
      </c>
      <c r="C90" s="59">
        <f t="shared" si="20"/>
        <v>591012.00300000014</v>
      </c>
      <c r="D90" s="49">
        <f>D92</f>
        <v>117353.63300000002</v>
      </c>
      <c r="E90" s="49">
        <f t="shared" si="25"/>
        <v>89063</v>
      </c>
      <c r="F90" s="49">
        <f t="shared" si="25"/>
        <v>308496.14</v>
      </c>
      <c r="G90" s="49">
        <f t="shared" si="25"/>
        <v>67979.78</v>
      </c>
      <c r="H90" s="49">
        <f t="shared" si="25"/>
        <v>554.9100000000002</v>
      </c>
      <c r="I90" s="49">
        <f t="shared" si="25"/>
        <v>7564.5399999999991</v>
      </c>
    </row>
    <row r="91" spans="1:10" x14ac:dyDescent="0.3">
      <c r="A91" s="72"/>
      <c r="B91" s="74" t="s">
        <v>33</v>
      </c>
      <c r="C91" s="59">
        <f t="shared" si="20"/>
        <v>591012.00300000014</v>
      </c>
      <c r="D91" s="49">
        <f>D93</f>
        <v>117353.63300000002</v>
      </c>
      <c r="E91" s="49">
        <f t="shared" si="25"/>
        <v>89063</v>
      </c>
      <c r="F91" s="49">
        <f t="shared" si="25"/>
        <v>308496.14</v>
      </c>
      <c r="G91" s="49">
        <f t="shared" si="25"/>
        <v>67979.78</v>
      </c>
      <c r="H91" s="49">
        <f t="shared" si="25"/>
        <v>554.9100000000002</v>
      </c>
      <c r="I91" s="49">
        <f t="shared" si="25"/>
        <v>7564.5399999999991</v>
      </c>
    </row>
    <row r="92" spans="1:10" x14ac:dyDescent="0.3">
      <c r="A92" s="58" t="s">
        <v>42</v>
      </c>
      <c r="B92" s="47" t="s">
        <v>32</v>
      </c>
      <c r="C92" s="59">
        <f t="shared" si="20"/>
        <v>591012.00300000014</v>
      </c>
      <c r="D92" s="59">
        <f t="shared" ref="D92:I93" si="26">D146+D243+D271</f>
        <v>117353.63300000002</v>
      </c>
      <c r="E92" s="59">
        <f t="shared" si="26"/>
        <v>89063</v>
      </c>
      <c r="F92" s="59">
        <f t="shared" si="26"/>
        <v>308496.14</v>
      </c>
      <c r="G92" s="59">
        <f t="shared" si="26"/>
        <v>67979.78</v>
      </c>
      <c r="H92" s="59">
        <f t="shared" si="26"/>
        <v>554.9100000000002</v>
      </c>
      <c r="I92" s="59">
        <f t="shared" si="26"/>
        <v>7564.5399999999991</v>
      </c>
    </row>
    <row r="93" spans="1:10" x14ac:dyDescent="0.3">
      <c r="A93" s="60"/>
      <c r="B93" s="53" t="s">
        <v>33</v>
      </c>
      <c r="C93" s="59">
        <f t="shared" si="20"/>
        <v>591012.00300000014</v>
      </c>
      <c r="D93" s="59">
        <f t="shared" si="26"/>
        <v>117353.63300000002</v>
      </c>
      <c r="E93" s="59">
        <f t="shared" si="26"/>
        <v>89063</v>
      </c>
      <c r="F93" s="59">
        <f t="shared" si="26"/>
        <v>308496.14</v>
      </c>
      <c r="G93" s="59">
        <f t="shared" si="26"/>
        <v>67979.78</v>
      </c>
      <c r="H93" s="59">
        <f t="shared" si="26"/>
        <v>554.9100000000002</v>
      </c>
      <c r="I93" s="59">
        <f t="shared" si="26"/>
        <v>7564.5399999999991</v>
      </c>
    </row>
    <row r="94" spans="1:10" s="50" customFormat="1" x14ac:dyDescent="0.3">
      <c r="A94" s="79" t="s">
        <v>47</v>
      </c>
      <c r="B94" s="80" t="s">
        <v>32</v>
      </c>
      <c r="C94" s="67">
        <f>C96</f>
        <v>89307.15</v>
      </c>
      <c r="D94" s="81">
        <f>D96+D98</f>
        <v>87578.22</v>
      </c>
      <c r="E94" s="81">
        <f t="shared" ref="E94:I95" si="27">E96+E98</f>
        <v>50465</v>
      </c>
      <c r="F94" s="81">
        <f t="shared" si="27"/>
        <v>12070.900000000001</v>
      </c>
      <c r="G94" s="81">
        <f t="shared" si="27"/>
        <v>0</v>
      </c>
      <c r="H94" s="81">
        <f t="shared" si="27"/>
        <v>0</v>
      </c>
      <c r="I94" s="81">
        <f t="shared" si="27"/>
        <v>6080.15</v>
      </c>
    </row>
    <row r="95" spans="1:10" s="50" customFormat="1" x14ac:dyDescent="0.3">
      <c r="A95" s="82" t="s">
        <v>48</v>
      </c>
      <c r="B95" s="80" t="s">
        <v>33</v>
      </c>
      <c r="C95" s="67">
        <f>C97</f>
        <v>89307.15</v>
      </c>
      <c r="D95" s="81">
        <f>D97+D99</f>
        <v>87578.22</v>
      </c>
      <c r="E95" s="81">
        <f t="shared" si="27"/>
        <v>50465</v>
      </c>
      <c r="F95" s="81">
        <f t="shared" si="27"/>
        <v>12070.900000000001</v>
      </c>
      <c r="G95" s="81">
        <f t="shared" si="27"/>
        <v>0</v>
      </c>
      <c r="H95" s="81">
        <f t="shared" si="27"/>
        <v>0</v>
      </c>
      <c r="I95" s="81">
        <f t="shared" si="27"/>
        <v>6080.15</v>
      </c>
    </row>
    <row r="96" spans="1:10" s="51" customFormat="1" ht="25.5" customHeight="1" x14ac:dyDescent="0.35">
      <c r="A96" s="62" t="s">
        <v>49</v>
      </c>
      <c r="B96" s="47" t="s">
        <v>32</v>
      </c>
      <c r="C96" s="48">
        <f>D96+E96+F96+G96+H96+I96</f>
        <v>89307.15</v>
      </c>
      <c r="D96" s="49">
        <f t="shared" ref="D96:I97" si="28">D156+D261</f>
        <v>67259</v>
      </c>
      <c r="E96" s="49">
        <f t="shared" si="28"/>
        <v>15968</v>
      </c>
      <c r="F96" s="49">
        <f t="shared" si="28"/>
        <v>0</v>
      </c>
      <c r="G96" s="49">
        <f t="shared" si="28"/>
        <v>0</v>
      </c>
      <c r="H96" s="49">
        <f t="shared" si="28"/>
        <v>0</v>
      </c>
      <c r="I96" s="49">
        <f t="shared" si="28"/>
        <v>6080.15</v>
      </c>
      <c r="J96" s="50"/>
    </row>
    <row r="97" spans="1:10" s="51" customFormat="1" ht="12.9" x14ac:dyDescent="0.35">
      <c r="A97" s="52"/>
      <c r="B97" s="53" t="s">
        <v>33</v>
      </c>
      <c r="C97" s="48">
        <f>D97+E97+F97+G97+H97+I97</f>
        <v>89307.15</v>
      </c>
      <c r="D97" s="49">
        <f t="shared" si="28"/>
        <v>67259</v>
      </c>
      <c r="E97" s="49">
        <f t="shared" si="28"/>
        <v>15968</v>
      </c>
      <c r="F97" s="49">
        <f t="shared" si="28"/>
        <v>0</v>
      </c>
      <c r="G97" s="49">
        <f t="shared" si="28"/>
        <v>0</v>
      </c>
      <c r="H97" s="49">
        <f t="shared" si="28"/>
        <v>0</v>
      </c>
      <c r="I97" s="49">
        <f t="shared" si="28"/>
        <v>6080.15</v>
      </c>
      <c r="J97" s="50"/>
    </row>
    <row r="98" spans="1:10" x14ac:dyDescent="0.3">
      <c r="A98" s="83" t="s">
        <v>61</v>
      </c>
      <c r="B98" s="84" t="s">
        <v>32</v>
      </c>
      <c r="C98" s="41">
        <f t="shared" ref="C98:C99" si="29">D98+E98+F98+G98+H98+I98</f>
        <v>66887.12</v>
      </c>
      <c r="D98" s="41">
        <f>D343</f>
        <v>20319.22</v>
      </c>
      <c r="E98" s="41">
        <f t="shared" ref="E98:I99" si="30">E343</f>
        <v>34497</v>
      </c>
      <c r="F98" s="41">
        <f t="shared" si="30"/>
        <v>12070.900000000001</v>
      </c>
      <c r="G98" s="41">
        <f t="shared" si="30"/>
        <v>0</v>
      </c>
      <c r="H98" s="41">
        <f t="shared" si="30"/>
        <v>0</v>
      </c>
      <c r="I98" s="41">
        <f t="shared" si="30"/>
        <v>0</v>
      </c>
    </row>
    <row r="99" spans="1:10" x14ac:dyDescent="0.3">
      <c r="A99" s="85"/>
      <c r="B99" s="86" t="s">
        <v>33</v>
      </c>
      <c r="C99" s="41">
        <f t="shared" si="29"/>
        <v>66887.12</v>
      </c>
      <c r="D99" s="41">
        <f>D344</f>
        <v>20319.22</v>
      </c>
      <c r="E99" s="41">
        <f t="shared" si="30"/>
        <v>34497</v>
      </c>
      <c r="F99" s="41">
        <f t="shared" si="30"/>
        <v>12070.900000000001</v>
      </c>
      <c r="G99" s="41">
        <f t="shared" si="30"/>
        <v>0</v>
      </c>
      <c r="H99" s="41">
        <f t="shared" si="30"/>
        <v>0</v>
      </c>
      <c r="I99" s="41">
        <f t="shared" si="30"/>
        <v>0</v>
      </c>
    </row>
    <row r="100" spans="1:10" x14ac:dyDescent="0.3">
      <c r="A100" s="87" t="s">
        <v>50</v>
      </c>
      <c r="B100" s="74" t="s">
        <v>32</v>
      </c>
      <c r="C100" s="59">
        <f t="shared" si="20"/>
        <v>87670.53899999999</v>
      </c>
      <c r="D100" s="59">
        <f>D102+D104</f>
        <v>58717.449000000001</v>
      </c>
      <c r="E100" s="59">
        <f t="shared" ref="E100:I101" si="31">E102+E104</f>
        <v>18299</v>
      </c>
      <c r="F100" s="59">
        <f t="shared" si="31"/>
        <v>0</v>
      </c>
      <c r="G100" s="59">
        <f t="shared" si="31"/>
        <v>0</v>
      </c>
      <c r="H100" s="59">
        <f t="shared" si="31"/>
        <v>0</v>
      </c>
      <c r="I100" s="59">
        <f t="shared" si="31"/>
        <v>10654.089999999997</v>
      </c>
    </row>
    <row r="101" spans="1:10" x14ac:dyDescent="0.3">
      <c r="A101" s="60" t="s">
        <v>51</v>
      </c>
      <c r="B101" s="53" t="s">
        <v>33</v>
      </c>
      <c r="C101" s="59">
        <f t="shared" si="20"/>
        <v>87670.53899999999</v>
      </c>
      <c r="D101" s="59">
        <f>D103+D105</f>
        <v>58717.449000000001</v>
      </c>
      <c r="E101" s="59">
        <f t="shared" si="31"/>
        <v>18299</v>
      </c>
      <c r="F101" s="59">
        <f t="shared" si="31"/>
        <v>0</v>
      </c>
      <c r="G101" s="59">
        <f t="shared" si="31"/>
        <v>0</v>
      </c>
      <c r="H101" s="59">
        <f t="shared" si="31"/>
        <v>0</v>
      </c>
      <c r="I101" s="59">
        <f t="shared" si="31"/>
        <v>10654.089999999997</v>
      </c>
    </row>
    <row r="102" spans="1:10" s="51" customFormat="1" ht="25.5" customHeight="1" x14ac:dyDescent="0.35">
      <c r="A102" s="62" t="s">
        <v>49</v>
      </c>
      <c r="B102" s="47" t="s">
        <v>32</v>
      </c>
      <c r="C102" s="48">
        <f>D102+E102+F102+G102+H102+I102</f>
        <v>202</v>
      </c>
      <c r="D102" s="49">
        <f>D183</f>
        <v>172.7</v>
      </c>
      <c r="E102" s="49">
        <f t="shared" ref="E102:I103" si="32">E183</f>
        <v>24</v>
      </c>
      <c r="F102" s="49">
        <f t="shared" si="32"/>
        <v>0</v>
      </c>
      <c r="G102" s="49">
        <f t="shared" si="32"/>
        <v>0</v>
      </c>
      <c r="H102" s="49">
        <f t="shared" si="32"/>
        <v>0</v>
      </c>
      <c r="I102" s="49">
        <f t="shared" si="32"/>
        <v>5.3000000000000114</v>
      </c>
      <c r="J102" s="50"/>
    </row>
    <row r="103" spans="1:10" s="51" customFormat="1" ht="12.9" x14ac:dyDescent="0.35">
      <c r="A103" s="52"/>
      <c r="B103" s="53" t="s">
        <v>33</v>
      </c>
      <c r="C103" s="48">
        <f>D103+E103+F103+G103+H103+I103</f>
        <v>202</v>
      </c>
      <c r="D103" s="49">
        <f>D184</f>
        <v>172.7</v>
      </c>
      <c r="E103" s="49">
        <f t="shared" si="32"/>
        <v>24</v>
      </c>
      <c r="F103" s="49">
        <f t="shared" si="32"/>
        <v>0</v>
      </c>
      <c r="G103" s="49">
        <f t="shared" si="32"/>
        <v>0</v>
      </c>
      <c r="H103" s="49">
        <f t="shared" si="32"/>
        <v>0</v>
      </c>
      <c r="I103" s="49">
        <f t="shared" si="32"/>
        <v>5.3000000000000114</v>
      </c>
      <c r="J103" s="50"/>
    </row>
    <row r="104" spans="1:10" ht="12.9" x14ac:dyDescent="0.35">
      <c r="A104" s="54" t="s">
        <v>40</v>
      </c>
      <c r="B104" s="35" t="s">
        <v>32</v>
      </c>
      <c r="C104" s="59">
        <f t="shared" si="20"/>
        <v>87468.539000000004</v>
      </c>
      <c r="D104" s="49">
        <f t="shared" ref="D104:I107" si="33">D106</f>
        <v>58544.749000000003</v>
      </c>
      <c r="E104" s="49">
        <f t="shared" si="33"/>
        <v>18275</v>
      </c>
      <c r="F104" s="49">
        <f t="shared" si="33"/>
        <v>0</v>
      </c>
      <c r="G104" s="49">
        <f t="shared" si="33"/>
        <v>0</v>
      </c>
      <c r="H104" s="49">
        <f t="shared" si="33"/>
        <v>0</v>
      </c>
      <c r="I104" s="49">
        <f t="shared" si="33"/>
        <v>10648.789999999997</v>
      </c>
    </row>
    <row r="105" spans="1:10" ht="12.9" x14ac:dyDescent="0.35">
      <c r="A105" s="43"/>
      <c r="B105" s="38" t="s">
        <v>33</v>
      </c>
      <c r="C105" s="59">
        <f t="shared" si="20"/>
        <v>87468.539000000004</v>
      </c>
      <c r="D105" s="49">
        <f t="shared" si="33"/>
        <v>58544.749000000003</v>
      </c>
      <c r="E105" s="49">
        <f t="shared" si="33"/>
        <v>18275</v>
      </c>
      <c r="F105" s="49">
        <f t="shared" si="33"/>
        <v>0</v>
      </c>
      <c r="G105" s="49">
        <f t="shared" si="33"/>
        <v>0</v>
      </c>
      <c r="H105" s="49">
        <f t="shared" si="33"/>
        <v>0</v>
      </c>
      <c r="I105" s="49">
        <f t="shared" si="33"/>
        <v>10648.789999999997</v>
      </c>
    </row>
    <row r="106" spans="1:10" x14ac:dyDescent="0.3">
      <c r="A106" s="72" t="s">
        <v>60</v>
      </c>
      <c r="B106" s="74" t="s">
        <v>32</v>
      </c>
      <c r="C106" s="59">
        <f t="shared" si="20"/>
        <v>87468.539000000004</v>
      </c>
      <c r="D106" s="49">
        <f t="shared" si="33"/>
        <v>58544.749000000003</v>
      </c>
      <c r="E106" s="49">
        <f t="shared" si="33"/>
        <v>18275</v>
      </c>
      <c r="F106" s="49">
        <f t="shared" si="33"/>
        <v>0</v>
      </c>
      <c r="G106" s="49">
        <f t="shared" si="33"/>
        <v>0</v>
      </c>
      <c r="H106" s="49">
        <f t="shared" si="33"/>
        <v>0</v>
      </c>
      <c r="I106" s="49">
        <f t="shared" si="33"/>
        <v>10648.789999999997</v>
      </c>
    </row>
    <row r="107" spans="1:10" x14ac:dyDescent="0.3">
      <c r="A107" s="72"/>
      <c r="B107" s="74" t="s">
        <v>33</v>
      </c>
      <c r="C107" s="59">
        <f t="shared" si="20"/>
        <v>87468.539000000004</v>
      </c>
      <c r="D107" s="59">
        <f>D109</f>
        <v>58544.749000000003</v>
      </c>
      <c r="E107" s="59">
        <f t="shared" si="33"/>
        <v>18275</v>
      </c>
      <c r="F107" s="59">
        <f t="shared" si="33"/>
        <v>0</v>
      </c>
      <c r="G107" s="59">
        <f t="shared" si="33"/>
        <v>0</v>
      </c>
      <c r="H107" s="59">
        <f t="shared" si="33"/>
        <v>0</v>
      </c>
      <c r="I107" s="59">
        <f t="shared" si="33"/>
        <v>10648.789999999997</v>
      </c>
    </row>
    <row r="108" spans="1:10" x14ac:dyDescent="0.3">
      <c r="A108" s="58" t="s">
        <v>42</v>
      </c>
      <c r="B108" s="47" t="s">
        <v>32</v>
      </c>
      <c r="C108" s="59">
        <f t="shared" si="20"/>
        <v>87468.539000000004</v>
      </c>
      <c r="D108" s="59">
        <f>D193</f>
        <v>58544.749000000003</v>
      </c>
      <c r="E108" s="59">
        <f t="shared" ref="E108:I109" si="34">E193</f>
        <v>18275</v>
      </c>
      <c r="F108" s="59">
        <f t="shared" si="34"/>
        <v>0</v>
      </c>
      <c r="G108" s="59">
        <f t="shared" si="34"/>
        <v>0</v>
      </c>
      <c r="H108" s="59">
        <f t="shared" si="34"/>
        <v>0</v>
      </c>
      <c r="I108" s="59">
        <f t="shared" si="34"/>
        <v>10648.789999999997</v>
      </c>
    </row>
    <row r="109" spans="1:10" x14ac:dyDescent="0.3">
      <c r="A109" s="60"/>
      <c r="B109" s="53" t="s">
        <v>33</v>
      </c>
      <c r="C109" s="59">
        <f t="shared" si="20"/>
        <v>87468.539000000004</v>
      </c>
      <c r="D109" s="59">
        <f>D194</f>
        <v>58544.749000000003</v>
      </c>
      <c r="E109" s="59">
        <f t="shared" si="34"/>
        <v>18275</v>
      </c>
      <c r="F109" s="59">
        <f t="shared" si="34"/>
        <v>0</v>
      </c>
      <c r="G109" s="59">
        <f t="shared" si="34"/>
        <v>0</v>
      </c>
      <c r="H109" s="59">
        <f t="shared" si="34"/>
        <v>0</v>
      </c>
      <c r="I109" s="59">
        <f t="shared" si="34"/>
        <v>10648.789999999997</v>
      </c>
    </row>
    <row r="110" spans="1:10" x14ac:dyDescent="0.3">
      <c r="A110" s="1041" t="s">
        <v>62</v>
      </c>
      <c r="B110" s="1042"/>
      <c r="C110" s="1042"/>
      <c r="D110" s="1042"/>
      <c r="E110" s="1042"/>
      <c r="F110" s="1042"/>
      <c r="G110" s="1042"/>
      <c r="H110" s="1042"/>
      <c r="I110" s="1086"/>
    </row>
    <row r="111" spans="1:10" x14ac:dyDescent="0.3">
      <c r="A111" s="1010" t="s">
        <v>57</v>
      </c>
      <c r="B111" s="1011"/>
      <c r="C111" s="1011"/>
      <c r="D111" s="1011"/>
      <c r="E111" s="1011"/>
      <c r="F111" s="1011"/>
      <c r="G111" s="1011"/>
      <c r="H111" s="1011"/>
      <c r="I111" s="1012"/>
      <c r="J111" s="68"/>
    </row>
    <row r="112" spans="1:10" x14ac:dyDescent="0.3">
      <c r="A112" s="72" t="s">
        <v>48</v>
      </c>
      <c r="B112" s="74" t="s">
        <v>32</v>
      </c>
      <c r="C112" s="48">
        <f>D112+E112+F112+G112+H112+I112</f>
        <v>190743.693</v>
      </c>
      <c r="D112" s="49">
        <f t="shared" ref="D112:I113" si="35">D114+D154</f>
        <v>150691.693</v>
      </c>
      <c r="E112" s="49">
        <f t="shared" si="35"/>
        <v>35937</v>
      </c>
      <c r="F112" s="49">
        <f t="shared" si="35"/>
        <v>3926.95</v>
      </c>
      <c r="G112" s="49">
        <f t="shared" si="35"/>
        <v>0</v>
      </c>
      <c r="H112" s="49">
        <f t="shared" si="35"/>
        <v>0</v>
      </c>
      <c r="I112" s="49">
        <f t="shared" si="35"/>
        <v>188.05</v>
      </c>
      <c r="J112" s="68"/>
    </row>
    <row r="113" spans="1:15" x14ac:dyDescent="0.3">
      <c r="A113" s="88"/>
      <c r="B113" s="53" t="s">
        <v>33</v>
      </c>
      <c r="C113" s="48">
        <f t="shared" ref="C113:C149" si="36">D113+E113+F113+G113+H113+I113</f>
        <v>190743.693</v>
      </c>
      <c r="D113" s="49">
        <f t="shared" si="35"/>
        <v>150691.693</v>
      </c>
      <c r="E113" s="49">
        <f t="shared" si="35"/>
        <v>35937</v>
      </c>
      <c r="F113" s="49">
        <f t="shared" si="35"/>
        <v>3926.95</v>
      </c>
      <c r="G113" s="49">
        <f t="shared" si="35"/>
        <v>0</v>
      </c>
      <c r="H113" s="49">
        <f t="shared" si="35"/>
        <v>0</v>
      </c>
      <c r="I113" s="49">
        <f t="shared" si="35"/>
        <v>188.05</v>
      </c>
      <c r="J113" s="68"/>
    </row>
    <row r="114" spans="1:15" s="51" customFormat="1" x14ac:dyDescent="0.3">
      <c r="A114" s="89" t="s">
        <v>63</v>
      </c>
      <c r="B114" s="90" t="s">
        <v>32</v>
      </c>
      <c r="C114" s="48">
        <f t="shared" si="36"/>
        <v>137878.54300000001</v>
      </c>
      <c r="D114" s="49">
        <f>D116+D138+D142</f>
        <v>113880.693</v>
      </c>
      <c r="E114" s="49">
        <f t="shared" ref="E114:I115" si="37">E116+E138+E142</f>
        <v>19969</v>
      </c>
      <c r="F114" s="49">
        <f t="shared" si="37"/>
        <v>3926.95</v>
      </c>
      <c r="G114" s="49">
        <f t="shared" si="37"/>
        <v>0</v>
      </c>
      <c r="H114" s="49">
        <f t="shared" si="37"/>
        <v>0</v>
      </c>
      <c r="I114" s="49">
        <f t="shared" si="37"/>
        <v>101.9</v>
      </c>
      <c r="J114" s="50"/>
    </row>
    <row r="115" spans="1:15" s="51" customFormat="1" x14ac:dyDescent="0.3">
      <c r="A115" s="60" t="s">
        <v>48</v>
      </c>
      <c r="B115" s="90" t="s">
        <v>33</v>
      </c>
      <c r="C115" s="48">
        <f t="shared" si="36"/>
        <v>137878.54300000001</v>
      </c>
      <c r="D115" s="49">
        <f>D117+D139+D143</f>
        <v>113880.693</v>
      </c>
      <c r="E115" s="49">
        <f t="shared" si="37"/>
        <v>19969</v>
      </c>
      <c r="F115" s="49">
        <f t="shared" si="37"/>
        <v>3926.95</v>
      </c>
      <c r="G115" s="49">
        <f t="shared" si="37"/>
        <v>0</v>
      </c>
      <c r="H115" s="49">
        <f t="shared" si="37"/>
        <v>0</v>
      </c>
      <c r="I115" s="49">
        <f t="shared" si="37"/>
        <v>101.9</v>
      </c>
      <c r="J115" s="50"/>
    </row>
    <row r="116" spans="1:15" s="51" customFormat="1" ht="25.5" customHeight="1" x14ac:dyDescent="0.35">
      <c r="A116" s="62" t="s">
        <v>49</v>
      </c>
      <c r="B116" s="47" t="s">
        <v>32</v>
      </c>
      <c r="C116" s="48">
        <f t="shared" si="36"/>
        <v>127868</v>
      </c>
      <c r="D116" s="49">
        <f>D118+D120+D122+D124+D126+D128+D130+D132+D134+D136</f>
        <v>113297</v>
      </c>
      <c r="E116" s="49">
        <f t="shared" ref="E116:I117" si="38">E118+E120+E122+E124+E126+E128+E130+E132+E134+E136</f>
        <v>14571</v>
      </c>
      <c r="F116" s="49">
        <f t="shared" si="38"/>
        <v>0</v>
      </c>
      <c r="G116" s="49">
        <f t="shared" si="38"/>
        <v>0</v>
      </c>
      <c r="H116" s="49">
        <f t="shared" si="38"/>
        <v>0</v>
      </c>
      <c r="I116" s="49">
        <f t="shared" si="38"/>
        <v>0</v>
      </c>
      <c r="J116" s="50"/>
    </row>
    <row r="117" spans="1:15" s="51" customFormat="1" ht="12.9" x14ac:dyDescent="0.35">
      <c r="A117" s="52"/>
      <c r="B117" s="53" t="s">
        <v>33</v>
      </c>
      <c r="C117" s="48">
        <f t="shared" si="36"/>
        <v>127868</v>
      </c>
      <c r="D117" s="49">
        <f>D119+D121+D123+D125+D127+D129+D131+D133+D135+D137</f>
        <v>113297</v>
      </c>
      <c r="E117" s="49">
        <f t="shared" si="38"/>
        <v>14571</v>
      </c>
      <c r="F117" s="49">
        <f t="shared" si="38"/>
        <v>0</v>
      </c>
      <c r="G117" s="49">
        <f t="shared" si="38"/>
        <v>0</v>
      </c>
      <c r="H117" s="49">
        <f t="shared" si="38"/>
        <v>0</v>
      </c>
      <c r="I117" s="49">
        <f t="shared" si="38"/>
        <v>0</v>
      </c>
      <c r="J117" s="50"/>
    </row>
    <row r="118" spans="1:15" s="93" customFormat="1" ht="24.9" x14ac:dyDescent="0.3">
      <c r="A118" s="91" t="s">
        <v>64</v>
      </c>
      <c r="B118" s="92" t="s">
        <v>32</v>
      </c>
      <c r="C118" s="81">
        <f t="shared" si="36"/>
        <v>23570</v>
      </c>
      <c r="D118" s="81">
        <f>1+30+29+387+2056+13851</f>
        <v>16354</v>
      </c>
      <c r="E118" s="81">
        <v>7216</v>
      </c>
      <c r="F118" s="81">
        <v>0</v>
      </c>
      <c r="G118" s="81">
        <v>0</v>
      </c>
      <c r="H118" s="81">
        <v>0</v>
      </c>
      <c r="I118" s="81">
        <f t="shared" ref="I118" si="39">I119</f>
        <v>0</v>
      </c>
      <c r="J118" s="1148" t="s">
        <v>65</v>
      </c>
      <c r="K118" s="1067"/>
      <c r="L118" s="1067"/>
      <c r="M118" s="1067"/>
      <c r="N118" s="1067"/>
      <c r="O118" s="1067"/>
    </row>
    <row r="119" spans="1:15" s="96" customFormat="1" ht="12.9" x14ac:dyDescent="0.35">
      <c r="A119" s="94"/>
      <c r="B119" s="95" t="s">
        <v>33</v>
      </c>
      <c r="C119" s="81">
        <f t="shared" si="36"/>
        <v>23570</v>
      </c>
      <c r="D119" s="81">
        <f>1+30+29+387+2056+13851</f>
        <v>16354</v>
      </c>
      <c r="E119" s="81">
        <v>7216</v>
      </c>
      <c r="F119" s="81">
        <v>0</v>
      </c>
      <c r="G119" s="81">
        <v>0</v>
      </c>
      <c r="H119" s="81">
        <v>0</v>
      </c>
      <c r="I119" s="81">
        <v>0</v>
      </c>
      <c r="J119" s="1068"/>
      <c r="K119" s="1067"/>
      <c r="L119" s="1067"/>
      <c r="M119" s="1067"/>
      <c r="N119" s="1067"/>
      <c r="O119" s="1067"/>
    </row>
    <row r="120" spans="1:15" s="93" customFormat="1" ht="24.9" x14ac:dyDescent="0.3">
      <c r="A120" s="91" t="s">
        <v>66</v>
      </c>
      <c r="B120" s="92" t="s">
        <v>32</v>
      </c>
      <c r="C120" s="81">
        <f t="shared" si="36"/>
        <v>25372</v>
      </c>
      <c r="D120" s="97">
        <f>1+37+6150+7824+8829</f>
        <v>22841</v>
      </c>
      <c r="E120" s="97">
        <v>2531</v>
      </c>
      <c r="F120" s="97">
        <v>0</v>
      </c>
      <c r="G120" s="81">
        <v>0</v>
      </c>
      <c r="H120" s="81">
        <v>0</v>
      </c>
      <c r="I120" s="81">
        <f t="shared" ref="I120" si="40">I121</f>
        <v>0</v>
      </c>
      <c r="J120" s="1127" t="s">
        <v>67</v>
      </c>
      <c r="K120" s="1130"/>
      <c r="L120" s="1130"/>
      <c r="M120" s="1130"/>
      <c r="N120" s="1130"/>
      <c r="O120" s="1130"/>
    </row>
    <row r="121" spans="1:15" s="100" customFormat="1" ht="12.9" x14ac:dyDescent="0.35">
      <c r="A121" s="98"/>
      <c r="B121" s="99" t="s">
        <v>33</v>
      </c>
      <c r="C121" s="97">
        <f t="shared" si="36"/>
        <v>25372</v>
      </c>
      <c r="D121" s="97">
        <f>1+37+6150+7824+8829</f>
        <v>22841</v>
      </c>
      <c r="E121" s="97">
        <v>2531</v>
      </c>
      <c r="F121" s="97">
        <v>0</v>
      </c>
      <c r="G121" s="97">
        <v>0</v>
      </c>
      <c r="H121" s="97">
        <v>0</v>
      </c>
      <c r="I121" s="97">
        <v>0</v>
      </c>
      <c r="J121" s="1129"/>
      <c r="K121" s="1130"/>
      <c r="L121" s="1130"/>
      <c r="M121" s="1130"/>
      <c r="N121" s="1130"/>
      <c r="O121" s="1130"/>
    </row>
    <row r="122" spans="1:15" s="93" customFormat="1" x14ac:dyDescent="0.3">
      <c r="A122" s="91" t="s">
        <v>68</v>
      </c>
      <c r="B122" s="92" t="s">
        <v>32</v>
      </c>
      <c r="C122" s="81">
        <f t="shared" si="36"/>
        <v>10589</v>
      </c>
      <c r="D122" s="81">
        <f>1+8+19+4474+5087</f>
        <v>9589</v>
      </c>
      <c r="E122" s="81">
        <v>1000</v>
      </c>
      <c r="F122" s="81">
        <v>0</v>
      </c>
      <c r="G122" s="81">
        <v>0</v>
      </c>
      <c r="H122" s="81">
        <v>0</v>
      </c>
      <c r="I122" s="81">
        <v>0</v>
      </c>
    </row>
    <row r="123" spans="1:15" s="96" customFormat="1" ht="12.9" x14ac:dyDescent="0.35">
      <c r="A123" s="94"/>
      <c r="B123" s="95" t="s">
        <v>33</v>
      </c>
      <c r="C123" s="81">
        <f t="shared" si="36"/>
        <v>10589</v>
      </c>
      <c r="D123" s="81">
        <f>1+8+19+4474+5087</f>
        <v>9589</v>
      </c>
      <c r="E123" s="81">
        <v>1000</v>
      </c>
      <c r="F123" s="81">
        <v>0</v>
      </c>
      <c r="G123" s="81">
        <v>0</v>
      </c>
      <c r="H123" s="81">
        <v>0</v>
      </c>
      <c r="I123" s="81">
        <v>0</v>
      </c>
    </row>
    <row r="124" spans="1:15" s="104" customFormat="1" ht="26.25" customHeight="1" x14ac:dyDescent="0.3">
      <c r="A124" s="101" t="s">
        <v>69</v>
      </c>
      <c r="B124" s="102" t="s">
        <v>32</v>
      </c>
      <c r="C124" s="103">
        <f t="shared" si="36"/>
        <v>3412</v>
      </c>
      <c r="D124" s="103">
        <f>1+8+3403</f>
        <v>3412</v>
      </c>
      <c r="E124" s="103">
        <v>0</v>
      </c>
      <c r="F124" s="103">
        <v>0</v>
      </c>
      <c r="G124" s="103">
        <v>0</v>
      </c>
      <c r="H124" s="103">
        <v>0</v>
      </c>
      <c r="I124" s="103">
        <v>0</v>
      </c>
    </row>
    <row r="125" spans="1:15" s="100" customFormat="1" ht="15" customHeight="1" x14ac:dyDescent="0.35">
      <c r="A125" s="98"/>
      <c r="B125" s="99" t="s">
        <v>33</v>
      </c>
      <c r="C125" s="97">
        <f t="shared" si="36"/>
        <v>3412</v>
      </c>
      <c r="D125" s="97">
        <f>1+8+3403</f>
        <v>3412</v>
      </c>
      <c r="E125" s="97">
        <v>0</v>
      </c>
      <c r="F125" s="97">
        <v>0</v>
      </c>
      <c r="G125" s="97">
        <v>0</v>
      </c>
      <c r="H125" s="97">
        <v>0</v>
      </c>
      <c r="I125" s="97">
        <v>0</v>
      </c>
      <c r="J125" s="96"/>
    </row>
    <row r="126" spans="1:15" s="93" customFormat="1" ht="24.9" x14ac:dyDescent="0.3">
      <c r="A126" s="91" t="s">
        <v>70</v>
      </c>
      <c r="B126" s="92" t="s">
        <v>32</v>
      </c>
      <c r="C126" s="81">
        <f t="shared" si="36"/>
        <v>26004</v>
      </c>
      <c r="D126" s="81">
        <f>1+50+11337+14312+181</f>
        <v>25881</v>
      </c>
      <c r="E126" s="81">
        <v>123</v>
      </c>
      <c r="F126" s="81">
        <v>0</v>
      </c>
      <c r="G126" s="81">
        <v>0</v>
      </c>
      <c r="H126" s="81">
        <v>0</v>
      </c>
      <c r="I126" s="81">
        <v>0</v>
      </c>
      <c r="J126" s="1148" t="s">
        <v>71</v>
      </c>
      <c r="K126" s="1067"/>
      <c r="L126" s="1067"/>
      <c r="M126" s="1067"/>
      <c r="N126" s="1067"/>
    </row>
    <row r="127" spans="1:15" s="96" customFormat="1" ht="12.9" x14ac:dyDescent="0.35">
      <c r="A127" s="94"/>
      <c r="B127" s="95" t="s">
        <v>33</v>
      </c>
      <c r="C127" s="81">
        <f t="shared" si="36"/>
        <v>26004</v>
      </c>
      <c r="D127" s="81">
        <f>1+50+11337+14312+181</f>
        <v>25881</v>
      </c>
      <c r="E127" s="81">
        <v>123</v>
      </c>
      <c r="F127" s="81">
        <v>0</v>
      </c>
      <c r="G127" s="81">
        <v>0</v>
      </c>
      <c r="H127" s="81">
        <v>0</v>
      </c>
      <c r="I127" s="81">
        <v>0</v>
      </c>
      <c r="J127" s="1068"/>
      <c r="K127" s="1067"/>
      <c r="L127" s="1067"/>
      <c r="M127" s="1067"/>
      <c r="N127" s="1067"/>
    </row>
    <row r="128" spans="1:15" s="93" customFormat="1" ht="24.9" x14ac:dyDescent="0.3">
      <c r="A128" s="91" t="s">
        <v>72</v>
      </c>
      <c r="B128" s="92" t="s">
        <v>32</v>
      </c>
      <c r="C128" s="81">
        <f t="shared" si="36"/>
        <v>3460</v>
      </c>
      <c r="D128" s="81">
        <f>3+8+126+401+2899</f>
        <v>3437</v>
      </c>
      <c r="E128" s="81">
        <v>23</v>
      </c>
      <c r="F128" s="81">
        <v>0</v>
      </c>
      <c r="G128" s="81">
        <v>0</v>
      </c>
      <c r="H128" s="81">
        <v>0</v>
      </c>
      <c r="I128" s="81">
        <v>0</v>
      </c>
      <c r="J128" s="1148"/>
      <c r="K128" s="1067"/>
      <c r="L128" s="1067"/>
      <c r="M128" s="1067"/>
      <c r="N128" s="1067"/>
    </row>
    <row r="129" spans="1:16" s="96" customFormat="1" x14ac:dyDescent="0.3">
      <c r="A129" s="82"/>
      <c r="B129" s="95" t="s">
        <v>33</v>
      </c>
      <c r="C129" s="81">
        <f t="shared" si="36"/>
        <v>3460</v>
      </c>
      <c r="D129" s="81">
        <f>3+8+126+401+2899</f>
        <v>3437</v>
      </c>
      <c r="E129" s="81">
        <v>23</v>
      </c>
      <c r="F129" s="81">
        <v>0</v>
      </c>
      <c r="G129" s="81">
        <v>0</v>
      </c>
      <c r="H129" s="81">
        <v>0</v>
      </c>
      <c r="I129" s="81">
        <v>0</v>
      </c>
      <c r="J129" s="1068"/>
      <c r="K129" s="1067"/>
      <c r="L129" s="1067"/>
      <c r="M129" s="1067"/>
      <c r="N129" s="1067"/>
    </row>
    <row r="130" spans="1:16" s="105" customFormat="1" ht="24.9" x14ac:dyDescent="0.3">
      <c r="A130" s="91" t="s">
        <v>73</v>
      </c>
      <c r="B130" s="92" t="s">
        <v>32</v>
      </c>
      <c r="C130" s="81">
        <f t="shared" si="36"/>
        <v>7144</v>
      </c>
      <c r="D130" s="81">
        <f>2+13+579+5888</f>
        <v>6482</v>
      </c>
      <c r="E130" s="81">
        <v>662</v>
      </c>
      <c r="F130" s="81">
        <v>0</v>
      </c>
      <c r="G130" s="81">
        <f>2711-2711</f>
        <v>0</v>
      </c>
      <c r="H130" s="81">
        <v>0</v>
      </c>
      <c r="I130" s="81">
        <v>0</v>
      </c>
      <c r="J130" s="1022"/>
      <c r="K130" s="1067"/>
      <c r="L130" s="1067"/>
      <c r="M130" s="1067"/>
      <c r="N130" s="1067"/>
      <c r="O130" s="1067"/>
      <c r="P130" s="1067"/>
    </row>
    <row r="131" spans="1:16" s="78" customFormat="1" x14ac:dyDescent="0.3">
      <c r="A131" s="82"/>
      <c r="B131" s="95" t="s">
        <v>33</v>
      </c>
      <c r="C131" s="81">
        <f t="shared" si="36"/>
        <v>7144</v>
      </c>
      <c r="D131" s="81">
        <f>2+13+579+5888</f>
        <v>6482</v>
      </c>
      <c r="E131" s="81">
        <v>662</v>
      </c>
      <c r="F131" s="81">
        <v>0</v>
      </c>
      <c r="G131" s="81">
        <f>2711-2711</f>
        <v>0</v>
      </c>
      <c r="H131" s="81">
        <v>0</v>
      </c>
      <c r="I131" s="81">
        <v>0</v>
      </c>
      <c r="J131" s="1068"/>
      <c r="K131" s="1067"/>
      <c r="L131" s="1067"/>
      <c r="M131" s="1067"/>
      <c r="N131" s="1067"/>
      <c r="O131" s="1067"/>
      <c r="P131" s="1067"/>
    </row>
    <row r="132" spans="1:16" s="105" customFormat="1" ht="24.9" x14ac:dyDescent="0.3">
      <c r="A132" s="91" t="s">
        <v>74</v>
      </c>
      <c r="B132" s="92" t="s">
        <v>32</v>
      </c>
      <c r="C132" s="81">
        <f t="shared" si="36"/>
        <v>10235</v>
      </c>
      <c r="D132" s="49">
        <f>3+2+375+9655</f>
        <v>10035</v>
      </c>
      <c r="E132" s="49">
        <v>200</v>
      </c>
      <c r="F132" s="81">
        <v>0</v>
      </c>
      <c r="G132" s="81">
        <v>0</v>
      </c>
      <c r="H132" s="81">
        <v>0</v>
      </c>
      <c r="I132" s="81">
        <v>0</v>
      </c>
      <c r="J132" s="1022" t="s">
        <v>75</v>
      </c>
      <c r="K132" s="1133"/>
      <c r="L132" s="1133"/>
      <c r="M132" s="1133"/>
      <c r="N132" s="1133"/>
      <c r="O132" s="1133"/>
    </row>
    <row r="133" spans="1:16" s="42" customFormat="1" ht="12.9" x14ac:dyDescent="0.35">
      <c r="A133" s="106"/>
      <c r="B133" s="53" t="s">
        <v>33</v>
      </c>
      <c r="C133" s="49">
        <f t="shared" si="36"/>
        <v>10235</v>
      </c>
      <c r="D133" s="49">
        <f>3+2+375+9655</f>
        <v>10035</v>
      </c>
      <c r="E133" s="49">
        <v>200</v>
      </c>
      <c r="F133" s="49">
        <v>0</v>
      </c>
      <c r="G133" s="49">
        <v>0</v>
      </c>
      <c r="H133" s="49">
        <v>0</v>
      </c>
      <c r="I133" s="49">
        <v>0</v>
      </c>
      <c r="J133" s="1134"/>
      <c r="K133" s="1133"/>
      <c r="L133" s="1133"/>
      <c r="M133" s="1133"/>
      <c r="N133" s="1133"/>
      <c r="O133" s="1133"/>
    </row>
    <row r="134" spans="1:16" s="105" customFormat="1" ht="24.9" x14ac:dyDescent="0.3">
      <c r="A134" s="91" t="s">
        <v>76</v>
      </c>
      <c r="B134" s="92" t="s">
        <v>32</v>
      </c>
      <c r="C134" s="81">
        <f t="shared" si="36"/>
        <v>8932</v>
      </c>
      <c r="D134" s="81">
        <f>3+2+331+8067</f>
        <v>8403</v>
      </c>
      <c r="E134" s="81">
        <v>529</v>
      </c>
      <c r="F134" s="81">
        <v>0</v>
      </c>
      <c r="G134" s="81">
        <v>0</v>
      </c>
      <c r="H134" s="81">
        <v>0</v>
      </c>
      <c r="I134" s="81">
        <v>0</v>
      </c>
      <c r="J134" s="1022"/>
      <c r="K134" s="1067"/>
      <c r="L134" s="1067"/>
      <c r="M134" s="1067"/>
      <c r="N134" s="1067"/>
      <c r="O134" s="1067"/>
    </row>
    <row r="135" spans="1:16" s="78" customFormat="1" ht="12.9" x14ac:dyDescent="0.35">
      <c r="A135" s="107"/>
      <c r="B135" s="70" t="s">
        <v>33</v>
      </c>
      <c r="C135" s="108">
        <f t="shared" si="36"/>
        <v>8932</v>
      </c>
      <c r="D135" s="108">
        <f>3+2+331+8067</f>
        <v>8403</v>
      </c>
      <c r="E135" s="108">
        <v>529</v>
      </c>
      <c r="F135" s="108">
        <v>0</v>
      </c>
      <c r="G135" s="108">
        <v>0</v>
      </c>
      <c r="H135" s="108">
        <v>0</v>
      </c>
      <c r="I135" s="108">
        <v>0</v>
      </c>
      <c r="J135" s="1068"/>
      <c r="K135" s="1067"/>
      <c r="L135" s="1067"/>
      <c r="M135" s="1067"/>
      <c r="N135" s="1067"/>
      <c r="O135" s="1067"/>
    </row>
    <row r="136" spans="1:16" s="105" customFormat="1" ht="39" customHeight="1" x14ac:dyDescent="0.3">
      <c r="A136" s="109" t="s">
        <v>77</v>
      </c>
      <c r="B136" s="110" t="s">
        <v>32</v>
      </c>
      <c r="C136" s="108">
        <f>D136+E136+F136+G136+H136+I136</f>
        <v>9150</v>
      </c>
      <c r="D136" s="41">
        <f>3+6860</f>
        <v>6863</v>
      </c>
      <c r="E136" s="41">
        <v>2287</v>
      </c>
      <c r="F136" s="108">
        <v>0</v>
      </c>
      <c r="G136" s="108">
        <v>0</v>
      </c>
      <c r="H136" s="108">
        <v>0</v>
      </c>
      <c r="I136" s="108">
        <v>0</v>
      </c>
    </row>
    <row r="137" spans="1:16" s="65" customFormat="1" ht="12.9" x14ac:dyDescent="0.35">
      <c r="A137" s="111"/>
      <c r="B137" s="44" t="s">
        <v>33</v>
      </c>
      <c r="C137" s="41">
        <f>D137+E137+F137+G137+H137+I137</f>
        <v>9150</v>
      </c>
      <c r="D137" s="41">
        <f>3+6860</f>
        <v>6863</v>
      </c>
      <c r="E137" s="41">
        <v>2287</v>
      </c>
      <c r="F137" s="41">
        <v>0</v>
      </c>
      <c r="G137" s="41">
        <v>0</v>
      </c>
      <c r="H137" s="41">
        <v>0</v>
      </c>
      <c r="I137" s="41">
        <v>0</v>
      </c>
      <c r="J137" s="105"/>
    </row>
    <row r="138" spans="1:16" s="42" customFormat="1" ht="25.5" customHeight="1" x14ac:dyDescent="0.35">
      <c r="A138" s="46" t="s">
        <v>39</v>
      </c>
      <c r="B138" s="40" t="s">
        <v>32</v>
      </c>
      <c r="C138" s="41">
        <f t="shared" ref="C138:C141" si="41">D138+E138+F138+G138+H138+I138</f>
        <v>2358</v>
      </c>
      <c r="D138" s="41">
        <f>D140</f>
        <v>0</v>
      </c>
      <c r="E138" s="41">
        <f t="shared" ref="E138:I139" si="42">E140</f>
        <v>1572</v>
      </c>
      <c r="F138" s="41">
        <f t="shared" si="42"/>
        <v>786</v>
      </c>
      <c r="G138" s="41">
        <f t="shared" si="42"/>
        <v>0</v>
      </c>
      <c r="H138" s="41">
        <f t="shared" si="42"/>
        <v>0</v>
      </c>
      <c r="I138" s="41">
        <f t="shared" si="42"/>
        <v>0</v>
      </c>
      <c r="J138" s="78"/>
    </row>
    <row r="139" spans="1:16" s="42" customFormat="1" ht="12.9" x14ac:dyDescent="0.35">
      <c r="A139" s="43"/>
      <c r="B139" s="44" t="s">
        <v>33</v>
      </c>
      <c r="C139" s="41">
        <f t="shared" si="41"/>
        <v>2358</v>
      </c>
      <c r="D139" s="41">
        <f>D141</f>
        <v>0</v>
      </c>
      <c r="E139" s="41">
        <f t="shared" si="42"/>
        <v>1572</v>
      </c>
      <c r="F139" s="41">
        <f t="shared" si="42"/>
        <v>786</v>
      </c>
      <c r="G139" s="41">
        <f t="shared" si="42"/>
        <v>0</v>
      </c>
      <c r="H139" s="41">
        <f t="shared" si="42"/>
        <v>0</v>
      </c>
      <c r="I139" s="41">
        <f t="shared" si="42"/>
        <v>0</v>
      </c>
      <c r="J139" s="78"/>
    </row>
    <row r="140" spans="1:16" s="65" customFormat="1" ht="40.5" customHeight="1" x14ac:dyDescent="0.3">
      <c r="A140" s="112" t="s">
        <v>78</v>
      </c>
      <c r="B140" s="40" t="s">
        <v>32</v>
      </c>
      <c r="C140" s="41">
        <f t="shared" si="41"/>
        <v>2358</v>
      </c>
      <c r="D140" s="41">
        <v>0</v>
      </c>
      <c r="E140" s="41">
        <v>1572</v>
      </c>
      <c r="F140" s="41">
        <v>786</v>
      </c>
      <c r="G140" s="41">
        <v>0</v>
      </c>
      <c r="H140" s="41">
        <v>0</v>
      </c>
      <c r="I140" s="41">
        <v>0</v>
      </c>
      <c r="J140" s="1108" t="s">
        <v>79</v>
      </c>
      <c r="K140" s="1050"/>
      <c r="L140" s="1050"/>
      <c r="M140" s="1050"/>
      <c r="N140" s="1050"/>
      <c r="O140" s="1050"/>
    </row>
    <row r="141" spans="1:16" x14ac:dyDescent="0.3">
      <c r="A141" s="37"/>
      <c r="B141" s="53" t="s">
        <v>33</v>
      </c>
      <c r="C141" s="48">
        <f t="shared" si="41"/>
        <v>2358</v>
      </c>
      <c r="D141" s="49">
        <v>0</v>
      </c>
      <c r="E141" s="49">
        <v>1572</v>
      </c>
      <c r="F141" s="49">
        <v>786</v>
      </c>
      <c r="G141" s="49">
        <v>0</v>
      </c>
      <c r="H141" s="49">
        <v>0</v>
      </c>
      <c r="I141" s="49">
        <v>0</v>
      </c>
      <c r="J141" s="1051"/>
      <c r="K141" s="1050"/>
      <c r="L141" s="1050"/>
      <c r="M141" s="1050"/>
      <c r="N141" s="1050"/>
      <c r="O141" s="1050"/>
    </row>
    <row r="142" spans="1:16" s="65" customFormat="1" ht="12.9" x14ac:dyDescent="0.35">
      <c r="A142" s="54" t="s">
        <v>40</v>
      </c>
      <c r="B142" s="56" t="s">
        <v>32</v>
      </c>
      <c r="C142" s="41">
        <f t="shared" si="36"/>
        <v>7652.5429999999997</v>
      </c>
      <c r="D142" s="41">
        <f t="shared" ref="D142:I145" si="43">D144</f>
        <v>583.69299999999998</v>
      </c>
      <c r="E142" s="41">
        <f t="shared" si="43"/>
        <v>3826</v>
      </c>
      <c r="F142" s="41">
        <f t="shared" si="43"/>
        <v>3140.95</v>
      </c>
      <c r="G142" s="41">
        <f t="shared" si="43"/>
        <v>0</v>
      </c>
      <c r="H142" s="41">
        <f t="shared" si="43"/>
        <v>0</v>
      </c>
      <c r="I142" s="41">
        <f t="shared" si="43"/>
        <v>101.9</v>
      </c>
      <c r="J142" s="105"/>
    </row>
    <row r="143" spans="1:16" s="42" customFormat="1" ht="12.9" x14ac:dyDescent="0.35">
      <c r="A143" s="43"/>
      <c r="B143" s="38" t="s">
        <v>33</v>
      </c>
      <c r="C143" s="41">
        <f t="shared" si="36"/>
        <v>7652.5429999999997</v>
      </c>
      <c r="D143" s="41">
        <f t="shared" si="43"/>
        <v>583.69299999999998</v>
      </c>
      <c r="E143" s="41">
        <f t="shared" si="43"/>
        <v>3826</v>
      </c>
      <c r="F143" s="41">
        <f t="shared" si="43"/>
        <v>3140.95</v>
      </c>
      <c r="G143" s="41">
        <f t="shared" si="43"/>
        <v>0</v>
      </c>
      <c r="H143" s="41">
        <f t="shared" si="43"/>
        <v>0</v>
      </c>
      <c r="I143" s="41">
        <f t="shared" si="43"/>
        <v>101.9</v>
      </c>
      <c r="J143" s="78"/>
    </row>
    <row r="144" spans="1:16" s="65" customFormat="1" ht="12.9" x14ac:dyDescent="0.35">
      <c r="A144" s="54" t="s">
        <v>53</v>
      </c>
      <c r="B144" s="56" t="s">
        <v>32</v>
      </c>
      <c r="C144" s="41">
        <f t="shared" si="36"/>
        <v>7652.5429999999997</v>
      </c>
      <c r="D144" s="41">
        <f t="shared" si="43"/>
        <v>583.69299999999998</v>
      </c>
      <c r="E144" s="41">
        <f t="shared" si="43"/>
        <v>3826</v>
      </c>
      <c r="F144" s="41">
        <f t="shared" si="43"/>
        <v>3140.95</v>
      </c>
      <c r="G144" s="41">
        <f t="shared" si="43"/>
        <v>0</v>
      </c>
      <c r="H144" s="41">
        <f t="shared" si="43"/>
        <v>0</v>
      </c>
      <c r="I144" s="41">
        <f t="shared" si="43"/>
        <v>101.9</v>
      </c>
      <c r="J144" s="105"/>
    </row>
    <row r="145" spans="1:16" s="42" customFormat="1" x14ac:dyDescent="0.3">
      <c r="A145" s="37"/>
      <c r="B145" s="38" t="s">
        <v>33</v>
      </c>
      <c r="C145" s="41">
        <f t="shared" si="36"/>
        <v>7652.5429999999997</v>
      </c>
      <c r="D145" s="41">
        <f t="shared" si="43"/>
        <v>583.69299999999998</v>
      </c>
      <c r="E145" s="41">
        <f t="shared" si="43"/>
        <v>3826</v>
      </c>
      <c r="F145" s="41">
        <f t="shared" si="43"/>
        <v>3140.95</v>
      </c>
      <c r="G145" s="41">
        <f t="shared" si="43"/>
        <v>0</v>
      </c>
      <c r="H145" s="41">
        <f t="shared" si="43"/>
        <v>0</v>
      </c>
      <c r="I145" s="41">
        <f t="shared" si="43"/>
        <v>101.9</v>
      </c>
      <c r="J145" s="78"/>
    </row>
    <row r="146" spans="1:16" s="65" customFormat="1" x14ac:dyDescent="0.3">
      <c r="A146" s="113" t="s">
        <v>61</v>
      </c>
      <c r="B146" s="47" t="s">
        <v>32</v>
      </c>
      <c r="C146" s="41">
        <f t="shared" si="36"/>
        <v>7652.5429999999997</v>
      </c>
      <c r="D146" s="41">
        <f>D148+D150+D152</f>
        <v>583.69299999999998</v>
      </c>
      <c r="E146" s="41">
        <f t="shared" ref="E146:I147" si="44">E148+E150+E152</f>
        <v>3826</v>
      </c>
      <c r="F146" s="41">
        <f t="shared" si="44"/>
        <v>3140.95</v>
      </c>
      <c r="G146" s="41">
        <f t="shared" ref="G146:H146" si="45">G148+G150</f>
        <v>0</v>
      </c>
      <c r="H146" s="41">
        <f t="shared" si="45"/>
        <v>0</v>
      </c>
      <c r="I146" s="41">
        <f t="shared" si="44"/>
        <v>101.9</v>
      </c>
      <c r="J146" s="105"/>
    </row>
    <row r="147" spans="1:16" s="42" customFormat="1" x14ac:dyDescent="0.3">
      <c r="A147" s="37"/>
      <c r="B147" s="53" t="s">
        <v>33</v>
      </c>
      <c r="C147" s="41">
        <f t="shared" si="36"/>
        <v>7652.5429999999997</v>
      </c>
      <c r="D147" s="41">
        <f>D149+D151+D153</f>
        <v>583.69299999999998</v>
      </c>
      <c r="E147" s="41">
        <f t="shared" si="44"/>
        <v>3826</v>
      </c>
      <c r="F147" s="41">
        <f t="shared" si="44"/>
        <v>3140.95</v>
      </c>
      <c r="G147" s="41">
        <f t="shared" si="44"/>
        <v>0</v>
      </c>
      <c r="H147" s="41">
        <f t="shared" si="44"/>
        <v>0</v>
      </c>
      <c r="I147" s="41">
        <f t="shared" si="44"/>
        <v>101.9</v>
      </c>
      <c r="J147" s="78"/>
    </row>
    <row r="148" spans="1:16" s="105" customFormat="1" ht="74.599999999999994" x14ac:dyDescent="0.3">
      <c r="A148" s="114" t="s">
        <v>80</v>
      </c>
      <c r="B148" s="110" t="s">
        <v>32</v>
      </c>
      <c r="C148" s="108">
        <f t="shared" si="36"/>
        <v>376</v>
      </c>
      <c r="D148" s="108">
        <f>273+1.1</f>
        <v>274.10000000000002</v>
      </c>
      <c r="E148" s="108">
        <v>0</v>
      </c>
      <c r="F148" s="108">
        <v>0</v>
      </c>
      <c r="G148" s="108">
        <v>0</v>
      </c>
      <c r="H148" s="108">
        <v>0</v>
      </c>
      <c r="I148" s="108">
        <f>376-273-1.1</f>
        <v>101.9</v>
      </c>
    </row>
    <row r="149" spans="1:16" s="65" customFormat="1" ht="12.9" x14ac:dyDescent="0.35">
      <c r="A149" s="111"/>
      <c r="B149" s="44" t="s">
        <v>33</v>
      </c>
      <c r="C149" s="41">
        <f t="shared" si="36"/>
        <v>376</v>
      </c>
      <c r="D149" s="41">
        <f>273+1.1</f>
        <v>274.10000000000002</v>
      </c>
      <c r="E149" s="41">
        <v>0</v>
      </c>
      <c r="F149" s="41">
        <v>0</v>
      </c>
      <c r="G149" s="41">
        <v>0</v>
      </c>
      <c r="H149" s="41">
        <v>0</v>
      </c>
      <c r="I149" s="41">
        <f>376-273-1.1</f>
        <v>101.9</v>
      </c>
      <c r="J149" s="105"/>
    </row>
    <row r="150" spans="1:16" s="93" customFormat="1" ht="62.15" x14ac:dyDescent="0.3">
      <c r="A150" s="115" t="s">
        <v>81</v>
      </c>
      <c r="B150" s="92" t="s">
        <v>32</v>
      </c>
      <c r="C150" s="81">
        <f>D150+E150+F150+G150+H150+I150</f>
        <v>4344.5429999999997</v>
      </c>
      <c r="D150" s="49">
        <f>97.03+0.563</f>
        <v>97.593000000000004</v>
      </c>
      <c r="E150" s="49">
        <v>2149</v>
      </c>
      <c r="F150" s="49">
        <f>4344.54-97.59-2149</f>
        <v>2097.9499999999998</v>
      </c>
      <c r="G150" s="81">
        <v>0</v>
      </c>
      <c r="H150" s="81">
        <v>0</v>
      </c>
      <c r="I150" s="81">
        <v>0</v>
      </c>
      <c r="J150" s="1150" t="s">
        <v>82</v>
      </c>
      <c r="K150" s="1132"/>
      <c r="L150" s="1132"/>
      <c r="M150" s="1132"/>
      <c r="N150" s="1132"/>
      <c r="O150" s="1132"/>
      <c r="P150" s="1132"/>
    </row>
    <row r="151" spans="1:16" s="65" customFormat="1" ht="12.9" x14ac:dyDescent="0.35">
      <c r="A151" s="111"/>
      <c r="B151" s="44" t="s">
        <v>33</v>
      </c>
      <c r="C151" s="41">
        <f>D151+E151+F151+G151+H151+I151</f>
        <v>4344.5429999999997</v>
      </c>
      <c r="D151" s="41">
        <f>97.03+0.563</f>
        <v>97.593000000000004</v>
      </c>
      <c r="E151" s="41">
        <v>2149</v>
      </c>
      <c r="F151" s="41">
        <f>4344.54-97.59-2149</f>
        <v>2097.9499999999998</v>
      </c>
      <c r="G151" s="41">
        <v>0</v>
      </c>
      <c r="H151" s="41">
        <v>0</v>
      </c>
      <c r="I151" s="41">
        <v>0</v>
      </c>
      <c r="J151" s="1131"/>
      <c r="K151" s="1132"/>
      <c r="L151" s="1132"/>
      <c r="M151" s="1132"/>
      <c r="N151" s="1132"/>
      <c r="O151" s="1132"/>
      <c r="P151" s="1132"/>
    </row>
    <row r="152" spans="1:16" s="65" customFormat="1" ht="40.5" customHeight="1" x14ac:dyDescent="0.3">
      <c r="A152" s="116" t="s">
        <v>78</v>
      </c>
      <c r="B152" s="117" t="s">
        <v>32</v>
      </c>
      <c r="C152" s="118">
        <f t="shared" ref="C152:C153" si="46">D152+E152+F152+G152+H152+I152</f>
        <v>2932</v>
      </c>
      <c r="D152" s="118">
        <v>212</v>
      </c>
      <c r="E152" s="118">
        <v>1677</v>
      </c>
      <c r="F152" s="119">
        <v>1043</v>
      </c>
      <c r="G152" s="118">
        <v>0</v>
      </c>
      <c r="H152" s="118">
        <v>0</v>
      </c>
      <c r="I152" s="118">
        <v>0</v>
      </c>
      <c r="J152" s="1108" t="s">
        <v>83</v>
      </c>
      <c r="K152" s="1050"/>
      <c r="L152" s="1050"/>
      <c r="M152" s="1050"/>
      <c r="N152" s="1050"/>
      <c r="O152" s="1050"/>
    </row>
    <row r="153" spans="1:16" x14ac:dyDescent="0.3">
      <c r="A153" s="37"/>
      <c r="B153" s="53" t="s">
        <v>33</v>
      </c>
      <c r="C153" s="48">
        <f t="shared" si="46"/>
        <v>2932</v>
      </c>
      <c r="D153" s="49">
        <v>212</v>
      </c>
      <c r="E153" s="49">
        <v>1677</v>
      </c>
      <c r="F153" s="49">
        <v>1043</v>
      </c>
      <c r="G153" s="49">
        <v>0</v>
      </c>
      <c r="H153" s="49">
        <v>0</v>
      </c>
      <c r="I153" s="49">
        <v>0</v>
      </c>
      <c r="J153" s="1051"/>
      <c r="K153" s="1050"/>
      <c r="L153" s="1050"/>
      <c r="M153" s="1050"/>
      <c r="N153" s="1050"/>
      <c r="O153" s="1050"/>
    </row>
    <row r="154" spans="1:16" s="50" customFormat="1" x14ac:dyDescent="0.3">
      <c r="A154" s="79" t="s">
        <v>47</v>
      </c>
      <c r="B154" s="80" t="s">
        <v>32</v>
      </c>
      <c r="C154" s="67">
        <f>C156</f>
        <v>52865.15</v>
      </c>
      <c r="D154" s="81">
        <f>D156</f>
        <v>36811</v>
      </c>
      <c r="E154" s="81">
        <f t="shared" ref="E154:I155" si="47">E156</f>
        <v>15968</v>
      </c>
      <c r="F154" s="81">
        <f t="shared" si="47"/>
        <v>0</v>
      </c>
      <c r="G154" s="81">
        <f t="shared" si="47"/>
        <v>0</v>
      </c>
      <c r="H154" s="81">
        <f t="shared" si="47"/>
        <v>0</v>
      </c>
      <c r="I154" s="81">
        <f t="shared" si="47"/>
        <v>86.15</v>
      </c>
    </row>
    <row r="155" spans="1:16" s="50" customFormat="1" x14ac:dyDescent="0.3">
      <c r="A155" s="82" t="s">
        <v>48</v>
      </c>
      <c r="B155" s="80" t="s">
        <v>33</v>
      </c>
      <c r="C155" s="67">
        <f>C157</f>
        <v>52865.15</v>
      </c>
      <c r="D155" s="81">
        <f>D157</f>
        <v>36811</v>
      </c>
      <c r="E155" s="81">
        <f t="shared" si="47"/>
        <v>15968</v>
      </c>
      <c r="F155" s="81">
        <f t="shared" si="47"/>
        <v>0</v>
      </c>
      <c r="G155" s="81">
        <f t="shared" si="47"/>
        <v>0</v>
      </c>
      <c r="H155" s="81">
        <f t="shared" si="47"/>
        <v>0</v>
      </c>
      <c r="I155" s="81">
        <f t="shared" si="47"/>
        <v>86.15</v>
      </c>
    </row>
    <row r="156" spans="1:16" s="51" customFormat="1" ht="25.5" customHeight="1" x14ac:dyDescent="0.35">
      <c r="A156" s="62" t="s">
        <v>49</v>
      </c>
      <c r="B156" s="47" t="s">
        <v>32</v>
      </c>
      <c r="C156" s="48">
        <f t="shared" ref="C156:C175" si="48">D156+E156+F156+G156+H156+I156</f>
        <v>52865.15</v>
      </c>
      <c r="D156" s="49">
        <f>D158+D160+D162+D164+D166+D168+D170+D172+D174+D176</f>
        <v>36811</v>
      </c>
      <c r="E156" s="49">
        <f t="shared" ref="E156:I157" si="49">E158+E160+E162+E164+E166+E168+E170+E172+E174+E176</f>
        <v>15968</v>
      </c>
      <c r="F156" s="49">
        <f t="shared" si="49"/>
        <v>0</v>
      </c>
      <c r="G156" s="49">
        <f t="shared" si="49"/>
        <v>0</v>
      </c>
      <c r="H156" s="49">
        <f t="shared" si="49"/>
        <v>0</v>
      </c>
      <c r="I156" s="49">
        <f t="shared" si="49"/>
        <v>86.15</v>
      </c>
      <c r="J156" s="50"/>
    </row>
    <row r="157" spans="1:16" s="51" customFormat="1" ht="12.9" x14ac:dyDescent="0.35">
      <c r="A157" s="52"/>
      <c r="B157" s="53" t="s">
        <v>33</v>
      </c>
      <c r="C157" s="48">
        <f t="shared" si="48"/>
        <v>52865.15</v>
      </c>
      <c r="D157" s="49">
        <f>D159+D161+D163+D165+D167+D169+D171+D173+D175+D177</f>
        <v>36811</v>
      </c>
      <c r="E157" s="49">
        <f t="shared" si="49"/>
        <v>15968</v>
      </c>
      <c r="F157" s="49">
        <f t="shared" si="49"/>
        <v>0</v>
      </c>
      <c r="G157" s="49">
        <f t="shared" si="49"/>
        <v>0</v>
      </c>
      <c r="H157" s="49">
        <f t="shared" si="49"/>
        <v>0</v>
      </c>
      <c r="I157" s="49">
        <f t="shared" si="49"/>
        <v>86.15</v>
      </c>
      <c r="J157" s="50"/>
    </row>
    <row r="158" spans="1:16" s="93" customFormat="1" ht="24.9" x14ac:dyDescent="0.3">
      <c r="A158" s="91" t="s">
        <v>64</v>
      </c>
      <c r="B158" s="92" t="s">
        <v>32</v>
      </c>
      <c r="C158" s="81">
        <f t="shared" si="48"/>
        <v>3696</v>
      </c>
      <c r="D158" s="81">
        <f>42+267</f>
        <v>309</v>
      </c>
      <c r="E158" s="81">
        <v>3387</v>
      </c>
      <c r="F158" s="81">
        <v>0</v>
      </c>
      <c r="G158" s="81">
        <v>0</v>
      </c>
      <c r="H158" s="81">
        <v>0</v>
      </c>
      <c r="I158" s="81">
        <v>0</v>
      </c>
    </row>
    <row r="159" spans="1:16" s="96" customFormat="1" ht="12.9" x14ac:dyDescent="0.35">
      <c r="A159" s="94"/>
      <c r="B159" s="95" t="s">
        <v>33</v>
      </c>
      <c r="C159" s="81">
        <f t="shared" si="48"/>
        <v>3696</v>
      </c>
      <c r="D159" s="81">
        <f>42+267</f>
        <v>309</v>
      </c>
      <c r="E159" s="81">
        <v>3387</v>
      </c>
      <c r="F159" s="81">
        <v>0</v>
      </c>
      <c r="G159" s="81">
        <v>0</v>
      </c>
      <c r="H159" s="81">
        <v>0</v>
      </c>
      <c r="I159" s="81">
        <v>0</v>
      </c>
    </row>
    <row r="160" spans="1:16" s="93" customFormat="1" ht="24.9" x14ac:dyDescent="0.3">
      <c r="A160" s="91" t="s">
        <v>66</v>
      </c>
      <c r="B160" s="92" t="s">
        <v>32</v>
      </c>
      <c r="C160" s="81">
        <f t="shared" si="48"/>
        <v>3346</v>
      </c>
      <c r="D160" s="81">
        <f>205+183</f>
        <v>388</v>
      </c>
      <c r="E160" s="81">
        <v>2958</v>
      </c>
      <c r="F160" s="81">
        <v>0</v>
      </c>
      <c r="G160" s="81">
        <v>0</v>
      </c>
      <c r="H160" s="81">
        <v>0</v>
      </c>
      <c r="I160" s="81">
        <v>0</v>
      </c>
    </row>
    <row r="161" spans="1:14" s="96" customFormat="1" ht="12.9" x14ac:dyDescent="0.35">
      <c r="A161" s="94"/>
      <c r="B161" s="95" t="s">
        <v>33</v>
      </c>
      <c r="C161" s="81">
        <f t="shared" si="48"/>
        <v>3346</v>
      </c>
      <c r="D161" s="81">
        <f>205+183</f>
        <v>388</v>
      </c>
      <c r="E161" s="81">
        <v>2958</v>
      </c>
      <c r="F161" s="81">
        <v>0</v>
      </c>
      <c r="G161" s="81">
        <v>0</v>
      </c>
      <c r="H161" s="81">
        <v>0</v>
      </c>
      <c r="I161" s="81">
        <v>0</v>
      </c>
    </row>
    <row r="162" spans="1:14" s="93" customFormat="1" x14ac:dyDescent="0.3">
      <c r="A162" s="91" t="s">
        <v>68</v>
      </c>
      <c r="B162" s="92" t="s">
        <v>32</v>
      </c>
      <c r="C162" s="81">
        <f t="shared" si="48"/>
        <v>11241</v>
      </c>
      <c r="D162" s="81">
        <f>525+4291+2726</f>
        <v>7542</v>
      </c>
      <c r="E162" s="81">
        <v>3699</v>
      </c>
      <c r="F162" s="81">
        <v>0</v>
      </c>
      <c r="G162" s="81">
        <v>0</v>
      </c>
      <c r="H162" s="81">
        <v>0</v>
      </c>
      <c r="I162" s="81">
        <v>0</v>
      </c>
    </row>
    <row r="163" spans="1:14" s="96" customFormat="1" ht="12.9" x14ac:dyDescent="0.35">
      <c r="A163" s="94"/>
      <c r="B163" s="95" t="s">
        <v>33</v>
      </c>
      <c r="C163" s="81">
        <f t="shared" si="48"/>
        <v>11241</v>
      </c>
      <c r="D163" s="81">
        <f>525+4291+2726</f>
        <v>7542</v>
      </c>
      <c r="E163" s="81">
        <v>3699</v>
      </c>
      <c r="F163" s="81">
        <v>0</v>
      </c>
      <c r="G163" s="81">
        <v>0</v>
      </c>
      <c r="H163" s="81">
        <v>0</v>
      </c>
      <c r="I163" s="81">
        <v>0</v>
      </c>
    </row>
    <row r="164" spans="1:14" s="93" customFormat="1" ht="26.25" customHeight="1" x14ac:dyDescent="0.3">
      <c r="A164" s="91" t="s">
        <v>69</v>
      </c>
      <c r="B164" s="92" t="s">
        <v>32</v>
      </c>
      <c r="C164" s="81">
        <f t="shared" si="48"/>
        <v>81.150000000000006</v>
      </c>
      <c r="D164" s="81">
        <v>81</v>
      </c>
      <c r="E164" s="81">
        <v>0</v>
      </c>
      <c r="F164" s="81">
        <v>0</v>
      </c>
      <c r="G164" s="81">
        <v>0</v>
      </c>
      <c r="H164" s="81">
        <v>0</v>
      </c>
      <c r="I164" s="81">
        <v>0.15</v>
      </c>
      <c r="J164" s="1148"/>
      <c r="K164" s="1067"/>
      <c r="L164" s="1067"/>
      <c r="M164" s="1067"/>
      <c r="N164" s="1067"/>
    </row>
    <row r="165" spans="1:14" s="96" customFormat="1" ht="15" customHeight="1" x14ac:dyDescent="0.35">
      <c r="A165" s="94"/>
      <c r="B165" s="95" t="s">
        <v>33</v>
      </c>
      <c r="C165" s="81">
        <f t="shared" si="48"/>
        <v>81.150000000000006</v>
      </c>
      <c r="D165" s="81">
        <v>81</v>
      </c>
      <c r="E165" s="81">
        <v>0</v>
      </c>
      <c r="F165" s="81">
        <v>0</v>
      </c>
      <c r="G165" s="81">
        <v>0</v>
      </c>
      <c r="H165" s="81">
        <v>0</v>
      </c>
      <c r="I165" s="81">
        <v>0.15</v>
      </c>
      <c r="J165" s="1068"/>
      <c r="K165" s="1067"/>
      <c r="L165" s="1067"/>
      <c r="M165" s="1067"/>
      <c r="N165" s="1067"/>
    </row>
    <row r="166" spans="1:14" s="93" customFormat="1" ht="24.9" x14ac:dyDescent="0.3">
      <c r="A166" s="91" t="s">
        <v>70</v>
      </c>
      <c r="B166" s="92" t="s">
        <v>32</v>
      </c>
      <c r="C166" s="81">
        <f t="shared" si="48"/>
        <v>14299</v>
      </c>
      <c r="D166" s="81">
        <f>4486+9813</f>
        <v>14299</v>
      </c>
      <c r="E166" s="81">
        <v>0</v>
      </c>
      <c r="F166" s="81">
        <v>0</v>
      </c>
      <c r="G166" s="81">
        <v>0</v>
      </c>
      <c r="H166" s="81">
        <v>0</v>
      </c>
      <c r="I166" s="81">
        <v>0</v>
      </c>
      <c r="J166" s="1148" t="s">
        <v>84</v>
      </c>
      <c r="K166" s="1067"/>
      <c r="L166" s="1067"/>
      <c r="M166" s="1067"/>
      <c r="N166" s="1067"/>
    </row>
    <row r="167" spans="1:14" s="96" customFormat="1" ht="12.9" x14ac:dyDescent="0.35">
      <c r="A167" s="94"/>
      <c r="B167" s="95" t="s">
        <v>33</v>
      </c>
      <c r="C167" s="81">
        <f t="shared" si="48"/>
        <v>14299</v>
      </c>
      <c r="D167" s="81">
        <f>4486+9813</f>
        <v>14299</v>
      </c>
      <c r="E167" s="81">
        <v>0</v>
      </c>
      <c r="F167" s="81">
        <v>0</v>
      </c>
      <c r="G167" s="81">
        <v>0</v>
      </c>
      <c r="H167" s="81">
        <v>0</v>
      </c>
      <c r="I167" s="81">
        <v>0</v>
      </c>
      <c r="J167" s="1068"/>
      <c r="K167" s="1067"/>
      <c r="L167" s="1067"/>
      <c r="M167" s="1067"/>
      <c r="N167" s="1067"/>
    </row>
    <row r="168" spans="1:14" s="93" customFormat="1" ht="24.9" x14ac:dyDescent="0.3">
      <c r="A168" s="91" t="s">
        <v>72</v>
      </c>
      <c r="B168" s="92" t="s">
        <v>32</v>
      </c>
      <c r="C168" s="81">
        <f t="shared" si="48"/>
        <v>209</v>
      </c>
      <c r="D168" s="81">
        <v>155</v>
      </c>
      <c r="E168" s="81">
        <v>0</v>
      </c>
      <c r="F168" s="81">
        <v>0</v>
      </c>
      <c r="G168" s="81">
        <v>0</v>
      </c>
      <c r="H168" s="81">
        <v>0</v>
      </c>
      <c r="I168" s="81">
        <f>209-155</f>
        <v>54</v>
      </c>
    </row>
    <row r="169" spans="1:14" s="96" customFormat="1" x14ac:dyDescent="0.3">
      <c r="A169" s="82"/>
      <c r="B169" s="95" t="s">
        <v>33</v>
      </c>
      <c r="C169" s="81">
        <f t="shared" si="48"/>
        <v>209</v>
      </c>
      <c r="D169" s="81">
        <v>155</v>
      </c>
      <c r="E169" s="81">
        <v>0</v>
      </c>
      <c r="F169" s="81">
        <v>0</v>
      </c>
      <c r="G169" s="81">
        <v>0</v>
      </c>
      <c r="H169" s="81">
        <v>0</v>
      </c>
      <c r="I169" s="81">
        <f>209-155</f>
        <v>54</v>
      </c>
    </row>
    <row r="170" spans="1:14" s="105" customFormat="1" ht="24.9" x14ac:dyDescent="0.3">
      <c r="A170" s="114" t="s">
        <v>73</v>
      </c>
      <c r="B170" s="110" t="s">
        <v>32</v>
      </c>
      <c r="C170" s="108">
        <f t="shared" si="48"/>
        <v>8838</v>
      </c>
      <c r="D170" s="108">
        <f>21+5803</f>
        <v>5824</v>
      </c>
      <c r="E170" s="108">
        <v>3014</v>
      </c>
      <c r="F170" s="108">
        <v>0</v>
      </c>
      <c r="G170" s="108">
        <v>0</v>
      </c>
      <c r="H170" s="108">
        <v>0</v>
      </c>
      <c r="I170" s="108">
        <v>0</v>
      </c>
      <c r="J170" s="1022"/>
      <c r="K170" s="1067"/>
      <c r="L170" s="1067"/>
      <c r="M170" s="1067"/>
      <c r="N170" s="1067"/>
    </row>
    <row r="171" spans="1:14" s="78" customFormat="1" x14ac:dyDescent="0.3">
      <c r="A171" s="120"/>
      <c r="B171" s="70" t="s">
        <v>33</v>
      </c>
      <c r="C171" s="108">
        <f t="shared" si="48"/>
        <v>8838</v>
      </c>
      <c r="D171" s="108">
        <f>21+5803</f>
        <v>5824</v>
      </c>
      <c r="E171" s="108">
        <v>3014</v>
      </c>
      <c r="F171" s="108">
        <v>0</v>
      </c>
      <c r="G171" s="108">
        <v>0</v>
      </c>
      <c r="H171" s="108">
        <v>0</v>
      </c>
      <c r="I171" s="108">
        <v>0</v>
      </c>
      <c r="J171" s="1068"/>
      <c r="K171" s="1067"/>
      <c r="L171" s="1067"/>
      <c r="M171" s="1067"/>
      <c r="N171" s="1067"/>
    </row>
    <row r="172" spans="1:14" s="105" customFormat="1" ht="24.9" x14ac:dyDescent="0.3">
      <c r="A172" s="114" t="s">
        <v>74</v>
      </c>
      <c r="B172" s="110" t="s">
        <v>32</v>
      </c>
      <c r="C172" s="108">
        <f t="shared" si="48"/>
        <v>5312</v>
      </c>
      <c r="D172" s="108">
        <f>6+4909</f>
        <v>4915</v>
      </c>
      <c r="E172" s="108">
        <v>397</v>
      </c>
      <c r="F172" s="108">
        <v>0</v>
      </c>
      <c r="G172" s="108">
        <v>0</v>
      </c>
      <c r="H172" s="108">
        <v>0</v>
      </c>
      <c r="I172" s="108">
        <v>0</v>
      </c>
      <c r="J172" s="1022"/>
      <c r="K172" s="1067"/>
      <c r="L172" s="1067"/>
      <c r="M172" s="1067"/>
      <c r="N172" s="1067"/>
    </row>
    <row r="173" spans="1:14" s="78" customFormat="1" ht="12.9" x14ac:dyDescent="0.35">
      <c r="A173" s="107"/>
      <c r="B173" s="70" t="s">
        <v>33</v>
      </c>
      <c r="C173" s="108">
        <f t="shared" si="48"/>
        <v>5312</v>
      </c>
      <c r="D173" s="108">
        <f>6+4909</f>
        <v>4915</v>
      </c>
      <c r="E173" s="108">
        <v>397</v>
      </c>
      <c r="F173" s="108">
        <v>0</v>
      </c>
      <c r="G173" s="108">
        <v>0</v>
      </c>
      <c r="H173" s="108">
        <v>0</v>
      </c>
      <c r="I173" s="108">
        <v>0</v>
      </c>
      <c r="J173" s="1068"/>
      <c r="K173" s="1067"/>
      <c r="L173" s="1067"/>
      <c r="M173" s="1067"/>
      <c r="N173" s="1067"/>
    </row>
    <row r="174" spans="1:14" s="105" customFormat="1" ht="24.9" x14ac:dyDescent="0.3">
      <c r="A174" s="114" t="s">
        <v>76</v>
      </c>
      <c r="B174" s="110" t="s">
        <v>32</v>
      </c>
      <c r="C174" s="108">
        <f t="shared" si="48"/>
        <v>5552</v>
      </c>
      <c r="D174" s="108">
        <f>16+3023</f>
        <v>3039</v>
      </c>
      <c r="E174" s="108">
        <v>2513</v>
      </c>
      <c r="F174" s="108">
        <v>0</v>
      </c>
      <c r="G174" s="108">
        <v>0</v>
      </c>
      <c r="H174" s="108">
        <v>0</v>
      </c>
      <c r="I174" s="108">
        <v>0</v>
      </c>
      <c r="J174" s="1022"/>
      <c r="K174" s="1067"/>
      <c r="L174" s="1067"/>
      <c r="M174" s="1067"/>
      <c r="N174" s="1067"/>
    </row>
    <row r="175" spans="1:14" s="78" customFormat="1" ht="12.9" x14ac:dyDescent="0.35">
      <c r="A175" s="107"/>
      <c r="B175" s="70" t="s">
        <v>33</v>
      </c>
      <c r="C175" s="108">
        <f t="shared" si="48"/>
        <v>5552</v>
      </c>
      <c r="D175" s="108">
        <f>16+3023</f>
        <v>3039</v>
      </c>
      <c r="E175" s="108">
        <v>2513</v>
      </c>
      <c r="F175" s="108">
        <v>0</v>
      </c>
      <c r="G175" s="108">
        <v>0</v>
      </c>
      <c r="H175" s="108">
        <v>0</v>
      </c>
      <c r="I175" s="108">
        <v>0</v>
      </c>
      <c r="J175" s="1068"/>
      <c r="K175" s="1067"/>
      <c r="L175" s="1067"/>
      <c r="M175" s="1067"/>
      <c r="N175" s="1067"/>
    </row>
    <row r="176" spans="1:14" s="105" customFormat="1" ht="42" customHeight="1" x14ac:dyDescent="0.3">
      <c r="A176" s="109" t="s">
        <v>85</v>
      </c>
      <c r="B176" s="66" t="s">
        <v>32</v>
      </c>
      <c r="C176" s="108">
        <f>D176+E176+F176+G176+H176+I176</f>
        <v>291</v>
      </c>
      <c r="D176" s="108">
        <v>259</v>
      </c>
      <c r="E176" s="108">
        <v>0</v>
      </c>
      <c r="F176" s="108">
        <v>0</v>
      </c>
      <c r="G176" s="108">
        <v>0</v>
      </c>
      <c r="H176" s="108">
        <v>0</v>
      </c>
      <c r="I176" s="108">
        <f>291-259</f>
        <v>32</v>
      </c>
    </row>
    <row r="177" spans="1:15" s="78" customFormat="1" ht="15.75" customHeight="1" x14ac:dyDescent="0.3">
      <c r="A177" s="121"/>
      <c r="B177" s="70" t="s">
        <v>33</v>
      </c>
      <c r="C177" s="108">
        <f>D177+E177+F177+G177+H177+I177</f>
        <v>291</v>
      </c>
      <c r="D177" s="108">
        <v>259</v>
      </c>
      <c r="E177" s="108">
        <v>0</v>
      </c>
      <c r="F177" s="108">
        <v>0</v>
      </c>
      <c r="G177" s="108">
        <v>0</v>
      </c>
      <c r="H177" s="108">
        <v>0</v>
      </c>
      <c r="I177" s="108">
        <f>291-259</f>
        <v>32</v>
      </c>
    </row>
    <row r="178" spans="1:15" ht="12.75" customHeight="1" x14ac:dyDescent="0.3">
      <c r="A178" s="1062" t="s">
        <v>86</v>
      </c>
      <c r="B178" s="1064"/>
      <c r="C178" s="1064"/>
      <c r="D178" s="1064"/>
      <c r="E178" s="1064"/>
      <c r="F178" s="1064"/>
      <c r="G178" s="1064"/>
      <c r="H178" s="1064"/>
      <c r="I178" s="1065"/>
      <c r="J178" s="68"/>
    </row>
    <row r="179" spans="1:15" ht="12.75" customHeight="1" x14ac:dyDescent="0.3">
      <c r="A179" s="71" t="s">
        <v>57</v>
      </c>
      <c r="B179" s="56" t="s">
        <v>32</v>
      </c>
      <c r="C179" s="122">
        <f t="shared" ref="C179:C202" si="50">D179+E179+F179+G179+H179+I179</f>
        <v>87670.53899999999</v>
      </c>
      <c r="D179" s="48">
        <f t="shared" ref="D179:I192" si="51">D181</f>
        <v>58717.449000000001</v>
      </c>
      <c r="E179" s="48">
        <f t="shared" si="51"/>
        <v>18299</v>
      </c>
      <c r="F179" s="48">
        <f t="shared" si="51"/>
        <v>0</v>
      </c>
      <c r="G179" s="48">
        <f t="shared" si="51"/>
        <v>0</v>
      </c>
      <c r="H179" s="48">
        <f t="shared" si="51"/>
        <v>0</v>
      </c>
      <c r="I179" s="48">
        <f t="shared" si="51"/>
        <v>10654.089999999997</v>
      </c>
    </row>
    <row r="180" spans="1:15" ht="12.75" customHeight="1" x14ac:dyDescent="0.3">
      <c r="A180" s="60" t="s">
        <v>87</v>
      </c>
      <c r="B180" s="38" t="s">
        <v>33</v>
      </c>
      <c r="C180" s="122">
        <f t="shared" si="50"/>
        <v>87670.53899999999</v>
      </c>
      <c r="D180" s="48">
        <f t="shared" si="51"/>
        <v>58717.449000000001</v>
      </c>
      <c r="E180" s="48">
        <f t="shared" si="51"/>
        <v>18299</v>
      </c>
      <c r="F180" s="48">
        <f t="shared" si="51"/>
        <v>0</v>
      </c>
      <c r="G180" s="48">
        <f t="shared" si="51"/>
        <v>0</v>
      </c>
      <c r="H180" s="48">
        <f t="shared" si="51"/>
        <v>0</v>
      </c>
      <c r="I180" s="48">
        <f t="shared" si="51"/>
        <v>10654.089999999997</v>
      </c>
    </row>
    <row r="181" spans="1:15" s="14" customFormat="1" ht="12.75" customHeight="1" x14ac:dyDescent="0.3">
      <c r="A181" s="61" t="s">
        <v>88</v>
      </c>
      <c r="B181" s="12" t="s">
        <v>32</v>
      </c>
      <c r="C181" s="122">
        <f t="shared" si="50"/>
        <v>87670.53899999999</v>
      </c>
      <c r="D181" s="36">
        <f>D183+D189</f>
        <v>58717.449000000001</v>
      </c>
      <c r="E181" s="36">
        <f t="shared" ref="E181:I182" si="52">E183+E189</f>
        <v>18299</v>
      </c>
      <c r="F181" s="36">
        <f t="shared" si="52"/>
        <v>0</v>
      </c>
      <c r="G181" s="36">
        <f t="shared" si="52"/>
        <v>0</v>
      </c>
      <c r="H181" s="36">
        <f t="shared" si="52"/>
        <v>0</v>
      </c>
      <c r="I181" s="36">
        <f t="shared" si="52"/>
        <v>10654.089999999997</v>
      </c>
    </row>
    <row r="182" spans="1:15" s="14" customFormat="1" ht="12.75" customHeight="1" x14ac:dyDescent="0.3">
      <c r="A182" s="19" t="s">
        <v>89</v>
      </c>
      <c r="B182" s="23" t="s">
        <v>33</v>
      </c>
      <c r="C182" s="122">
        <f t="shared" si="50"/>
        <v>87670.53899999999</v>
      </c>
      <c r="D182" s="36">
        <f>D184+D190</f>
        <v>58717.449000000001</v>
      </c>
      <c r="E182" s="36">
        <f t="shared" si="52"/>
        <v>18299</v>
      </c>
      <c r="F182" s="36">
        <f t="shared" si="52"/>
        <v>0</v>
      </c>
      <c r="G182" s="36">
        <f t="shared" si="52"/>
        <v>0</v>
      </c>
      <c r="H182" s="36">
        <f t="shared" si="52"/>
        <v>0</v>
      </c>
      <c r="I182" s="36">
        <f t="shared" si="52"/>
        <v>10654.089999999997</v>
      </c>
    </row>
    <row r="183" spans="1:15" s="51" customFormat="1" ht="25.5" customHeight="1" x14ac:dyDescent="0.35">
      <c r="A183" s="62" t="s">
        <v>49</v>
      </c>
      <c r="B183" s="47" t="s">
        <v>32</v>
      </c>
      <c r="C183" s="48">
        <f t="shared" si="50"/>
        <v>202</v>
      </c>
      <c r="D183" s="49">
        <f>D185</f>
        <v>172.7</v>
      </c>
      <c r="E183" s="49">
        <f t="shared" ref="E183:I186" si="53">E185</f>
        <v>24</v>
      </c>
      <c r="F183" s="49">
        <f t="shared" si="53"/>
        <v>0</v>
      </c>
      <c r="G183" s="49">
        <f t="shared" si="53"/>
        <v>0</v>
      </c>
      <c r="H183" s="49">
        <f t="shared" si="53"/>
        <v>0</v>
      </c>
      <c r="I183" s="49">
        <f t="shared" si="53"/>
        <v>5.3000000000000114</v>
      </c>
      <c r="J183" s="50"/>
    </row>
    <row r="184" spans="1:15" s="51" customFormat="1" ht="12.9" x14ac:dyDescent="0.35">
      <c r="A184" s="52"/>
      <c r="B184" s="53" t="s">
        <v>33</v>
      </c>
      <c r="C184" s="48">
        <f t="shared" si="50"/>
        <v>202</v>
      </c>
      <c r="D184" s="49">
        <f>D186</f>
        <v>172.7</v>
      </c>
      <c r="E184" s="49">
        <f t="shared" si="53"/>
        <v>24</v>
      </c>
      <c r="F184" s="49">
        <f t="shared" si="53"/>
        <v>0</v>
      </c>
      <c r="G184" s="49">
        <f t="shared" si="53"/>
        <v>0</v>
      </c>
      <c r="H184" s="49">
        <f t="shared" si="53"/>
        <v>0</v>
      </c>
      <c r="I184" s="49">
        <f t="shared" si="53"/>
        <v>5.3000000000000114</v>
      </c>
      <c r="J184" s="50"/>
    </row>
    <row r="185" spans="1:15" s="126" customFormat="1" ht="14.15" x14ac:dyDescent="0.35">
      <c r="A185" s="123" t="s">
        <v>90</v>
      </c>
      <c r="B185" s="124" t="s">
        <v>32</v>
      </c>
      <c r="C185" s="122">
        <f t="shared" si="50"/>
        <v>202</v>
      </c>
      <c r="D185" s="122">
        <f>D187</f>
        <v>172.7</v>
      </c>
      <c r="E185" s="122">
        <f t="shared" si="53"/>
        <v>24</v>
      </c>
      <c r="F185" s="122">
        <f t="shared" si="53"/>
        <v>0</v>
      </c>
      <c r="G185" s="122">
        <f t="shared" si="53"/>
        <v>0</v>
      </c>
      <c r="H185" s="122">
        <f t="shared" si="53"/>
        <v>0</v>
      </c>
      <c r="I185" s="122">
        <f t="shared" si="53"/>
        <v>5.3000000000000114</v>
      </c>
      <c r="J185" s="125"/>
    </row>
    <row r="186" spans="1:15" s="126" customFormat="1" x14ac:dyDescent="0.3">
      <c r="A186" s="127"/>
      <c r="B186" s="128" t="s">
        <v>33</v>
      </c>
      <c r="C186" s="122">
        <f t="shared" si="50"/>
        <v>202</v>
      </c>
      <c r="D186" s="122">
        <f>D188</f>
        <v>172.7</v>
      </c>
      <c r="E186" s="122">
        <f t="shared" si="53"/>
        <v>24</v>
      </c>
      <c r="F186" s="122">
        <f t="shared" si="53"/>
        <v>0</v>
      </c>
      <c r="G186" s="122">
        <f t="shared" si="53"/>
        <v>0</v>
      </c>
      <c r="H186" s="122">
        <f t="shared" si="53"/>
        <v>0</v>
      </c>
      <c r="I186" s="122">
        <f t="shared" si="53"/>
        <v>5.3000000000000114</v>
      </c>
      <c r="J186" s="125"/>
    </row>
    <row r="187" spans="1:15" s="93" customFormat="1" ht="43.5" customHeight="1" x14ac:dyDescent="0.3">
      <c r="A187" s="129" t="s">
        <v>91</v>
      </c>
      <c r="B187" s="92" t="s">
        <v>32</v>
      </c>
      <c r="C187" s="81">
        <f t="shared" si="50"/>
        <v>202</v>
      </c>
      <c r="D187" s="97">
        <f>130+42.7</f>
        <v>172.7</v>
      </c>
      <c r="E187" s="49">
        <v>24</v>
      </c>
      <c r="F187" s="97">
        <v>0</v>
      </c>
      <c r="G187" s="81">
        <v>0</v>
      </c>
      <c r="H187" s="81">
        <v>0</v>
      </c>
      <c r="I187" s="97">
        <f>202-172.7-24</f>
        <v>5.3000000000000114</v>
      </c>
      <c r="J187" s="1148" t="s">
        <v>92</v>
      </c>
      <c r="K187" s="1177"/>
      <c r="L187" s="1177"/>
      <c r="M187" s="1177"/>
      <c r="N187" s="1177"/>
      <c r="O187" s="1177"/>
    </row>
    <row r="188" spans="1:15" s="131" customFormat="1" x14ac:dyDescent="0.3">
      <c r="A188" s="130"/>
      <c r="B188" s="99" t="s">
        <v>33</v>
      </c>
      <c r="C188" s="97">
        <f t="shared" si="50"/>
        <v>202</v>
      </c>
      <c r="D188" s="97">
        <f>130+42.7</f>
        <v>172.7</v>
      </c>
      <c r="E188" s="49">
        <v>24</v>
      </c>
      <c r="F188" s="97">
        <v>0</v>
      </c>
      <c r="G188" s="97">
        <v>0</v>
      </c>
      <c r="H188" s="97">
        <v>0</v>
      </c>
      <c r="I188" s="97">
        <f>202-172.7-24</f>
        <v>5.3000000000000114</v>
      </c>
      <c r="J188" s="1178"/>
      <c r="K188" s="1177"/>
      <c r="L188" s="1177"/>
      <c r="M188" s="1177"/>
      <c r="N188" s="1177"/>
      <c r="O188" s="1177"/>
    </row>
    <row r="189" spans="1:15" ht="12.75" customHeight="1" x14ac:dyDescent="0.35">
      <c r="A189" s="54" t="s">
        <v>40</v>
      </c>
      <c r="B189" s="35" t="s">
        <v>32</v>
      </c>
      <c r="C189" s="122">
        <f t="shared" si="50"/>
        <v>87468.539000000004</v>
      </c>
      <c r="D189" s="48">
        <f t="shared" si="51"/>
        <v>58544.749000000003</v>
      </c>
      <c r="E189" s="48">
        <f t="shared" si="51"/>
        <v>18275</v>
      </c>
      <c r="F189" s="48">
        <f t="shared" si="51"/>
        <v>0</v>
      </c>
      <c r="G189" s="48">
        <f t="shared" si="51"/>
        <v>0</v>
      </c>
      <c r="H189" s="48">
        <f t="shared" si="51"/>
        <v>0</v>
      </c>
      <c r="I189" s="48">
        <f t="shared" si="51"/>
        <v>10648.789999999997</v>
      </c>
    </row>
    <row r="190" spans="1:15" ht="12.75" customHeight="1" x14ac:dyDescent="0.35">
      <c r="A190" s="43"/>
      <c r="B190" s="38" t="s">
        <v>33</v>
      </c>
      <c r="C190" s="122">
        <f t="shared" si="50"/>
        <v>87468.539000000004</v>
      </c>
      <c r="D190" s="48">
        <f t="shared" si="51"/>
        <v>58544.749000000003</v>
      </c>
      <c r="E190" s="48">
        <f t="shared" si="51"/>
        <v>18275</v>
      </c>
      <c r="F190" s="48">
        <f t="shared" si="51"/>
        <v>0</v>
      </c>
      <c r="G190" s="48">
        <f t="shared" si="51"/>
        <v>0</v>
      </c>
      <c r="H190" s="48">
        <f t="shared" si="51"/>
        <v>0</v>
      </c>
      <c r="I190" s="48">
        <f t="shared" si="51"/>
        <v>10648.789999999997</v>
      </c>
    </row>
    <row r="191" spans="1:15" ht="12.75" customHeight="1" x14ac:dyDescent="0.3">
      <c r="A191" s="72" t="s">
        <v>53</v>
      </c>
      <c r="B191" s="56" t="s">
        <v>32</v>
      </c>
      <c r="C191" s="122">
        <f t="shared" si="50"/>
        <v>87468.539000000004</v>
      </c>
      <c r="D191" s="48">
        <f t="shared" si="51"/>
        <v>58544.749000000003</v>
      </c>
      <c r="E191" s="48">
        <f t="shared" si="51"/>
        <v>18275</v>
      </c>
      <c r="F191" s="48">
        <f t="shared" si="51"/>
        <v>0</v>
      </c>
      <c r="G191" s="48">
        <f t="shared" si="51"/>
        <v>0</v>
      </c>
      <c r="H191" s="48">
        <f t="shared" si="51"/>
        <v>0</v>
      </c>
      <c r="I191" s="48">
        <f t="shared" si="51"/>
        <v>10648.789999999997</v>
      </c>
    </row>
    <row r="192" spans="1:15" ht="12.75" customHeight="1" x14ac:dyDescent="0.3">
      <c r="A192" s="63"/>
      <c r="B192" s="38" t="s">
        <v>33</v>
      </c>
      <c r="C192" s="122">
        <f t="shared" si="50"/>
        <v>87468.539000000004</v>
      </c>
      <c r="D192" s="48">
        <f t="shared" si="51"/>
        <v>58544.749000000003</v>
      </c>
      <c r="E192" s="48">
        <f t="shared" si="51"/>
        <v>18275</v>
      </c>
      <c r="F192" s="48">
        <f t="shared" si="51"/>
        <v>0</v>
      </c>
      <c r="G192" s="48">
        <f t="shared" si="51"/>
        <v>0</v>
      </c>
      <c r="H192" s="48">
        <f t="shared" si="51"/>
        <v>0</v>
      </c>
      <c r="I192" s="48">
        <f t="shared" si="51"/>
        <v>10648.789999999997</v>
      </c>
    </row>
    <row r="193" spans="1:17" s="14" customFormat="1" x14ac:dyDescent="0.3">
      <c r="A193" s="132" t="s">
        <v>61</v>
      </c>
      <c r="B193" s="12" t="s">
        <v>32</v>
      </c>
      <c r="C193" s="122">
        <f t="shared" si="50"/>
        <v>87468.539000000004</v>
      </c>
      <c r="D193" s="36">
        <f t="shared" ref="D193:I194" si="54">D195+D203</f>
        <v>58544.749000000003</v>
      </c>
      <c r="E193" s="36">
        <f t="shared" si="54"/>
        <v>18275</v>
      </c>
      <c r="F193" s="36">
        <f t="shared" si="54"/>
        <v>0</v>
      </c>
      <c r="G193" s="36">
        <f t="shared" si="54"/>
        <v>0</v>
      </c>
      <c r="H193" s="36">
        <f t="shared" si="54"/>
        <v>0</v>
      </c>
      <c r="I193" s="36">
        <f t="shared" si="54"/>
        <v>10648.789999999997</v>
      </c>
    </row>
    <row r="194" spans="1:17" s="14" customFormat="1" x14ac:dyDescent="0.3">
      <c r="A194" s="19"/>
      <c r="B194" s="23" t="s">
        <v>33</v>
      </c>
      <c r="C194" s="122">
        <f t="shared" si="50"/>
        <v>87468.539000000004</v>
      </c>
      <c r="D194" s="36">
        <f t="shared" si="54"/>
        <v>58544.749000000003</v>
      </c>
      <c r="E194" s="36">
        <f t="shared" si="54"/>
        <v>18275</v>
      </c>
      <c r="F194" s="36">
        <f t="shared" si="54"/>
        <v>0</v>
      </c>
      <c r="G194" s="36">
        <f t="shared" si="54"/>
        <v>0</v>
      </c>
      <c r="H194" s="36">
        <f t="shared" si="54"/>
        <v>0</v>
      </c>
      <c r="I194" s="36">
        <f t="shared" si="54"/>
        <v>10648.789999999997</v>
      </c>
    </row>
    <row r="195" spans="1:17" s="126" customFormat="1" x14ac:dyDescent="0.3">
      <c r="A195" s="133" t="s">
        <v>93</v>
      </c>
      <c r="B195" s="124" t="s">
        <v>32</v>
      </c>
      <c r="C195" s="122">
        <f t="shared" si="50"/>
        <v>85706.540000000008</v>
      </c>
      <c r="D195" s="122">
        <f>D197+D199+D201</f>
        <v>57086.8</v>
      </c>
      <c r="E195" s="122">
        <f t="shared" ref="E195:I196" si="55">E197+E199+E201</f>
        <v>18275</v>
      </c>
      <c r="F195" s="122">
        <f t="shared" si="55"/>
        <v>0</v>
      </c>
      <c r="G195" s="122">
        <f t="shared" si="55"/>
        <v>0</v>
      </c>
      <c r="H195" s="122">
        <f t="shared" si="55"/>
        <v>0</v>
      </c>
      <c r="I195" s="122">
        <f t="shared" si="55"/>
        <v>10344.739999999998</v>
      </c>
    </row>
    <row r="196" spans="1:17" s="126" customFormat="1" x14ac:dyDescent="0.3">
      <c r="A196" s="134"/>
      <c r="B196" s="128" t="s">
        <v>33</v>
      </c>
      <c r="C196" s="122">
        <f t="shared" si="50"/>
        <v>85706.540000000008</v>
      </c>
      <c r="D196" s="122">
        <f>D198+D200+D202</f>
        <v>57086.8</v>
      </c>
      <c r="E196" s="122">
        <f t="shared" si="55"/>
        <v>18275</v>
      </c>
      <c r="F196" s="122">
        <f t="shared" si="55"/>
        <v>0</v>
      </c>
      <c r="G196" s="122">
        <f t="shared" si="55"/>
        <v>0</v>
      </c>
      <c r="H196" s="122">
        <f t="shared" si="55"/>
        <v>0</v>
      </c>
      <c r="I196" s="122">
        <f t="shared" si="55"/>
        <v>10344.739999999998</v>
      </c>
    </row>
    <row r="197" spans="1:17" s="140" customFormat="1" ht="24.9" x14ac:dyDescent="0.3">
      <c r="A197" s="135" t="s">
        <v>94</v>
      </c>
      <c r="B197" s="136" t="s">
        <v>32</v>
      </c>
      <c r="C197" s="137">
        <f t="shared" si="50"/>
        <v>85213</v>
      </c>
      <c r="D197" s="138">
        <f>377+10410+9225.21+24635.76+11945.29</f>
        <v>56593.26</v>
      </c>
      <c r="E197" s="139">
        <f>8000+3233+7042</f>
        <v>18275</v>
      </c>
      <c r="F197" s="138">
        <v>0</v>
      </c>
      <c r="G197" s="137">
        <v>0</v>
      </c>
      <c r="H197" s="137">
        <v>0</v>
      </c>
      <c r="I197" s="138">
        <f>85213-56593.26-18275</f>
        <v>10344.739999999998</v>
      </c>
      <c r="J197" s="1034" t="s">
        <v>95</v>
      </c>
      <c r="K197" s="1050"/>
      <c r="L197" s="1050"/>
      <c r="M197" s="1050"/>
      <c r="N197" s="1050"/>
      <c r="O197" s="1050"/>
    </row>
    <row r="198" spans="1:17" s="145" customFormat="1" x14ac:dyDescent="0.3">
      <c r="A198" s="141"/>
      <c r="B198" s="142" t="s">
        <v>33</v>
      </c>
      <c r="C198" s="143">
        <f t="shared" si="50"/>
        <v>85213</v>
      </c>
      <c r="D198" s="143">
        <f>377+10410+9225.21+24635.76+11945.29</f>
        <v>56593.26</v>
      </c>
      <c r="E198" s="144">
        <f>8000+3233+7042</f>
        <v>18275</v>
      </c>
      <c r="F198" s="143">
        <v>0</v>
      </c>
      <c r="G198" s="143">
        <v>0</v>
      </c>
      <c r="H198" s="143">
        <v>0</v>
      </c>
      <c r="I198" s="143">
        <f>85213-56593.26-18275</f>
        <v>10344.739999999998</v>
      </c>
      <c r="J198" s="1051"/>
      <c r="K198" s="1050"/>
      <c r="L198" s="1050"/>
      <c r="M198" s="1050"/>
      <c r="N198" s="1050"/>
      <c r="O198" s="1050"/>
    </row>
    <row r="199" spans="1:17" s="147" customFormat="1" ht="15.75" customHeight="1" x14ac:dyDescent="0.3">
      <c r="A199" s="114" t="s">
        <v>96</v>
      </c>
      <c r="B199" s="146" t="s">
        <v>32</v>
      </c>
      <c r="C199" s="143">
        <f t="shared" si="50"/>
        <v>322.64</v>
      </c>
      <c r="D199" s="143">
        <f>118+39.4+165.24</f>
        <v>322.64</v>
      </c>
      <c r="E199" s="144">
        <v>0</v>
      </c>
      <c r="F199" s="143">
        <v>0</v>
      </c>
      <c r="G199" s="143">
        <v>0</v>
      </c>
      <c r="H199" s="143">
        <v>0</v>
      </c>
      <c r="I199" s="143">
        <v>0</v>
      </c>
      <c r="J199" s="105"/>
    </row>
    <row r="200" spans="1:17" s="147" customFormat="1" x14ac:dyDescent="0.3">
      <c r="A200" s="141"/>
      <c r="B200" s="142" t="s">
        <v>33</v>
      </c>
      <c r="C200" s="143">
        <f t="shared" si="50"/>
        <v>322.64</v>
      </c>
      <c r="D200" s="143">
        <f>118+39.4+165.24</f>
        <v>322.64</v>
      </c>
      <c r="E200" s="144">
        <v>0</v>
      </c>
      <c r="F200" s="143">
        <v>0</v>
      </c>
      <c r="G200" s="143">
        <v>0</v>
      </c>
      <c r="H200" s="143">
        <v>0</v>
      </c>
      <c r="I200" s="143">
        <v>0</v>
      </c>
      <c r="J200" s="105"/>
    </row>
    <row r="201" spans="1:17" s="147" customFormat="1" ht="24.9" x14ac:dyDescent="0.3">
      <c r="A201" s="114" t="s">
        <v>97</v>
      </c>
      <c r="B201" s="146" t="s">
        <v>32</v>
      </c>
      <c r="C201" s="143">
        <f t="shared" si="50"/>
        <v>170.9</v>
      </c>
      <c r="D201" s="143">
        <v>170.9</v>
      </c>
      <c r="E201" s="144">
        <v>0</v>
      </c>
      <c r="F201" s="143">
        <v>0</v>
      </c>
      <c r="G201" s="143">
        <v>0</v>
      </c>
      <c r="H201" s="143">
        <v>0</v>
      </c>
      <c r="I201" s="143">
        <v>0</v>
      </c>
      <c r="J201" s="1179" t="s">
        <v>98</v>
      </c>
      <c r="K201" s="1180"/>
      <c r="L201" s="1180"/>
      <c r="M201" s="1180"/>
      <c r="N201" s="1180"/>
      <c r="O201" s="1180"/>
      <c r="P201" s="1180"/>
    </row>
    <row r="202" spans="1:17" s="131" customFormat="1" x14ac:dyDescent="0.3">
      <c r="A202" s="141"/>
      <c r="B202" s="142" t="s">
        <v>33</v>
      </c>
      <c r="C202" s="143">
        <f t="shared" si="50"/>
        <v>170.9</v>
      </c>
      <c r="D202" s="143">
        <v>170.9</v>
      </c>
      <c r="E202" s="144">
        <v>0</v>
      </c>
      <c r="F202" s="143">
        <v>0</v>
      </c>
      <c r="G202" s="143">
        <v>0</v>
      </c>
      <c r="H202" s="143">
        <v>0</v>
      </c>
      <c r="I202" s="143">
        <v>0</v>
      </c>
      <c r="J202" s="1181"/>
      <c r="K202" s="1180"/>
      <c r="L202" s="1180"/>
      <c r="M202" s="1180"/>
      <c r="N202" s="1180"/>
      <c r="O202" s="1180"/>
      <c r="P202" s="1180"/>
    </row>
    <row r="203" spans="1:17" s="126" customFormat="1" x14ac:dyDescent="0.3">
      <c r="A203" s="148" t="s">
        <v>99</v>
      </c>
      <c r="B203" s="124" t="s">
        <v>32</v>
      </c>
      <c r="C203" s="122">
        <f t="shared" ref="C203:I204" si="56">C205</f>
        <v>1761.999</v>
      </c>
      <c r="D203" s="122">
        <f t="shared" si="56"/>
        <v>1457.9490000000001</v>
      </c>
      <c r="E203" s="122">
        <f t="shared" si="56"/>
        <v>0</v>
      </c>
      <c r="F203" s="122">
        <f t="shared" si="56"/>
        <v>0</v>
      </c>
      <c r="G203" s="122">
        <f t="shared" si="56"/>
        <v>0</v>
      </c>
      <c r="H203" s="122">
        <f t="shared" si="56"/>
        <v>0</v>
      </c>
      <c r="I203" s="122">
        <f t="shared" si="56"/>
        <v>304.05</v>
      </c>
    </row>
    <row r="204" spans="1:17" s="126" customFormat="1" x14ac:dyDescent="0.3">
      <c r="A204" s="134"/>
      <c r="B204" s="128" t="s">
        <v>33</v>
      </c>
      <c r="C204" s="122">
        <f t="shared" si="56"/>
        <v>1761.999</v>
      </c>
      <c r="D204" s="122">
        <f t="shared" si="56"/>
        <v>1457.9490000000001</v>
      </c>
      <c r="E204" s="122">
        <f t="shared" si="56"/>
        <v>0</v>
      </c>
      <c r="F204" s="122">
        <f t="shared" si="56"/>
        <v>0</v>
      </c>
      <c r="G204" s="122">
        <f t="shared" si="56"/>
        <v>0</v>
      </c>
      <c r="H204" s="122">
        <f t="shared" si="56"/>
        <v>0</v>
      </c>
      <c r="I204" s="122">
        <f t="shared" si="56"/>
        <v>304.05</v>
      </c>
    </row>
    <row r="205" spans="1:17" s="147" customFormat="1" ht="24.9" x14ac:dyDescent="0.3">
      <c r="A205" s="114" t="s">
        <v>100</v>
      </c>
      <c r="B205" s="146" t="s">
        <v>32</v>
      </c>
      <c r="C205" s="143">
        <f t="shared" ref="C205:C206" si="57">D205+E205+F205+G205+H205+I205</f>
        <v>1761.999</v>
      </c>
      <c r="D205" s="143">
        <f>874.953+582.996</f>
        <v>1457.9490000000001</v>
      </c>
      <c r="E205" s="144">
        <f>100-100</f>
        <v>0</v>
      </c>
      <c r="F205" s="143">
        <v>0</v>
      </c>
      <c r="G205" s="143">
        <v>0</v>
      </c>
      <c r="H205" s="143">
        <v>0</v>
      </c>
      <c r="I205" s="143">
        <v>304.05</v>
      </c>
      <c r="J205" s="1182" t="s">
        <v>101</v>
      </c>
      <c r="K205" s="1183"/>
      <c r="L205" s="1183"/>
      <c r="M205" s="1183"/>
      <c r="N205" s="1183"/>
      <c r="O205" s="1183"/>
      <c r="P205" s="1183"/>
      <c r="Q205" s="1183"/>
    </row>
    <row r="206" spans="1:17" s="145" customFormat="1" x14ac:dyDescent="0.3">
      <c r="A206" s="141"/>
      <c r="B206" s="142" t="s">
        <v>33</v>
      </c>
      <c r="C206" s="143">
        <f t="shared" si="57"/>
        <v>1761.999</v>
      </c>
      <c r="D206" s="143">
        <f>874.953+582.996</f>
        <v>1457.9490000000001</v>
      </c>
      <c r="E206" s="144">
        <f>100-100</f>
        <v>0</v>
      </c>
      <c r="F206" s="143">
        <v>0</v>
      </c>
      <c r="G206" s="143">
        <v>0</v>
      </c>
      <c r="H206" s="143">
        <v>0</v>
      </c>
      <c r="I206" s="143">
        <v>304.05</v>
      </c>
      <c r="J206" s="1184"/>
      <c r="K206" s="1183"/>
      <c r="L206" s="1183"/>
      <c r="M206" s="1183"/>
      <c r="N206" s="1183"/>
      <c r="O206" s="1183"/>
      <c r="P206" s="1183"/>
      <c r="Q206" s="1183"/>
    </row>
    <row r="207" spans="1:17" x14ac:dyDescent="0.3">
      <c r="A207" s="1142" t="s">
        <v>102</v>
      </c>
      <c r="B207" s="1042"/>
      <c r="C207" s="1042"/>
      <c r="D207" s="1042"/>
      <c r="E207" s="1042"/>
      <c r="F207" s="1042"/>
      <c r="G207" s="1042"/>
      <c r="H207" s="1042"/>
      <c r="I207" s="1086"/>
    </row>
    <row r="208" spans="1:17" x14ac:dyDescent="0.3">
      <c r="A208" s="149" t="s">
        <v>57</v>
      </c>
      <c r="B208" s="47" t="s">
        <v>32</v>
      </c>
      <c r="C208" s="48">
        <f t="shared" ref="C208:C229" si="58">D208+E208+F208+G208+H208+I208</f>
        <v>43504.630000000005</v>
      </c>
      <c r="D208" s="49">
        <f t="shared" ref="D208:I213" si="59">D210</f>
        <v>33560.950000000004</v>
      </c>
      <c r="E208" s="49">
        <f t="shared" si="59"/>
        <v>4692</v>
      </c>
      <c r="F208" s="49">
        <f t="shared" si="59"/>
        <v>0</v>
      </c>
      <c r="G208" s="49">
        <f t="shared" si="59"/>
        <v>0</v>
      </c>
      <c r="H208" s="49">
        <f t="shared" si="59"/>
        <v>0</v>
      </c>
      <c r="I208" s="49">
        <f t="shared" si="59"/>
        <v>5251.68</v>
      </c>
    </row>
    <row r="209" spans="1:17" x14ac:dyDescent="0.3">
      <c r="A209" s="60" t="s">
        <v>87</v>
      </c>
      <c r="B209" s="53" t="s">
        <v>33</v>
      </c>
      <c r="C209" s="48">
        <f t="shared" si="58"/>
        <v>43504.630000000005</v>
      </c>
      <c r="D209" s="49">
        <f t="shared" si="59"/>
        <v>33560.950000000004</v>
      </c>
      <c r="E209" s="49">
        <f t="shared" si="59"/>
        <v>4692</v>
      </c>
      <c r="F209" s="49">
        <f t="shared" si="59"/>
        <v>0</v>
      </c>
      <c r="G209" s="49">
        <f t="shared" si="59"/>
        <v>0</v>
      </c>
      <c r="H209" s="49">
        <f t="shared" si="59"/>
        <v>0</v>
      </c>
      <c r="I209" s="49">
        <f t="shared" si="59"/>
        <v>5251.68</v>
      </c>
    </row>
    <row r="210" spans="1:17" x14ac:dyDescent="0.3">
      <c r="A210" s="61" t="s">
        <v>63</v>
      </c>
      <c r="B210" s="56" t="s">
        <v>32</v>
      </c>
      <c r="C210" s="48">
        <f t="shared" si="58"/>
        <v>43504.630000000005</v>
      </c>
      <c r="D210" s="49">
        <f t="shared" si="59"/>
        <v>33560.950000000004</v>
      </c>
      <c r="E210" s="49">
        <f t="shared" si="59"/>
        <v>4692</v>
      </c>
      <c r="F210" s="49">
        <f t="shared" si="59"/>
        <v>0</v>
      </c>
      <c r="G210" s="49">
        <f t="shared" si="59"/>
        <v>0</v>
      </c>
      <c r="H210" s="49">
        <f t="shared" si="59"/>
        <v>0</v>
      </c>
      <c r="I210" s="49">
        <f t="shared" si="59"/>
        <v>5251.68</v>
      </c>
    </row>
    <row r="211" spans="1:17" x14ac:dyDescent="0.3">
      <c r="A211" s="63" t="s">
        <v>51</v>
      </c>
      <c r="B211" s="38" t="s">
        <v>33</v>
      </c>
      <c r="C211" s="48">
        <f t="shared" si="58"/>
        <v>43504.630000000005</v>
      </c>
      <c r="D211" s="49">
        <f t="shared" si="59"/>
        <v>33560.950000000004</v>
      </c>
      <c r="E211" s="49">
        <f t="shared" si="59"/>
        <v>4692</v>
      </c>
      <c r="F211" s="49">
        <f t="shared" si="59"/>
        <v>0</v>
      </c>
      <c r="G211" s="49">
        <f t="shared" si="59"/>
        <v>0</v>
      </c>
      <c r="H211" s="49">
        <f t="shared" si="59"/>
        <v>0</v>
      </c>
      <c r="I211" s="49">
        <f t="shared" si="59"/>
        <v>5251.68</v>
      </c>
    </row>
    <row r="212" spans="1:17" s="100" customFormat="1" ht="25.75" x14ac:dyDescent="0.35">
      <c r="A212" s="62" t="s">
        <v>52</v>
      </c>
      <c r="B212" s="150" t="s">
        <v>32</v>
      </c>
      <c r="C212" s="143">
        <f t="shared" si="58"/>
        <v>43504.630000000005</v>
      </c>
      <c r="D212" s="97">
        <f t="shared" si="59"/>
        <v>33560.950000000004</v>
      </c>
      <c r="E212" s="97">
        <f t="shared" si="59"/>
        <v>4692</v>
      </c>
      <c r="F212" s="97">
        <f t="shared" si="59"/>
        <v>0</v>
      </c>
      <c r="G212" s="97">
        <f t="shared" si="59"/>
        <v>0</v>
      </c>
      <c r="H212" s="97">
        <f t="shared" si="59"/>
        <v>0</v>
      </c>
      <c r="I212" s="97">
        <f t="shared" si="59"/>
        <v>5251.68</v>
      </c>
    </row>
    <row r="213" spans="1:17" s="100" customFormat="1" x14ac:dyDescent="0.3">
      <c r="A213" s="130"/>
      <c r="B213" s="99" t="s">
        <v>33</v>
      </c>
      <c r="C213" s="143">
        <f t="shared" si="58"/>
        <v>43504.630000000005</v>
      </c>
      <c r="D213" s="97">
        <f t="shared" si="59"/>
        <v>33560.950000000004</v>
      </c>
      <c r="E213" s="97">
        <f t="shared" si="59"/>
        <v>4692</v>
      </c>
      <c r="F213" s="97">
        <f t="shared" si="59"/>
        <v>0</v>
      </c>
      <c r="G213" s="97">
        <f t="shared" si="59"/>
        <v>0</v>
      </c>
      <c r="H213" s="97">
        <f t="shared" si="59"/>
        <v>0</v>
      </c>
      <c r="I213" s="97">
        <f t="shared" si="59"/>
        <v>5251.68</v>
      </c>
    </row>
    <row r="214" spans="1:17" s="126" customFormat="1" ht="24.9" x14ac:dyDescent="0.3">
      <c r="A214" s="133" t="s">
        <v>103</v>
      </c>
      <c r="B214" s="124" t="s">
        <v>32</v>
      </c>
      <c r="C214" s="122">
        <f t="shared" si="58"/>
        <v>43504.630000000005</v>
      </c>
      <c r="D214" s="122">
        <f>D216+D218+D220+D222+D224+D226+D228</f>
        <v>33560.950000000004</v>
      </c>
      <c r="E214" s="122">
        <f t="shared" ref="E214:I215" si="60">E216+E218+E220+E222+E224+E226+E228</f>
        <v>4692</v>
      </c>
      <c r="F214" s="122">
        <f t="shared" si="60"/>
        <v>0</v>
      </c>
      <c r="G214" s="122">
        <f t="shared" si="60"/>
        <v>0</v>
      </c>
      <c r="H214" s="122">
        <f t="shared" si="60"/>
        <v>0</v>
      </c>
      <c r="I214" s="122">
        <f t="shared" si="60"/>
        <v>5251.68</v>
      </c>
      <c r="J214" s="125"/>
    </row>
    <row r="215" spans="1:17" s="126" customFormat="1" x14ac:dyDescent="0.3">
      <c r="A215" s="127"/>
      <c r="B215" s="128" t="s">
        <v>33</v>
      </c>
      <c r="C215" s="122">
        <f t="shared" si="58"/>
        <v>43504.630000000005</v>
      </c>
      <c r="D215" s="122">
        <f>D217+D219+D221+D223+D225+D227+D229</f>
        <v>33560.950000000004</v>
      </c>
      <c r="E215" s="122">
        <f t="shared" si="60"/>
        <v>4692</v>
      </c>
      <c r="F215" s="122">
        <f t="shared" si="60"/>
        <v>0</v>
      </c>
      <c r="G215" s="122">
        <f t="shared" si="60"/>
        <v>0</v>
      </c>
      <c r="H215" s="122">
        <f t="shared" si="60"/>
        <v>0</v>
      </c>
      <c r="I215" s="122">
        <f t="shared" si="60"/>
        <v>5251.68</v>
      </c>
      <c r="J215" s="125"/>
    </row>
    <row r="216" spans="1:17" s="105" customFormat="1" ht="24.9" x14ac:dyDescent="0.3">
      <c r="A216" s="114" t="s">
        <v>104</v>
      </c>
      <c r="B216" s="66" t="s">
        <v>32</v>
      </c>
      <c r="C216" s="108">
        <f t="shared" si="58"/>
        <v>4246.63</v>
      </c>
      <c r="D216" s="108">
        <f>187.4+1685.76+2277.97+95.5</f>
        <v>4246.63</v>
      </c>
      <c r="E216" s="108">
        <v>0</v>
      </c>
      <c r="F216" s="108">
        <v>0</v>
      </c>
      <c r="G216" s="108">
        <v>0</v>
      </c>
      <c r="H216" s="108">
        <v>0</v>
      </c>
      <c r="I216" s="108">
        <v>0</v>
      </c>
      <c r="J216" s="1173" t="s">
        <v>105</v>
      </c>
      <c r="K216" s="1174"/>
      <c r="L216" s="1174"/>
      <c r="M216" s="1174"/>
      <c r="N216" s="1174"/>
      <c r="O216" s="1174"/>
      <c r="P216" s="1174"/>
      <c r="Q216" s="1174"/>
    </row>
    <row r="217" spans="1:17" s="42" customFormat="1" x14ac:dyDescent="0.3">
      <c r="A217" s="63"/>
      <c r="B217" s="44" t="s">
        <v>33</v>
      </c>
      <c r="C217" s="41">
        <f t="shared" si="58"/>
        <v>4246.63</v>
      </c>
      <c r="D217" s="41">
        <f>187.4+1685.76+2277.97+95.5</f>
        <v>4246.63</v>
      </c>
      <c r="E217" s="41">
        <v>0</v>
      </c>
      <c r="F217" s="41">
        <v>0</v>
      </c>
      <c r="G217" s="41">
        <v>0</v>
      </c>
      <c r="H217" s="41">
        <v>0</v>
      </c>
      <c r="I217" s="41">
        <v>0</v>
      </c>
      <c r="J217" s="1175"/>
      <c r="K217" s="1174"/>
      <c r="L217" s="1174"/>
      <c r="M217" s="1174"/>
      <c r="N217" s="1174"/>
      <c r="O217" s="1174"/>
      <c r="P217" s="1174"/>
      <c r="Q217" s="1174"/>
    </row>
    <row r="218" spans="1:17" s="65" customFormat="1" ht="24.9" x14ac:dyDescent="0.3">
      <c r="A218" s="83" t="s">
        <v>106</v>
      </c>
      <c r="B218" s="151" t="s">
        <v>32</v>
      </c>
      <c r="C218" s="41">
        <f t="shared" si="58"/>
        <v>7947.74</v>
      </c>
      <c r="D218" s="41">
        <f>240.9+1865.07+7.85+22.02+4570.9</f>
        <v>6706.74</v>
      </c>
      <c r="E218" s="41">
        <v>1241</v>
      </c>
      <c r="F218" s="41">
        <v>0</v>
      </c>
      <c r="G218" s="41">
        <v>0</v>
      </c>
      <c r="H218" s="41">
        <v>0</v>
      </c>
      <c r="I218" s="41">
        <v>0</v>
      </c>
      <c r="J218" s="105"/>
      <c r="K218" s="1031" t="s">
        <v>107</v>
      </c>
      <c r="L218" s="1031"/>
      <c r="M218" s="1031"/>
      <c r="N218" s="1031"/>
      <c r="O218" s="1031"/>
      <c r="P218" s="1031"/>
      <c r="Q218" s="1031"/>
    </row>
    <row r="219" spans="1:17" s="42" customFormat="1" x14ac:dyDescent="0.3">
      <c r="A219" s="63"/>
      <c r="B219" s="44" t="s">
        <v>33</v>
      </c>
      <c r="C219" s="41">
        <f t="shared" si="58"/>
        <v>7947.74</v>
      </c>
      <c r="D219" s="41">
        <f>240.9+1865.07+7.85+22.02+4570.9</f>
        <v>6706.74</v>
      </c>
      <c r="E219" s="41">
        <v>1241</v>
      </c>
      <c r="F219" s="41">
        <v>0</v>
      </c>
      <c r="G219" s="41">
        <v>0</v>
      </c>
      <c r="H219" s="41">
        <v>0</v>
      </c>
      <c r="I219" s="41">
        <v>0</v>
      </c>
      <c r="J219" s="78"/>
      <c r="K219" s="1031"/>
      <c r="L219" s="1031"/>
      <c r="M219" s="1031"/>
      <c r="N219" s="1031"/>
      <c r="O219" s="1031"/>
      <c r="P219" s="1031"/>
      <c r="Q219" s="1031"/>
    </row>
    <row r="220" spans="1:17" s="105" customFormat="1" ht="24.9" x14ac:dyDescent="0.3">
      <c r="A220" s="114" t="s">
        <v>108</v>
      </c>
      <c r="B220" s="66" t="s">
        <v>32</v>
      </c>
      <c r="C220" s="108">
        <f t="shared" si="58"/>
        <v>5592.02</v>
      </c>
      <c r="D220" s="108">
        <f>188+2.8+604.4+2076.32+2651.5</f>
        <v>5523.02</v>
      </c>
      <c r="E220" s="108">
        <v>69</v>
      </c>
      <c r="F220" s="108">
        <v>0</v>
      </c>
      <c r="G220" s="108">
        <v>0</v>
      </c>
      <c r="H220" s="108">
        <v>0</v>
      </c>
      <c r="I220" s="108">
        <v>0</v>
      </c>
      <c r="K220" s="1109" t="s">
        <v>109</v>
      </c>
      <c r="L220" s="1109"/>
      <c r="M220" s="1109"/>
      <c r="N220" s="1109"/>
      <c r="O220" s="1109"/>
      <c r="P220" s="1109"/>
    </row>
    <row r="221" spans="1:17" s="42" customFormat="1" x14ac:dyDescent="0.3">
      <c r="A221" s="63"/>
      <c r="B221" s="44" t="s">
        <v>33</v>
      </c>
      <c r="C221" s="41">
        <f t="shared" si="58"/>
        <v>5592.02</v>
      </c>
      <c r="D221" s="41">
        <f>188+2.8+604.4+2076.32+2651.5</f>
        <v>5523.02</v>
      </c>
      <c r="E221" s="41">
        <v>69</v>
      </c>
      <c r="F221" s="41">
        <v>0</v>
      </c>
      <c r="G221" s="41">
        <v>0</v>
      </c>
      <c r="H221" s="41">
        <v>0</v>
      </c>
      <c r="I221" s="41">
        <v>0</v>
      </c>
      <c r="J221" s="78"/>
      <c r="K221" s="1109"/>
      <c r="L221" s="1109"/>
      <c r="M221" s="1109"/>
      <c r="N221" s="1109"/>
      <c r="O221" s="1109"/>
      <c r="P221" s="1109"/>
    </row>
    <row r="222" spans="1:17" s="105" customFormat="1" ht="24.9" x14ac:dyDescent="0.3">
      <c r="A222" s="114" t="s">
        <v>110</v>
      </c>
      <c r="B222" s="66" t="s">
        <v>32</v>
      </c>
      <c r="C222" s="108">
        <f t="shared" si="58"/>
        <v>5631.4</v>
      </c>
      <c r="D222" s="41">
        <f>948.08+716.82+900.35+2110.15</f>
        <v>4675.3999999999996</v>
      </c>
      <c r="E222" s="41">
        <v>956</v>
      </c>
      <c r="F222" s="108">
        <v>0</v>
      </c>
      <c r="G222" s="108">
        <v>0</v>
      </c>
      <c r="H222" s="108">
        <v>0</v>
      </c>
      <c r="I222" s="108">
        <v>0</v>
      </c>
      <c r="K222" s="1109" t="s">
        <v>111</v>
      </c>
      <c r="L222" s="1109"/>
      <c r="M222" s="1109"/>
      <c r="N222" s="1109"/>
      <c r="O222" s="1109"/>
      <c r="P222" s="1109"/>
      <c r="Q222" s="1109"/>
    </row>
    <row r="223" spans="1:17" s="42" customFormat="1" x14ac:dyDescent="0.3">
      <c r="A223" s="63"/>
      <c r="B223" s="44" t="s">
        <v>33</v>
      </c>
      <c r="C223" s="41">
        <f t="shared" si="58"/>
        <v>5631.4</v>
      </c>
      <c r="D223" s="41">
        <f>948.08+716.82+900.35+2110.15</f>
        <v>4675.3999999999996</v>
      </c>
      <c r="E223" s="41">
        <v>956</v>
      </c>
      <c r="F223" s="41">
        <v>0</v>
      </c>
      <c r="G223" s="41">
        <v>0</v>
      </c>
      <c r="H223" s="41">
        <v>0</v>
      </c>
      <c r="I223" s="41">
        <v>0</v>
      </c>
      <c r="J223" s="78"/>
      <c r="K223" s="1109"/>
      <c r="L223" s="1109"/>
      <c r="M223" s="1109"/>
      <c r="N223" s="1109"/>
      <c r="O223" s="1109"/>
      <c r="P223" s="1109"/>
      <c r="Q223" s="1109"/>
    </row>
    <row r="224" spans="1:17" s="65" customFormat="1" ht="24.9" x14ac:dyDescent="0.3">
      <c r="A224" s="152" t="s">
        <v>112</v>
      </c>
      <c r="B224" s="151" t="s">
        <v>32</v>
      </c>
      <c r="C224" s="41">
        <f t="shared" si="58"/>
        <v>5306.18</v>
      </c>
      <c r="D224" s="41">
        <f>14.46+33.22+6.82</f>
        <v>54.5</v>
      </c>
      <c r="E224" s="41">
        <v>0</v>
      </c>
      <c r="F224" s="41">
        <v>0</v>
      </c>
      <c r="G224" s="41">
        <v>0</v>
      </c>
      <c r="H224" s="41">
        <v>0</v>
      </c>
      <c r="I224" s="41">
        <f>5306.18-54.5</f>
        <v>5251.68</v>
      </c>
      <c r="J224" s="1176" t="s">
        <v>113</v>
      </c>
      <c r="K224" s="980"/>
      <c r="L224" s="980"/>
      <c r="M224" s="980"/>
    </row>
    <row r="225" spans="1:18" s="42" customFormat="1" x14ac:dyDescent="0.3">
      <c r="A225" s="63"/>
      <c r="B225" s="44" t="s">
        <v>33</v>
      </c>
      <c r="C225" s="41">
        <f t="shared" si="58"/>
        <v>5306.18</v>
      </c>
      <c r="D225" s="41">
        <f>14.46+33.22+6.82</f>
        <v>54.5</v>
      </c>
      <c r="E225" s="41">
        <v>0</v>
      </c>
      <c r="F225" s="41">
        <v>0</v>
      </c>
      <c r="G225" s="41">
        <v>0</v>
      </c>
      <c r="H225" s="41">
        <v>0</v>
      </c>
      <c r="I225" s="41">
        <f>5306.18-54.5</f>
        <v>5251.68</v>
      </c>
      <c r="J225" s="1165" t="s">
        <v>114</v>
      </c>
      <c r="K225" s="1166"/>
      <c r="L225" s="1166"/>
      <c r="M225" s="1166"/>
    </row>
    <row r="226" spans="1:18" s="105" customFormat="1" ht="24.9" x14ac:dyDescent="0.3">
      <c r="A226" s="154" t="s">
        <v>115</v>
      </c>
      <c r="B226" s="66" t="s">
        <v>32</v>
      </c>
      <c r="C226" s="108">
        <f t="shared" si="58"/>
        <v>7320.65</v>
      </c>
      <c r="D226" s="108">
        <f>14.05+39.3+160.09+5494.21</f>
        <v>5707.65</v>
      </c>
      <c r="E226" s="108">
        <v>1613</v>
      </c>
      <c r="F226" s="108">
        <v>0</v>
      </c>
      <c r="G226" s="108">
        <v>0</v>
      </c>
      <c r="H226" s="108">
        <v>0</v>
      </c>
      <c r="I226" s="108">
        <v>0</v>
      </c>
      <c r="J226" s="1167" t="s">
        <v>116</v>
      </c>
      <c r="K226" s="1168"/>
      <c r="L226" s="1168"/>
      <c r="M226" s="1168"/>
      <c r="N226" s="1168"/>
      <c r="O226" s="1168"/>
      <c r="P226" s="1168"/>
      <c r="Q226" s="1168"/>
      <c r="R226" s="1168"/>
    </row>
    <row r="227" spans="1:18" s="78" customFormat="1" x14ac:dyDescent="0.3">
      <c r="A227" s="120"/>
      <c r="B227" s="70" t="s">
        <v>33</v>
      </c>
      <c r="C227" s="108">
        <f t="shared" si="58"/>
        <v>7320.65</v>
      </c>
      <c r="D227" s="108">
        <f>14.05+39.3+160.09+5494.21</f>
        <v>5707.65</v>
      </c>
      <c r="E227" s="108">
        <v>1613</v>
      </c>
      <c r="F227" s="108">
        <v>0</v>
      </c>
      <c r="G227" s="108">
        <v>0</v>
      </c>
      <c r="H227" s="108">
        <v>0</v>
      </c>
      <c r="I227" s="108">
        <v>0</v>
      </c>
      <c r="J227" s="1169"/>
      <c r="K227" s="1168"/>
      <c r="L227" s="1168"/>
      <c r="M227" s="1168"/>
      <c r="N227" s="1168"/>
      <c r="O227" s="1168"/>
      <c r="P227" s="1168"/>
      <c r="Q227" s="1168"/>
      <c r="R227" s="1168"/>
    </row>
    <row r="228" spans="1:18" s="65" customFormat="1" ht="24.9" x14ac:dyDescent="0.3">
      <c r="A228" s="154" t="s">
        <v>117</v>
      </c>
      <c r="B228" s="151" t="s">
        <v>32</v>
      </c>
      <c r="C228" s="41">
        <f t="shared" si="58"/>
        <v>7460.01</v>
      </c>
      <c r="D228" s="41">
        <f>1.6+198.36+3677.65+2769.4</f>
        <v>6647.01</v>
      </c>
      <c r="E228" s="41">
        <v>813</v>
      </c>
      <c r="F228" s="41">
        <v>0</v>
      </c>
      <c r="G228" s="41">
        <v>0</v>
      </c>
      <c r="H228" s="41">
        <v>0</v>
      </c>
      <c r="I228" s="41">
        <v>0</v>
      </c>
      <c r="J228" s="1136" t="s">
        <v>118</v>
      </c>
      <c r="K228" s="1050"/>
      <c r="L228" s="1050"/>
      <c r="M228" s="1050"/>
      <c r="N228" s="1050"/>
      <c r="O228" s="1050"/>
      <c r="P228" s="1050"/>
      <c r="Q228" s="1050"/>
      <c r="R228" s="1050"/>
    </row>
    <row r="229" spans="1:18" s="42" customFormat="1" x14ac:dyDescent="0.3">
      <c r="A229" s="63"/>
      <c r="B229" s="44" t="s">
        <v>33</v>
      </c>
      <c r="C229" s="41">
        <f t="shared" si="58"/>
        <v>7460.01</v>
      </c>
      <c r="D229" s="41">
        <f>1.6+198.36+3677.65+2769.4</f>
        <v>6647.01</v>
      </c>
      <c r="E229" s="41">
        <v>813</v>
      </c>
      <c r="F229" s="41">
        <v>0</v>
      </c>
      <c r="G229" s="41">
        <v>0</v>
      </c>
      <c r="H229" s="41">
        <v>0</v>
      </c>
      <c r="I229" s="41">
        <v>0</v>
      </c>
      <c r="J229" s="1051"/>
      <c r="K229" s="1050"/>
      <c r="L229" s="1050"/>
      <c r="M229" s="1050"/>
      <c r="N229" s="1050"/>
      <c r="O229" s="1050"/>
      <c r="P229" s="1050"/>
      <c r="Q229" s="1050"/>
      <c r="R229" s="1050"/>
    </row>
    <row r="230" spans="1:18" s="14" customFormat="1" x14ac:dyDescent="0.3">
      <c r="A230" s="1170" t="s">
        <v>119</v>
      </c>
      <c r="B230" s="1171"/>
      <c r="C230" s="1171"/>
      <c r="D230" s="1171"/>
      <c r="E230" s="1171"/>
      <c r="F230" s="1171"/>
      <c r="G230" s="1171"/>
      <c r="H230" s="1171"/>
      <c r="I230" s="1172"/>
    </row>
    <row r="231" spans="1:18" s="157" customFormat="1" x14ac:dyDescent="0.3">
      <c r="A231" s="72" t="s">
        <v>57</v>
      </c>
      <c r="B231" s="155" t="s">
        <v>32</v>
      </c>
      <c r="C231" s="156">
        <f t="shared" ref="C231:C246" si="61">D231+E231+F231+G231+H231+I231</f>
        <v>1984.71</v>
      </c>
      <c r="D231" s="156">
        <f t="shared" ref="D231:I232" si="62">D233</f>
        <v>792.8</v>
      </c>
      <c r="E231" s="156">
        <f t="shared" si="62"/>
        <v>300</v>
      </c>
      <c r="F231" s="156">
        <f t="shared" si="62"/>
        <v>675.78000000000009</v>
      </c>
      <c r="G231" s="156">
        <f t="shared" si="62"/>
        <v>0</v>
      </c>
      <c r="H231" s="156">
        <f t="shared" si="62"/>
        <v>0</v>
      </c>
      <c r="I231" s="156">
        <f t="shared" si="62"/>
        <v>216.13</v>
      </c>
    </row>
    <row r="232" spans="1:18" s="157" customFormat="1" x14ac:dyDescent="0.3">
      <c r="A232" s="60" t="s">
        <v>87</v>
      </c>
      <c r="B232" s="99" t="s">
        <v>33</v>
      </c>
      <c r="C232" s="158">
        <f t="shared" si="61"/>
        <v>1984.71</v>
      </c>
      <c r="D232" s="158">
        <f t="shared" si="62"/>
        <v>792.8</v>
      </c>
      <c r="E232" s="158">
        <f t="shared" si="62"/>
        <v>300</v>
      </c>
      <c r="F232" s="158">
        <f t="shared" si="62"/>
        <v>675.78000000000009</v>
      </c>
      <c r="G232" s="158">
        <f t="shared" si="62"/>
        <v>0</v>
      </c>
      <c r="H232" s="158">
        <f t="shared" si="62"/>
        <v>0</v>
      </c>
      <c r="I232" s="158">
        <f t="shared" si="62"/>
        <v>216.13</v>
      </c>
    </row>
    <row r="233" spans="1:18" s="100" customFormat="1" x14ac:dyDescent="0.3">
      <c r="A233" s="159" t="s">
        <v>120</v>
      </c>
      <c r="B233" s="150" t="s">
        <v>32</v>
      </c>
      <c r="C233" s="97">
        <f t="shared" si="61"/>
        <v>1984.71</v>
      </c>
      <c r="D233" s="97">
        <f t="shared" ref="D233:I234" si="63">D235+D239</f>
        <v>792.8</v>
      </c>
      <c r="E233" s="97">
        <f t="shared" si="63"/>
        <v>300</v>
      </c>
      <c r="F233" s="97">
        <f t="shared" si="63"/>
        <v>675.78000000000009</v>
      </c>
      <c r="G233" s="97">
        <f t="shared" si="63"/>
        <v>0</v>
      </c>
      <c r="H233" s="97">
        <f t="shared" si="63"/>
        <v>0</v>
      </c>
      <c r="I233" s="97">
        <f t="shared" si="63"/>
        <v>216.13</v>
      </c>
    </row>
    <row r="234" spans="1:18" s="100" customFormat="1" x14ac:dyDescent="0.3">
      <c r="A234" s="60" t="s">
        <v>121</v>
      </c>
      <c r="B234" s="99" t="s">
        <v>33</v>
      </c>
      <c r="C234" s="97">
        <f t="shared" si="61"/>
        <v>1984.71</v>
      </c>
      <c r="D234" s="97">
        <f t="shared" si="63"/>
        <v>792.8</v>
      </c>
      <c r="E234" s="97">
        <f t="shared" si="63"/>
        <v>300</v>
      </c>
      <c r="F234" s="97">
        <f t="shared" si="63"/>
        <v>675.78000000000009</v>
      </c>
      <c r="G234" s="97">
        <f t="shared" si="63"/>
        <v>0</v>
      </c>
      <c r="H234" s="97">
        <f t="shared" si="63"/>
        <v>0</v>
      </c>
      <c r="I234" s="97">
        <f t="shared" si="63"/>
        <v>216.13</v>
      </c>
    </row>
    <row r="235" spans="1:18" s="157" customFormat="1" ht="25.75" x14ac:dyDescent="0.35">
      <c r="A235" s="64" t="s">
        <v>122</v>
      </c>
      <c r="B235" s="150" t="s">
        <v>32</v>
      </c>
      <c r="C235" s="143">
        <f t="shared" si="61"/>
        <v>1008</v>
      </c>
      <c r="D235" s="143">
        <f>D237</f>
        <v>791.87</v>
      </c>
      <c r="E235" s="143">
        <f t="shared" ref="E235:I236" si="64">E237</f>
        <v>0</v>
      </c>
      <c r="F235" s="143">
        <f t="shared" si="64"/>
        <v>0</v>
      </c>
      <c r="G235" s="143">
        <f t="shared" si="64"/>
        <v>0</v>
      </c>
      <c r="H235" s="143">
        <f t="shared" si="64"/>
        <v>0</v>
      </c>
      <c r="I235" s="143">
        <f t="shared" si="64"/>
        <v>216.13</v>
      </c>
    </row>
    <row r="236" spans="1:18" s="157" customFormat="1" ht="12.9" x14ac:dyDescent="0.35">
      <c r="A236" s="52"/>
      <c r="B236" s="99" t="s">
        <v>33</v>
      </c>
      <c r="C236" s="143">
        <f t="shared" si="61"/>
        <v>1008</v>
      </c>
      <c r="D236" s="143">
        <f>D238</f>
        <v>791.87</v>
      </c>
      <c r="E236" s="143">
        <f t="shared" si="64"/>
        <v>0</v>
      </c>
      <c r="F236" s="143">
        <f t="shared" si="64"/>
        <v>0</v>
      </c>
      <c r="G236" s="143">
        <f t="shared" si="64"/>
        <v>0</v>
      </c>
      <c r="H236" s="143">
        <f t="shared" si="64"/>
        <v>0</v>
      </c>
      <c r="I236" s="143">
        <f t="shared" si="64"/>
        <v>216.13</v>
      </c>
    </row>
    <row r="237" spans="1:18" s="93" customFormat="1" ht="24.9" x14ac:dyDescent="0.3">
      <c r="A237" s="160" t="s">
        <v>123</v>
      </c>
      <c r="B237" s="92" t="s">
        <v>32</v>
      </c>
      <c r="C237" s="81">
        <f t="shared" si="61"/>
        <v>1008</v>
      </c>
      <c r="D237" s="81">
        <f>D238</f>
        <v>791.87</v>
      </c>
      <c r="E237" s="81">
        <v>0</v>
      </c>
      <c r="F237" s="81">
        <f>F238</f>
        <v>0</v>
      </c>
      <c r="G237" s="81">
        <f>G238</f>
        <v>0</v>
      </c>
      <c r="H237" s="81">
        <f>H238</f>
        <v>0</v>
      </c>
      <c r="I237" s="81">
        <f>1008-551-240.87</f>
        <v>216.13</v>
      </c>
    </row>
    <row r="238" spans="1:18" s="96" customFormat="1" x14ac:dyDescent="0.3">
      <c r="A238" s="82"/>
      <c r="B238" s="95" t="s">
        <v>33</v>
      </c>
      <c r="C238" s="81">
        <f t="shared" si="61"/>
        <v>1008</v>
      </c>
      <c r="D238" s="81">
        <f>551+240.87</f>
        <v>791.87</v>
      </c>
      <c r="E238" s="81">
        <v>0</v>
      </c>
      <c r="F238" s="81">
        <v>0</v>
      </c>
      <c r="G238" s="81">
        <v>0</v>
      </c>
      <c r="H238" s="81">
        <v>0</v>
      </c>
      <c r="I238" s="81">
        <f>1008-551-240.87</f>
        <v>216.13</v>
      </c>
    </row>
    <row r="239" spans="1:18" ht="12.9" x14ac:dyDescent="0.35">
      <c r="A239" s="54" t="s">
        <v>40</v>
      </c>
      <c r="B239" s="161" t="s">
        <v>32</v>
      </c>
      <c r="C239" s="49">
        <f t="shared" si="61"/>
        <v>976.71</v>
      </c>
      <c r="D239" s="49">
        <f>D243</f>
        <v>0.93</v>
      </c>
      <c r="E239" s="49">
        <f t="shared" ref="E239:I240" si="65">E243</f>
        <v>300</v>
      </c>
      <c r="F239" s="49">
        <f t="shared" si="65"/>
        <v>675.78000000000009</v>
      </c>
      <c r="G239" s="49">
        <f t="shared" si="65"/>
        <v>0</v>
      </c>
      <c r="H239" s="49">
        <f t="shared" si="65"/>
        <v>0</v>
      </c>
      <c r="I239" s="49">
        <f t="shared" si="65"/>
        <v>0</v>
      </c>
    </row>
    <row r="240" spans="1:18" ht="12.9" x14ac:dyDescent="0.35">
      <c r="A240" s="43"/>
      <c r="B240" s="162" t="s">
        <v>33</v>
      </c>
      <c r="C240" s="49">
        <f t="shared" si="61"/>
        <v>976.71</v>
      </c>
      <c r="D240" s="49">
        <f>D244</f>
        <v>0.93</v>
      </c>
      <c r="E240" s="49">
        <f t="shared" si="65"/>
        <v>300</v>
      </c>
      <c r="F240" s="49">
        <f t="shared" si="65"/>
        <v>675.78000000000009</v>
      </c>
      <c r="G240" s="49">
        <f t="shared" si="65"/>
        <v>0</v>
      </c>
      <c r="H240" s="49">
        <f t="shared" si="65"/>
        <v>0</v>
      </c>
      <c r="I240" s="49">
        <f t="shared" si="65"/>
        <v>0</v>
      </c>
    </row>
    <row r="241" spans="1:10" x14ac:dyDescent="0.3">
      <c r="A241" s="72" t="s">
        <v>60</v>
      </c>
      <c r="B241" s="47" t="s">
        <v>32</v>
      </c>
      <c r="C241" s="49">
        <f t="shared" si="61"/>
        <v>976.71</v>
      </c>
      <c r="D241" s="49">
        <f>D243</f>
        <v>0.93</v>
      </c>
      <c r="E241" s="49">
        <f t="shared" ref="E241:I244" si="66">E243</f>
        <v>300</v>
      </c>
      <c r="F241" s="49">
        <f t="shared" si="66"/>
        <v>675.78000000000009</v>
      </c>
      <c r="G241" s="49">
        <f t="shared" si="66"/>
        <v>0</v>
      </c>
      <c r="H241" s="49">
        <f t="shared" si="66"/>
        <v>0</v>
      </c>
      <c r="I241" s="49">
        <f t="shared" si="66"/>
        <v>0</v>
      </c>
    </row>
    <row r="242" spans="1:10" x14ac:dyDescent="0.3">
      <c r="A242" s="72"/>
      <c r="B242" s="53" t="s">
        <v>33</v>
      </c>
      <c r="C242" s="49">
        <f t="shared" si="61"/>
        <v>976.71</v>
      </c>
      <c r="D242" s="49">
        <f>D244</f>
        <v>0.93</v>
      </c>
      <c r="E242" s="49">
        <f t="shared" si="66"/>
        <v>300</v>
      </c>
      <c r="F242" s="49">
        <f t="shared" si="66"/>
        <v>675.78000000000009</v>
      </c>
      <c r="G242" s="49">
        <f t="shared" si="66"/>
        <v>0</v>
      </c>
      <c r="H242" s="49">
        <f t="shared" si="66"/>
        <v>0</v>
      </c>
      <c r="I242" s="49">
        <f t="shared" si="66"/>
        <v>0</v>
      </c>
    </row>
    <row r="243" spans="1:10" x14ac:dyDescent="0.3">
      <c r="A243" s="163" t="s">
        <v>61</v>
      </c>
      <c r="B243" s="164" t="s">
        <v>32</v>
      </c>
      <c r="C243" s="165">
        <f t="shared" si="61"/>
        <v>976.71</v>
      </c>
      <c r="D243" s="165">
        <f>D245</f>
        <v>0.93</v>
      </c>
      <c r="E243" s="165">
        <f t="shared" si="66"/>
        <v>300</v>
      </c>
      <c r="F243" s="165">
        <f t="shared" si="66"/>
        <v>675.78000000000009</v>
      </c>
      <c r="G243" s="165">
        <f t="shared" si="66"/>
        <v>0</v>
      </c>
      <c r="H243" s="165">
        <f t="shared" si="66"/>
        <v>0</v>
      </c>
      <c r="I243" s="165">
        <f t="shared" si="66"/>
        <v>0</v>
      </c>
    </row>
    <row r="244" spans="1:10" x14ac:dyDescent="0.3">
      <c r="A244" s="85"/>
      <c r="B244" s="166" t="s">
        <v>33</v>
      </c>
      <c r="C244" s="165">
        <f t="shared" si="61"/>
        <v>976.71</v>
      </c>
      <c r="D244" s="165">
        <f>D246</f>
        <v>0.93</v>
      </c>
      <c r="E244" s="165">
        <f t="shared" si="66"/>
        <v>300</v>
      </c>
      <c r="F244" s="165">
        <f t="shared" si="66"/>
        <v>675.78000000000009</v>
      </c>
      <c r="G244" s="165">
        <f t="shared" si="66"/>
        <v>0</v>
      </c>
      <c r="H244" s="165">
        <f t="shared" si="66"/>
        <v>0</v>
      </c>
      <c r="I244" s="165">
        <f t="shared" si="66"/>
        <v>0</v>
      </c>
    </row>
    <row r="245" spans="1:10" s="168" customFormat="1" ht="24.9" x14ac:dyDescent="0.3">
      <c r="A245" s="115" t="s">
        <v>124</v>
      </c>
      <c r="B245" s="167" t="s">
        <v>32</v>
      </c>
      <c r="C245" s="49">
        <f t="shared" si="61"/>
        <v>976.71</v>
      </c>
      <c r="D245" s="49">
        <v>0.93</v>
      </c>
      <c r="E245" s="49">
        <v>300</v>
      </c>
      <c r="F245" s="49">
        <f>976.71-300-0.93</f>
        <v>675.78000000000009</v>
      </c>
      <c r="G245" s="49">
        <v>0</v>
      </c>
      <c r="H245" s="49">
        <v>0</v>
      </c>
      <c r="I245" s="49">
        <v>0</v>
      </c>
    </row>
    <row r="246" spans="1:10" x14ac:dyDescent="0.3">
      <c r="A246" s="60"/>
      <c r="B246" s="90" t="s">
        <v>33</v>
      </c>
      <c r="C246" s="49">
        <f t="shared" si="61"/>
        <v>976.71</v>
      </c>
      <c r="D246" s="49">
        <v>0.93</v>
      </c>
      <c r="E246" s="49">
        <v>300</v>
      </c>
      <c r="F246" s="49">
        <f>976.71-300-0.93</f>
        <v>675.78000000000009</v>
      </c>
      <c r="G246" s="49">
        <v>0</v>
      </c>
      <c r="H246" s="49">
        <v>0</v>
      </c>
      <c r="I246" s="49">
        <v>0</v>
      </c>
    </row>
    <row r="247" spans="1:10" x14ac:dyDescent="0.3">
      <c r="A247" s="1041" t="s">
        <v>125</v>
      </c>
      <c r="B247" s="1042"/>
      <c r="C247" s="1042"/>
      <c r="D247" s="1042"/>
      <c r="E247" s="1042"/>
      <c r="F247" s="1042"/>
      <c r="G247" s="1042"/>
      <c r="H247" s="1042"/>
      <c r="I247" s="1086"/>
    </row>
    <row r="248" spans="1:10" s="51" customFormat="1" x14ac:dyDescent="0.3">
      <c r="A248" s="994" t="s">
        <v>57</v>
      </c>
      <c r="B248" s="995"/>
      <c r="C248" s="995"/>
      <c r="D248" s="995"/>
      <c r="E248" s="995"/>
      <c r="F248" s="995"/>
      <c r="G248" s="995"/>
      <c r="H248" s="995"/>
      <c r="I248" s="996"/>
    </row>
    <row r="249" spans="1:10" s="51" customFormat="1" x14ac:dyDescent="0.3">
      <c r="A249" s="113" t="s">
        <v>87</v>
      </c>
      <c r="B249" s="47" t="s">
        <v>32</v>
      </c>
      <c r="C249" s="48">
        <f t="shared" ref="C249:C273" si="67">D249+E249+F249+G249+H249+I249</f>
        <v>869481.87000000011</v>
      </c>
      <c r="D249" s="49">
        <f t="shared" ref="D249:I250" si="68">D251+D259+D341</f>
        <v>351237.23</v>
      </c>
      <c r="E249" s="49">
        <f t="shared" si="68"/>
        <v>119503</v>
      </c>
      <c r="F249" s="49">
        <f t="shared" si="68"/>
        <v>316750.31000000006</v>
      </c>
      <c r="G249" s="49">
        <f t="shared" si="68"/>
        <v>67979.78</v>
      </c>
      <c r="H249" s="49">
        <f t="shared" si="68"/>
        <v>554.9100000000002</v>
      </c>
      <c r="I249" s="49">
        <f t="shared" si="68"/>
        <v>13456.64</v>
      </c>
    </row>
    <row r="250" spans="1:10" s="51" customFormat="1" x14ac:dyDescent="0.3">
      <c r="A250" s="88"/>
      <c r="B250" s="53" t="s">
        <v>33</v>
      </c>
      <c r="C250" s="48">
        <f t="shared" si="67"/>
        <v>869481.87000000011</v>
      </c>
      <c r="D250" s="49">
        <f t="shared" si="68"/>
        <v>351237.23</v>
      </c>
      <c r="E250" s="49">
        <f t="shared" si="68"/>
        <v>119503</v>
      </c>
      <c r="F250" s="49">
        <f t="shared" si="68"/>
        <v>316750.31000000006</v>
      </c>
      <c r="G250" s="49">
        <f t="shared" si="68"/>
        <v>67979.78</v>
      </c>
      <c r="H250" s="49">
        <f t="shared" si="68"/>
        <v>554.9100000000002</v>
      </c>
      <c r="I250" s="49">
        <f t="shared" si="68"/>
        <v>13456.64</v>
      </c>
    </row>
    <row r="251" spans="1:10" s="1" customFormat="1" x14ac:dyDescent="0.3">
      <c r="A251" s="163" t="s">
        <v>63</v>
      </c>
      <c r="B251" s="47" t="s">
        <v>32</v>
      </c>
      <c r="C251" s="49">
        <f t="shared" si="67"/>
        <v>766152.75000000012</v>
      </c>
      <c r="D251" s="49">
        <f t="shared" ref="D251:I251" si="69">D253+D267</f>
        <v>300470.01</v>
      </c>
      <c r="E251" s="49">
        <f t="shared" si="69"/>
        <v>85006</v>
      </c>
      <c r="F251" s="49">
        <f t="shared" si="69"/>
        <v>304679.41000000003</v>
      </c>
      <c r="G251" s="49">
        <f t="shared" si="69"/>
        <v>67979.78</v>
      </c>
      <c r="H251" s="49">
        <f t="shared" si="69"/>
        <v>554.9100000000002</v>
      </c>
      <c r="I251" s="49">
        <f t="shared" si="69"/>
        <v>7462.6399999999994</v>
      </c>
    </row>
    <row r="252" spans="1:10" s="1" customFormat="1" x14ac:dyDescent="0.3">
      <c r="A252" s="88" t="s">
        <v>87</v>
      </c>
      <c r="B252" s="53" t="s">
        <v>33</v>
      </c>
      <c r="C252" s="49">
        <f t="shared" si="67"/>
        <v>766152.75000000012</v>
      </c>
      <c r="D252" s="49">
        <f t="shared" ref="D252:I252" si="70">D268+D254</f>
        <v>300470.01</v>
      </c>
      <c r="E252" s="49">
        <f t="shared" si="70"/>
        <v>85006</v>
      </c>
      <c r="F252" s="49">
        <f t="shared" si="70"/>
        <v>304679.41000000003</v>
      </c>
      <c r="G252" s="49">
        <f t="shared" si="70"/>
        <v>67979.78</v>
      </c>
      <c r="H252" s="49">
        <f t="shared" si="70"/>
        <v>554.9100000000002</v>
      </c>
      <c r="I252" s="49">
        <f t="shared" si="70"/>
        <v>7462.6399999999994</v>
      </c>
    </row>
    <row r="253" spans="1:10" s="51" customFormat="1" ht="25.75" x14ac:dyDescent="0.35">
      <c r="A253" s="169" t="s">
        <v>126</v>
      </c>
      <c r="B253" s="170" t="s">
        <v>32</v>
      </c>
      <c r="C253" s="143">
        <f t="shared" si="67"/>
        <v>183770</v>
      </c>
      <c r="D253" s="143">
        <f>D255+D257</f>
        <v>183701</v>
      </c>
      <c r="E253" s="143">
        <f t="shared" ref="E253:I254" si="71">E255+E257</f>
        <v>69</v>
      </c>
      <c r="F253" s="143">
        <f t="shared" si="71"/>
        <v>0</v>
      </c>
      <c r="G253" s="143">
        <f t="shared" si="71"/>
        <v>0</v>
      </c>
      <c r="H253" s="143">
        <f t="shared" si="71"/>
        <v>0</v>
      </c>
      <c r="I253" s="143">
        <f t="shared" si="71"/>
        <v>0</v>
      </c>
      <c r="J253" s="50"/>
    </row>
    <row r="254" spans="1:10" s="51" customFormat="1" x14ac:dyDescent="0.3">
      <c r="A254" s="171"/>
      <c r="B254" s="142" t="s">
        <v>33</v>
      </c>
      <c r="C254" s="143">
        <f t="shared" si="67"/>
        <v>183770</v>
      </c>
      <c r="D254" s="143">
        <f>D256+D258</f>
        <v>183701</v>
      </c>
      <c r="E254" s="143">
        <f t="shared" si="71"/>
        <v>69</v>
      </c>
      <c r="F254" s="143">
        <f t="shared" si="71"/>
        <v>0</v>
      </c>
      <c r="G254" s="143">
        <f t="shared" si="71"/>
        <v>0</v>
      </c>
      <c r="H254" s="143">
        <f t="shared" si="71"/>
        <v>0</v>
      </c>
      <c r="I254" s="143">
        <f t="shared" si="71"/>
        <v>0</v>
      </c>
      <c r="J254" s="50"/>
    </row>
    <row r="255" spans="1:10" s="78" customFormat="1" ht="15" customHeight="1" x14ac:dyDescent="0.3">
      <c r="A255" s="1163" t="s">
        <v>127</v>
      </c>
      <c r="B255" s="66" t="s">
        <v>32</v>
      </c>
      <c r="C255" s="108">
        <f t="shared" si="67"/>
        <v>83349</v>
      </c>
      <c r="D255" s="108">
        <f>5+24+13226+38753+31341</f>
        <v>83349</v>
      </c>
      <c r="E255" s="108">
        <v>0</v>
      </c>
      <c r="F255" s="108">
        <v>0</v>
      </c>
      <c r="G255" s="108">
        <v>0</v>
      </c>
      <c r="H255" s="108">
        <v>0</v>
      </c>
      <c r="I255" s="108">
        <v>0</v>
      </c>
    </row>
    <row r="256" spans="1:10" s="78" customFormat="1" ht="38.25" customHeight="1" x14ac:dyDescent="0.3">
      <c r="A256" s="1164"/>
      <c r="B256" s="70" t="s">
        <v>33</v>
      </c>
      <c r="C256" s="108">
        <f t="shared" si="67"/>
        <v>83349</v>
      </c>
      <c r="D256" s="108">
        <f>5+24+13226+38753+31341</f>
        <v>83349</v>
      </c>
      <c r="E256" s="108">
        <v>0</v>
      </c>
      <c r="F256" s="108">
        <v>0</v>
      </c>
      <c r="G256" s="108">
        <v>0</v>
      </c>
      <c r="H256" s="108">
        <v>0</v>
      </c>
      <c r="I256" s="108">
        <v>0</v>
      </c>
    </row>
    <row r="257" spans="1:15" s="105" customFormat="1" ht="37.299999999999997" x14ac:dyDescent="0.3">
      <c r="A257" s="173" t="s">
        <v>128</v>
      </c>
      <c r="B257" s="66" t="s">
        <v>32</v>
      </c>
      <c r="C257" s="108">
        <f t="shared" si="67"/>
        <v>100421</v>
      </c>
      <c r="D257" s="108">
        <f>3+45+3677+40316+56311</f>
        <v>100352</v>
      </c>
      <c r="E257" s="108">
        <v>69</v>
      </c>
      <c r="F257" s="108">
        <f>97018-3725-63700-29593</f>
        <v>0</v>
      </c>
      <c r="G257" s="108">
        <v>0</v>
      </c>
      <c r="H257" s="108">
        <v>0</v>
      </c>
      <c r="I257" s="108">
        <v>0</v>
      </c>
      <c r="J257" s="1034"/>
      <c r="K257" s="1140"/>
      <c r="L257" s="1140"/>
      <c r="M257" s="1140"/>
      <c r="N257" s="1140"/>
      <c r="O257" s="1140"/>
    </row>
    <row r="258" spans="1:15" s="78" customFormat="1" x14ac:dyDescent="0.3">
      <c r="A258" s="174"/>
      <c r="B258" s="70" t="s">
        <v>33</v>
      </c>
      <c r="C258" s="108">
        <f t="shared" si="67"/>
        <v>100421</v>
      </c>
      <c r="D258" s="108">
        <f>3+45+3677+40316+56311</f>
        <v>100352</v>
      </c>
      <c r="E258" s="108">
        <v>69</v>
      </c>
      <c r="F258" s="108">
        <f>97018-3725-63700-29593</f>
        <v>0</v>
      </c>
      <c r="G258" s="108">
        <v>0</v>
      </c>
      <c r="H258" s="108">
        <v>0</v>
      </c>
      <c r="I258" s="108">
        <v>0</v>
      </c>
      <c r="J258" s="1141"/>
      <c r="K258" s="1140"/>
      <c r="L258" s="1140"/>
      <c r="M258" s="1140"/>
      <c r="N258" s="1140"/>
      <c r="O258" s="1140"/>
    </row>
    <row r="259" spans="1:15" s="50" customFormat="1" x14ac:dyDescent="0.3">
      <c r="A259" s="79" t="s">
        <v>47</v>
      </c>
      <c r="B259" s="110" t="s">
        <v>32</v>
      </c>
      <c r="C259" s="108">
        <f>C261</f>
        <v>36442</v>
      </c>
      <c r="D259" s="108">
        <f>D261</f>
        <v>30448</v>
      </c>
      <c r="E259" s="108">
        <f t="shared" ref="E259:I260" si="72">E261</f>
        <v>0</v>
      </c>
      <c r="F259" s="108">
        <f t="shared" si="72"/>
        <v>0</v>
      </c>
      <c r="G259" s="108">
        <f t="shared" si="72"/>
        <v>0</v>
      </c>
      <c r="H259" s="108">
        <f t="shared" si="72"/>
        <v>0</v>
      </c>
      <c r="I259" s="108">
        <f t="shared" si="72"/>
        <v>5994</v>
      </c>
    </row>
    <row r="260" spans="1:15" s="50" customFormat="1" x14ac:dyDescent="0.3">
      <c r="A260" s="82" t="s">
        <v>48</v>
      </c>
      <c r="B260" s="95" t="s">
        <v>33</v>
      </c>
      <c r="C260" s="67">
        <f>C262</f>
        <v>36442</v>
      </c>
      <c r="D260" s="81">
        <f>D262</f>
        <v>30448</v>
      </c>
      <c r="E260" s="81">
        <f t="shared" si="72"/>
        <v>0</v>
      </c>
      <c r="F260" s="81">
        <f t="shared" si="72"/>
        <v>0</v>
      </c>
      <c r="G260" s="81">
        <f t="shared" si="72"/>
        <v>0</v>
      </c>
      <c r="H260" s="81">
        <f t="shared" si="72"/>
        <v>0</v>
      </c>
      <c r="I260" s="81">
        <f t="shared" si="72"/>
        <v>5994</v>
      </c>
    </row>
    <row r="261" spans="1:15" s="51" customFormat="1" ht="25.5" customHeight="1" x14ac:dyDescent="0.35">
      <c r="A261" s="62" t="s">
        <v>49</v>
      </c>
      <c r="B261" s="47" t="s">
        <v>32</v>
      </c>
      <c r="C261" s="48">
        <f t="shared" ref="C261:C266" si="73">D261+E261+F261+G261+H261+I261</f>
        <v>36442</v>
      </c>
      <c r="D261" s="49">
        <f>D263+D265</f>
        <v>30448</v>
      </c>
      <c r="E261" s="49">
        <f t="shared" ref="E261:I262" si="74">E263+E265</f>
        <v>0</v>
      </c>
      <c r="F261" s="49">
        <f t="shared" si="74"/>
        <v>0</v>
      </c>
      <c r="G261" s="49">
        <f t="shared" si="74"/>
        <v>0</v>
      </c>
      <c r="H261" s="49">
        <f t="shared" si="74"/>
        <v>0</v>
      </c>
      <c r="I261" s="49">
        <f t="shared" si="74"/>
        <v>5994</v>
      </c>
      <c r="J261" s="50"/>
    </row>
    <row r="262" spans="1:15" s="51" customFormat="1" ht="12.9" x14ac:dyDescent="0.35">
      <c r="A262" s="52"/>
      <c r="B262" s="53" t="s">
        <v>33</v>
      </c>
      <c r="C262" s="48">
        <f t="shared" si="73"/>
        <v>36442</v>
      </c>
      <c r="D262" s="49">
        <f>D264+D266</f>
        <v>30448</v>
      </c>
      <c r="E262" s="49">
        <f t="shared" si="74"/>
        <v>0</v>
      </c>
      <c r="F262" s="49">
        <f t="shared" si="74"/>
        <v>0</v>
      </c>
      <c r="G262" s="49">
        <f t="shared" si="74"/>
        <v>0</v>
      </c>
      <c r="H262" s="49">
        <f t="shared" si="74"/>
        <v>0</v>
      </c>
      <c r="I262" s="49">
        <f t="shared" si="74"/>
        <v>5994</v>
      </c>
      <c r="J262" s="50"/>
    </row>
    <row r="263" spans="1:15" s="78" customFormat="1" ht="15" customHeight="1" x14ac:dyDescent="0.3">
      <c r="A263" s="1163" t="s">
        <v>127</v>
      </c>
      <c r="B263" s="66" t="s">
        <v>32</v>
      </c>
      <c r="C263" s="108">
        <f t="shared" si="73"/>
        <v>3342</v>
      </c>
      <c r="D263" s="108">
        <v>3342</v>
      </c>
      <c r="E263" s="108">
        <v>0</v>
      </c>
      <c r="F263" s="108">
        <v>0</v>
      </c>
      <c r="G263" s="108">
        <v>0</v>
      </c>
      <c r="H263" s="108">
        <v>0</v>
      </c>
      <c r="I263" s="108">
        <v>0</v>
      </c>
      <c r="J263" s="1022"/>
      <c r="K263" s="1023"/>
      <c r="L263" s="1023"/>
      <c r="M263" s="1023"/>
      <c r="N263" s="1023"/>
      <c r="O263" s="1023"/>
    </row>
    <row r="264" spans="1:15" s="78" customFormat="1" ht="38.25" customHeight="1" x14ac:dyDescent="0.3">
      <c r="A264" s="1164"/>
      <c r="B264" s="70" t="s">
        <v>33</v>
      </c>
      <c r="C264" s="108">
        <f t="shared" si="73"/>
        <v>3342</v>
      </c>
      <c r="D264" s="108">
        <v>3342</v>
      </c>
      <c r="E264" s="108">
        <v>0</v>
      </c>
      <c r="F264" s="108">
        <v>0</v>
      </c>
      <c r="G264" s="108">
        <v>0</v>
      </c>
      <c r="H264" s="108">
        <v>0</v>
      </c>
      <c r="I264" s="108">
        <v>0</v>
      </c>
      <c r="J264" s="1022"/>
      <c r="K264" s="1023"/>
      <c r="L264" s="1023"/>
      <c r="M264" s="1023"/>
      <c r="N264" s="1023"/>
      <c r="O264" s="1023"/>
    </row>
    <row r="265" spans="1:15" s="105" customFormat="1" ht="37.299999999999997" x14ac:dyDescent="0.3">
      <c r="A265" s="173" t="s">
        <v>128</v>
      </c>
      <c r="B265" s="66" t="s">
        <v>32</v>
      </c>
      <c r="C265" s="108">
        <f t="shared" si="73"/>
        <v>33100</v>
      </c>
      <c r="D265" s="108">
        <f>823+26283</f>
        <v>27106</v>
      </c>
      <c r="E265" s="108">
        <v>0</v>
      </c>
      <c r="F265" s="108">
        <v>0</v>
      </c>
      <c r="G265" s="108">
        <v>0</v>
      </c>
      <c r="H265" s="108">
        <v>0</v>
      </c>
      <c r="I265" s="108">
        <f>33100-823-26283</f>
        <v>5994</v>
      </c>
      <c r="J265" s="1034"/>
      <c r="K265" s="1050"/>
      <c r="L265" s="1050"/>
      <c r="M265" s="1050"/>
      <c r="N265" s="1050"/>
      <c r="O265" s="1050"/>
    </row>
    <row r="266" spans="1:15" s="78" customFormat="1" x14ac:dyDescent="0.3">
      <c r="A266" s="174"/>
      <c r="B266" s="70" t="s">
        <v>33</v>
      </c>
      <c r="C266" s="108">
        <f t="shared" si="73"/>
        <v>33100</v>
      </c>
      <c r="D266" s="108">
        <f>823+26283</f>
        <v>27106</v>
      </c>
      <c r="E266" s="108">
        <v>0</v>
      </c>
      <c r="F266" s="108">
        <v>0</v>
      </c>
      <c r="G266" s="108">
        <v>0</v>
      </c>
      <c r="H266" s="108">
        <v>0</v>
      </c>
      <c r="I266" s="108">
        <f>33100-823-26283</f>
        <v>5994</v>
      </c>
      <c r="J266" s="1051"/>
      <c r="K266" s="1050"/>
      <c r="L266" s="1050"/>
      <c r="M266" s="1050"/>
      <c r="N266" s="1050"/>
      <c r="O266" s="1050"/>
    </row>
    <row r="267" spans="1:15" s="51" customFormat="1" x14ac:dyDescent="0.3">
      <c r="A267" s="175" t="s">
        <v>40</v>
      </c>
      <c r="B267" s="176" t="s">
        <v>32</v>
      </c>
      <c r="C267" s="158">
        <f t="shared" si="67"/>
        <v>582382.75000000012</v>
      </c>
      <c r="D267" s="158">
        <f t="shared" ref="D267:I270" si="75">D269</f>
        <v>116769.01000000001</v>
      </c>
      <c r="E267" s="158">
        <f t="shared" si="75"/>
        <v>84937</v>
      </c>
      <c r="F267" s="158">
        <f t="shared" si="75"/>
        <v>304679.41000000003</v>
      </c>
      <c r="G267" s="158">
        <f t="shared" si="75"/>
        <v>67979.78</v>
      </c>
      <c r="H267" s="158">
        <f t="shared" si="75"/>
        <v>554.9100000000002</v>
      </c>
      <c r="I267" s="158">
        <f t="shared" si="75"/>
        <v>7462.6399999999994</v>
      </c>
    </row>
    <row r="268" spans="1:15" s="51" customFormat="1" x14ac:dyDescent="0.3">
      <c r="A268" s="171"/>
      <c r="B268" s="177" t="s">
        <v>33</v>
      </c>
      <c r="C268" s="158">
        <f t="shared" si="67"/>
        <v>582382.75000000012</v>
      </c>
      <c r="D268" s="158">
        <f t="shared" si="75"/>
        <v>116769.01000000001</v>
      </c>
      <c r="E268" s="158">
        <f t="shared" si="75"/>
        <v>84937</v>
      </c>
      <c r="F268" s="158">
        <f t="shared" si="75"/>
        <v>304679.41000000003</v>
      </c>
      <c r="G268" s="158">
        <f t="shared" si="75"/>
        <v>67979.78</v>
      </c>
      <c r="H268" s="158">
        <f t="shared" si="75"/>
        <v>554.9100000000002</v>
      </c>
      <c r="I268" s="158">
        <f t="shared" si="75"/>
        <v>7462.6399999999994</v>
      </c>
    </row>
    <row r="269" spans="1:15" x14ac:dyDescent="0.3">
      <c r="A269" s="178" t="s">
        <v>60</v>
      </c>
      <c r="B269" s="150" t="s">
        <v>32</v>
      </c>
      <c r="C269" s="179">
        <f t="shared" si="67"/>
        <v>582382.75000000012</v>
      </c>
      <c r="D269" s="97">
        <f t="shared" si="75"/>
        <v>116769.01000000001</v>
      </c>
      <c r="E269" s="143">
        <f t="shared" si="75"/>
        <v>84937</v>
      </c>
      <c r="F269" s="143">
        <f t="shared" si="75"/>
        <v>304679.41000000003</v>
      </c>
      <c r="G269" s="97">
        <f t="shared" si="75"/>
        <v>67979.78</v>
      </c>
      <c r="H269" s="97">
        <f t="shared" si="75"/>
        <v>554.9100000000002</v>
      </c>
      <c r="I269" s="97">
        <f t="shared" si="75"/>
        <v>7462.6399999999994</v>
      </c>
      <c r="J269" s="30"/>
    </row>
    <row r="270" spans="1:15" x14ac:dyDescent="0.3">
      <c r="A270" s="180"/>
      <c r="B270" s="99" t="s">
        <v>33</v>
      </c>
      <c r="C270" s="179">
        <f t="shared" si="67"/>
        <v>582382.75000000012</v>
      </c>
      <c r="D270" s="97">
        <f t="shared" si="75"/>
        <v>116769.01000000001</v>
      </c>
      <c r="E270" s="143">
        <f t="shared" si="75"/>
        <v>84937</v>
      </c>
      <c r="F270" s="143">
        <f t="shared" si="75"/>
        <v>304679.41000000003</v>
      </c>
      <c r="G270" s="97">
        <f t="shared" si="75"/>
        <v>67979.78</v>
      </c>
      <c r="H270" s="97">
        <f t="shared" si="75"/>
        <v>554.9100000000002</v>
      </c>
      <c r="I270" s="97">
        <f t="shared" si="75"/>
        <v>7462.6399999999994</v>
      </c>
    </row>
    <row r="271" spans="1:15" x14ac:dyDescent="0.3">
      <c r="A271" s="181" t="s">
        <v>61</v>
      </c>
      <c r="B271" s="176" t="s">
        <v>32</v>
      </c>
      <c r="C271" s="158">
        <f t="shared" si="67"/>
        <v>582382.75000000012</v>
      </c>
      <c r="D271" s="158">
        <f>D273+D275+D277+D279+D281+D283+D285+D287+D289+D291+D293+D295+D297+D299+D301+D303+D305+D307+D309+D311+D313+D315+D317+D319+D321+D323+D325+D327+D329+D331+D333+D335+D337+D339</f>
        <v>116769.01000000001</v>
      </c>
      <c r="E271" s="158">
        <f t="shared" ref="E271:I272" si="76">E273+E275+E277+E279+E281+E283+E285+E287+E289+E291+E293+E295+E297+E299+E301+E303+E305+E307+E309+E311+E313+E315+E317+E319+E321+E323+E325+E327+E329+E331+E333+E335+E337+E339</f>
        <v>84937</v>
      </c>
      <c r="F271" s="158">
        <f t="shared" si="76"/>
        <v>304679.41000000003</v>
      </c>
      <c r="G271" s="158">
        <f t="shared" si="76"/>
        <v>67979.78</v>
      </c>
      <c r="H271" s="158">
        <f t="shared" si="76"/>
        <v>554.9100000000002</v>
      </c>
      <c r="I271" s="158">
        <f t="shared" si="76"/>
        <v>7462.6399999999994</v>
      </c>
    </row>
    <row r="272" spans="1:15" x14ac:dyDescent="0.3">
      <c r="A272" s="181"/>
      <c r="B272" s="177" t="s">
        <v>33</v>
      </c>
      <c r="C272" s="158">
        <f t="shared" si="67"/>
        <v>582382.75000000012</v>
      </c>
      <c r="D272" s="158">
        <f>D274+D276+D278+D280+D282+D284+D286+D288+D290+D292+D294+D296+D298+D300+D302+D304+D306+D308+D310+D312+D314+D316+D318+D320+D322+D324+D326+D328+D330+D332+D334+D336+D338+D340</f>
        <v>116769.01000000001</v>
      </c>
      <c r="E272" s="158">
        <f t="shared" si="76"/>
        <v>84937</v>
      </c>
      <c r="F272" s="158">
        <f t="shared" si="76"/>
        <v>304679.41000000003</v>
      </c>
      <c r="G272" s="158">
        <f t="shared" si="76"/>
        <v>67979.78</v>
      </c>
      <c r="H272" s="158">
        <f t="shared" si="76"/>
        <v>554.9100000000002</v>
      </c>
      <c r="I272" s="158">
        <f t="shared" si="76"/>
        <v>7462.6399999999994</v>
      </c>
    </row>
    <row r="273" spans="1:17" s="1" customFormat="1" ht="27.75" customHeight="1" x14ac:dyDescent="0.3">
      <c r="A273" s="113" t="s">
        <v>129</v>
      </c>
      <c r="B273" s="47" t="s">
        <v>32</v>
      </c>
      <c r="C273" s="49">
        <f t="shared" si="67"/>
        <v>6479</v>
      </c>
      <c r="D273" s="49">
        <f>D274</f>
        <v>6449.36</v>
      </c>
      <c r="E273" s="49">
        <v>0</v>
      </c>
      <c r="F273" s="49">
        <v>0</v>
      </c>
      <c r="G273" s="49">
        <v>0</v>
      </c>
      <c r="H273" s="49">
        <v>0</v>
      </c>
      <c r="I273" s="49">
        <f>80-50.36</f>
        <v>29.64</v>
      </c>
      <c r="J273" s="1048" t="s">
        <v>130</v>
      </c>
      <c r="K273" s="1049"/>
      <c r="L273" s="1049"/>
      <c r="M273" s="1049"/>
      <c r="N273" s="1049"/>
      <c r="O273" s="1049"/>
    </row>
    <row r="274" spans="1:17" s="168" customFormat="1" x14ac:dyDescent="0.3">
      <c r="A274" s="71"/>
      <c r="B274" s="53" t="s">
        <v>33</v>
      </c>
      <c r="C274" s="49">
        <f>D274+E274+F274+G274+H274+I274</f>
        <v>6479</v>
      </c>
      <c r="D274" s="49">
        <f>6399+50.36</f>
        <v>6449.36</v>
      </c>
      <c r="E274" s="49">
        <v>0</v>
      </c>
      <c r="F274" s="49">
        <v>0</v>
      </c>
      <c r="G274" s="49">
        <v>0</v>
      </c>
      <c r="H274" s="49">
        <v>0</v>
      </c>
      <c r="I274" s="49">
        <f>80-50.36</f>
        <v>29.64</v>
      </c>
      <c r="J274" s="1048"/>
      <c r="K274" s="1049"/>
      <c r="L274" s="1049"/>
      <c r="M274" s="1049"/>
      <c r="N274" s="1049"/>
      <c r="O274" s="1049"/>
    </row>
    <row r="275" spans="1:17" s="184" customFormat="1" ht="24.9" x14ac:dyDescent="0.3">
      <c r="A275" s="182" t="s">
        <v>131</v>
      </c>
      <c r="B275" s="150" t="s">
        <v>32</v>
      </c>
      <c r="C275" s="97">
        <f t="shared" ref="C275:C290" si="77">D275+E275+F275+G275+H275+I275</f>
        <v>2090</v>
      </c>
      <c r="D275" s="97">
        <f>D276</f>
        <v>2090</v>
      </c>
      <c r="E275" s="183">
        <v>0</v>
      </c>
      <c r="F275" s="183">
        <v>0</v>
      </c>
      <c r="G275" s="183">
        <v>0</v>
      </c>
      <c r="H275" s="183">
        <v>0</v>
      </c>
      <c r="I275" s="183">
        <v>0</v>
      </c>
      <c r="J275" s="1161" t="s">
        <v>132</v>
      </c>
      <c r="K275" s="1162"/>
      <c r="L275" s="1162"/>
      <c r="M275" s="1162"/>
      <c r="N275" s="1162"/>
      <c r="O275" s="1162"/>
      <c r="P275" s="1162"/>
      <c r="Q275" s="1162"/>
    </row>
    <row r="276" spans="1:17" s="184" customFormat="1" x14ac:dyDescent="0.3">
      <c r="A276" s="180"/>
      <c r="B276" s="99" t="s">
        <v>33</v>
      </c>
      <c r="C276" s="97">
        <f t="shared" si="77"/>
        <v>2090</v>
      </c>
      <c r="D276" s="97">
        <f>1572+518</f>
        <v>2090</v>
      </c>
      <c r="E276" s="183">
        <v>0</v>
      </c>
      <c r="F276" s="183">
        <v>0</v>
      </c>
      <c r="G276" s="183">
        <v>0</v>
      </c>
      <c r="H276" s="183">
        <v>0</v>
      </c>
      <c r="I276" s="183">
        <v>0</v>
      </c>
      <c r="J276" s="1161"/>
      <c r="K276" s="1162"/>
      <c r="L276" s="1162"/>
      <c r="M276" s="1162"/>
      <c r="N276" s="1162"/>
      <c r="O276" s="1162"/>
      <c r="P276" s="1162"/>
      <c r="Q276" s="1162"/>
    </row>
    <row r="277" spans="1:17" s="131" customFormat="1" ht="24.9" x14ac:dyDescent="0.3">
      <c r="A277" s="91" t="s">
        <v>133</v>
      </c>
      <c r="B277" s="150" t="s">
        <v>32</v>
      </c>
      <c r="C277" s="97">
        <f t="shared" si="77"/>
        <v>2306.3100000000004</v>
      </c>
      <c r="D277" s="97">
        <f>1692.22+595.25</f>
        <v>2287.4700000000003</v>
      </c>
      <c r="E277" s="97">
        <v>18</v>
      </c>
      <c r="F277" s="97">
        <v>0</v>
      </c>
      <c r="G277" s="97">
        <v>0.84</v>
      </c>
      <c r="H277" s="97">
        <v>0</v>
      </c>
      <c r="I277" s="97">
        <f>2708-1692-1016</f>
        <v>0</v>
      </c>
      <c r="J277" s="1157" t="s">
        <v>134</v>
      </c>
      <c r="K277" s="1158"/>
      <c r="L277" s="1158"/>
      <c r="M277" s="1158"/>
      <c r="N277" s="1158"/>
      <c r="O277" s="1158"/>
      <c r="P277" s="1158"/>
      <c r="Q277" s="1158"/>
    </row>
    <row r="278" spans="1:17" s="131" customFormat="1" x14ac:dyDescent="0.3">
      <c r="A278" s="180"/>
      <c r="B278" s="99" t="s">
        <v>33</v>
      </c>
      <c r="C278" s="97">
        <f t="shared" si="77"/>
        <v>2306.3100000000004</v>
      </c>
      <c r="D278" s="97">
        <f>1692.22+595.25</f>
        <v>2287.4700000000003</v>
      </c>
      <c r="E278" s="97">
        <v>18</v>
      </c>
      <c r="F278" s="97">
        <v>0</v>
      </c>
      <c r="G278" s="97">
        <v>0.84</v>
      </c>
      <c r="H278" s="97">
        <v>0</v>
      </c>
      <c r="I278" s="97">
        <f>2708-1692-1016</f>
        <v>0</v>
      </c>
      <c r="J278" s="1157"/>
      <c r="K278" s="1158"/>
      <c r="L278" s="1158"/>
      <c r="M278" s="1158"/>
      <c r="N278" s="1158"/>
      <c r="O278" s="1158"/>
      <c r="P278" s="1158"/>
      <c r="Q278" s="1158"/>
    </row>
    <row r="279" spans="1:17" s="131" customFormat="1" ht="24.9" x14ac:dyDescent="0.3">
      <c r="A279" s="182" t="s">
        <v>135</v>
      </c>
      <c r="B279" s="150" t="s">
        <v>32</v>
      </c>
      <c r="C279" s="97">
        <f t="shared" si="77"/>
        <v>4616.13</v>
      </c>
      <c r="D279" s="97">
        <f>D280</f>
        <v>3720.79</v>
      </c>
      <c r="E279" s="97">
        <v>339</v>
      </c>
      <c r="F279" s="97">
        <v>0</v>
      </c>
      <c r="G279" s="97">
        <v>1.43</v>
      </c>
      <c r="H279" s="97">
        <f>4616.13-3720.79-239-100-1.43</f>
        <v>554.9100000000002</v>
      </c>
      <c r="I279" s="97">
        <v>0</v>
      </c>
      <c r="J279" s="1157" t="s">
        <v>136</v>
      </c>
      <c r="K279" s="1158"/>
      <c r="L279" s="1158"/>
      <c r="M279" s="1158"/>
      <c r="N279" s="1158"/>
      <c r="O279" s="1158"/>
    </row>
    <row r="280" spans="1:17" s="131" customFormat="1" x14ac:dyDescent="0.3">
      <c r="A280" s="180"/>
      <c r="B280" s="99" t="s">
        <v>33</v>
      </c>
      <c r="C280" s="97">
        <f t="shared" si="77"/>
        <v>4616.13</v>
      </c>
      <c r="D280" s="97">
        <f>965.57+2241.48+513.74</f>
        <v>3720.79</v>
      </c>
      <c r="E280" s="97">
        <v>339</v>
      </c>
      <c r="F280" s="97">
        <v>0</v>
      </c>
      <c r="G280" s="97">
        <v>1.43</v>
      </c>
      <c r="H280" s="97">
        <f>4616.13-3720.79-239-100-1.43</f>
        <v>554.9100000000002</v>
      </c>
      <c r="I280" s="97">
        <v>0</v>
      </c>
      <c r="J280" s="1157"/>
      <c r="K280" s="1158"/>
      <c r="L280" s="1158"/>
      <c r="M280" s="1158"/>
      <c r="N280" s="1158"/>
      <c r="O280" s="1158"/>
    </row>
    <row r="281" spans="1:17" s="131" customFormat="1" ht="27" customHeight="1" x14ac:dyDescent="0.3">
      <c r="A281" s="185" t="s">
        <v>137</v>
      </c>
      <c r="B281" s="150" t="s">
        <v>32</v>
      </c>
      <c r="C281" s="97">
        <f t="shared" si="77"/>
        <v>11754.330000000002</v>
      </c>
      <c r="D281" s="97">
        <f>D282</f>
        <v>11748.330000000002</v>
      </c>
      <c r="E281" s="97">
        <v>6</v>
      </c>
      <c r="F281" s="97">
        <v>0</v>
      </c>
      <c r="G281" s="97">
        <v>0</v>
      </c>
      <c r="H281" s="97">
        <v>0</v>
      </c>
      <c r="I281" s="97">
        <v>0</v>
      </c>
      <c r="J281" s="1157" t="s">
        <v>138</v>
      </c>
      <c r="K281" s="1158"/>
      <c r="L281" s="1158"/>
      <c r="M281" s="1158"/>
      <c r="N281" s="1158"/>
      <c r="O281" s="1158"/>
    </row>
    <row r="282" spans="1:17" s="131" customFormat="1" x14ac:dyDescent="0.3">
      <c r="A282" s="180"/>
      <c r="B282" s="99" t="s">
        <v>33</v>
      </c>
      <c r="C282" s="97">
        <f t="shared" si="77"/>
        <v>11754.330000000002</v>
      </c>
      <c r="D282" s="97">
        <f>11700.54+47.79</f>
        <v>11748.330000000002</v>
      </c>
      <c r="E282" s="97">
        <v>6</v>
      </c>
      <c r="F282" s="97">
        <v>0</v>
      </c>
      <c r="G282" s="97">
        <v>0</v>
      </c>
      <c r="H282" s="97">
        <v>0</v>
      </c>
      <c r="I282" s="97">
        <v>0</v>
      </c>
      <c r="J282" s="1157"/>
      <c r="K282" s="1158"/>
      <c r="L282" s="1158"/>
      <c r="M282" s="1158"/>
      <c r="N282" s="1158"/>
      <c r="O282" s="1158"/>
    </row>
    <row r="283" spans="1:17" s="93" customFormat="1" ht="24.9" x14ac:dyDescent="0.3">
      <c r="A283" s="91" t="s">
        <v>139</v>
      </c>
      <c r="B283" s="92" t="s">
        <v>32</v>
      </c>
      <c r="C283" s="81">
        <f t="shared" si="77"/>
        <v>28131.65</v>
      </c>
      <c r="D283" s="81">
        <f>D284</f>
        <v>140.93</v>
      </c>
      <c r="E283" s="81">
        <v>17831</v>
      </c>
      <c r="F283" s="81">
        <v>10159.719999999999</v>
      </c>
      <c r="G283" s="81">
        <v>0</v>
      </c>
      <c r="H283" s="81">
        <v>0</v>
      </c>
      <c r="I283" s="81">
        <v>0</v>
      </c>
      <c r="J283" s="1150" t="s">
        <v>140</v>
      </c>
      <c r="K283" s="1151"/>
      <c r="L283" s="1151"/>
      <c r="M283" s="1151"/>
      <c r="N283" s="1151"/>
      <c r="O283" s="1151"/>
      <c r="P283" s="1151"/>
      <c r="Q283" s="1151"/>
    </row>
    <row r="284" spans="1:17" s="93" customFormat="1" x14ac:dyDescent="0.3">
      <c r="A284" s="186"/>
      <c r="B284" s="95" t="s">
        <v>33</v>
      </c>
      <c r="C284" s="81">
        <f t="shared" si="77"/>
        <v>28131.65</v>
      </c>
      <c r="D284" s="81">
        <f>48.81+92.12</f>
        <v>140.93</v>
      </c>
      <c r="E284" s="81">
        <v>17831</v>
      </c>
      <c r="F284" s="81">
        <v>10159.719999999999</v>
      </c>
      <c r="G284" s="81">
        <v>0</v>
      </c>
      <c r="H284" s="81">
        <v>0</v>
      </c>
      <c r="I284" s="81">
        <v>0</v>
      </c>
      <c r="J284" s="1150"/>
      <c r="K284" s="1151"/>
      <c r="L284" s="1151"/>
      <c r="M284" s="1151"/>
      <c r="N284" s="1151"/>
      <c r="O284" s="1151"/>
      <c r="P284" s="1151"/>
      <c r="Q284" s="1151"/>
    </row>
    <row r="285" spans="1:17" s="131" customFormat="1" ht="24.9" x14ac:dyDescent="0.3">
      <c r="A285" s="182" t="s">
        <v>141</v>
      </c>
      <c r="B285" s="150" t="s">
        <v>32</v>
      </c>
      <c r="C285" s="97">
        <f t="shared" si="77"/>
        <v>9653.69</v>
      </c>
      <c r="D285" s="97">
        <f>5063.6+4582.51</f>
        <v>9646.11</v>
      </c>
      <c r="E285" s="97">
        <v>4</v>
      </c>
      <c r="F285" s="97">
        <f>9653.69-9646.11-4</f>
        <v>3.5799999999999272</v>
      </c>
      <c r="G285" s="97">
        <v>0</v>
      </c>
      <c r="H285" s="97">
        <v>0</v>
      </c>
      <c r="I285" s="97">
        <v>0</v>
      </c>
      <c r="J285" s="1157" t="s">
        <v>142</v>
      </c>
      <c r="K285" s="1158"/>
      <c r="L285" s="1158"/>
      <c r="M285" s="1158"/>
      <c r="N285" s="1158"/>
      <c r="O285" s="1158"/>
      <c r="P285" s="1158"/>
    </row>
    <row r="286" spans="1:17" s="131" customFormat="1" x14ac:dyDescent="0.3">
      <c r="A286" s="180"/>
      <c r="B286" s="99" t="s">
        <v>33</v>
      </c>
      <c r="C286" s="97">
        <f t="shared" si="77"/>
        <v>9653.69</v>
      </c>
      <c r="D286" s="97">
        <f>5063.6+4582.51</f>
        <v>9646.11</v>
      </c>
      <c r="E286" s="97">
        <v>4</v>
      </c>
      <c r="F286" s="97">
        <f>9653.69-9646.11-4</f>
        <v>3.5799999999999272</v>
      </c>
      <c r="G286" s="97">
        <v>0</v>
      </c>
      <c r="H286" s="97">
        <v>0</v>
      </c>
      <c r="I286" s="97">
        <v>0</v>
      </c>
      <c r="J286" s="1157"/>
      <c r="K286" s="1158"/>
      <c r="L286" s="1158"/>
      <c r="M286" s="1158"/>
      <c r="N286" s="1158"/>
      <c r="O286" s="1158"/>
      <c r="P286" s="1158"/>
    </row>
    <row r="287" spans="1:17" s="131" customFormat="1" ht="24.9" x14ac:dyDescent="0.3">
      <c r="A287" s="182" t="s">
        <v>143</v>
      </c>
      <c r="B287" s="150" t="s">
        <v>32</v>
      </c>
      <c r="C287" s="97">
        <f t="shared" si="77"/>
        <v>4122.58</v>
      </c>
      <c r="D287" s="97">
        <f>4103.1+16.48</f>
        <v>4119.58</v>
      </c>
      <c r="E287" s="97">
        <v>3</v>
      </c>
      <c r="F287" s="97">
        <v>0</v>
      </c>
      <c r="G287" s="97">
        <v>0</v>
      </c>
      <c r="H287" s="97">
        <v>0</v>
      </c>
      <c r="I287" s="97">
        <v>0</v>
      </c>
      <c r="J287" s="1156" t="s">
        <v>144</v>
      </c>
      <c r="K287" s="1037"/>
      <c r="L287" s="1037"/>
      <c r="M287" s="1037"/>
    </row>
    <row r="288" spans="1:17" s="131" customFormat="1" x14ac:dyDescent="0.3">
      <c r="A288" s="180"/>
      <c r="B288" s="99" t="s">
        <v>33</v>
      </c>
      <c r="C288" s="97">
        <f t="shared" si="77"/>
        <v>4122.58</v>
      </c>
      <c r="D288" s="97">
        <f>4103.1+16.48</f>
        <v>4119.58</v>
      </c>
      <c r="E288" s="97">
        <v>3</v>
      </c>
      <c r="F288" s="97">
        <v>0</v>
      </c>
      <c r="G288" s="97">
        <v>0</v>
      </c>
      <c r="H288" s="97">
        <v>0</v>
      </c>
      <c r="I288" s="97">
        <v>0</v>
      </c>
      <c r="J288" s="1038"/>
      <c r="K288" s="1037"/>
      <c r="L288" s="1037"/>
      <c r="M288" s="1037"/>
    </row>
    <row r="289" spans="1:17" s="131" customFormat="1" ht="24.9" x14ac:dyDescent="0.3">
      <c r="A289" s="182" t="s">
        <v>145</v>
      </c>
      <c r="B289" s="150" t="s">
        <v>32</v>
      </c>
      <c r="C289" s="97">
        <f t="shared" si="77"/>
        <v>14721.36</v>
      </c>
      <c r="D289" s="97">
        <f>11215.9+3501.46</f>
        <v>14717.36</v>
      </c>
      <c r="E289" s="97">
        <v>4</v>
      </c>
      <c r="F289" s="97">
        <v>0</v>
      </c>
      <c r="G289" s="97">
        <v>0</v>
      </c>
      <c r="H289" s="97">
        <v>0</v>
      </c>
      <c r="I289" s="97">
        <v>0</v>
      </c>
      <c r="J289" s="1157" t="s">
        <v>146</v>
      </c>
      <c r="K289" s="1158"/>
      <c r="L289" s="1158"/>
      <c r="M289" s="1158"/>
      <c r="N289" s="1158"/>
      <c r="O289" s="1158"/>
    </row>
    <row r="290" spans="1:17" s="131" customFormat="1" x14ac:dyDescent="0.3">
      <c r="A290" s="180"/>
      <c r="B290" s="99" t="s">
        <v>33</v>
      </c>
      <c r="C290" s="97">
        <f t="shared" si="77"/>
        <v>14721.36</v>
      </c>
      <c r="D290" s="97">
        <f>11215.9+3501.46</f>
        <v>14717.36</v>
      </c>
      <c r="E290" s="97">
        <v>4</v>
      </c>
      <c r="F290" s="97">
        <v>0</v>
      </c>
      <c r="G290" s="97">
        <v>0</v>
      </c>
      <c r="H290" s="97">
        <v>0</v>
      </c>
      <c r="I290" s="97">
        <v>0</v>
      </c>
      <c r="J290" s="1157"/>
      <c r="K290" s="1158"/>
      <c r="L290" s="1158"/>
      <c r="M290" s="1158"/>
      <c r="N290" s="1158"/>
      <c r="O290" s="1158"/>
    </row>
    <row r="291" spans="1:17" s="96" customFormat="1" ht="15.75" customHeight="1" x14ac:dyDescent="0.3">
      <c r="A291" s="1159" t="s">
        <v>147</v>
      </c>
      <c r="B291" s="92" t="s">
        <v>32</v>
      </c>
      <c r="C291" s="81">
        <f>D291+E291+F291+G291+H291+I291</f>
        <v>5267</v>
      </c>
      <c r="D291" s="81">
        <f>D292</f>
        <v>1684</v>
      </c>
      <c r="E291" s="81">
        <v>0</v>
      </c>
      <c r="F291" s="81">
        <v>0</v>
      </c>
      <c r="G291" s="81">
        <v>0</v>
      </c>
      <c r="H291" s="81">
        <v>0</v>
      </c>
      <c r="I291" s="81">
        <v>3583</v>
      </c>
    </row>
    <row r="292" spans="1:17" s="96" customFormat="1" ht="11.25" customHeight="1" x14ac:dyDescent="0.3">
      <c r="A292" s="1160"/>
      <c r="B292" s="95" t="s">
        <v>33</v>
      </c>
      <c r="C292" s="81">
        <f>D292+E292+F292+G292+H292+I292</f>
        <v>5267</v>
      </c>
      <c r="D292" s="81">
        <f>723+904+57</f>
        <v>1684</v>
      </c>
      <c r="E292" s="81">
        <v>0</v>
      </c>
      <c r="F292" s="81">
        <v>0</v>
      </c>
      <c r="G292" s="81">
        <v>0</v>
      </c>
      <c r="H292" s="81">
        <v>0</v>
      </c>
      <c r="I292" s="81">
        <v>3583</v>
      </c>
    </row>
    <row r="293" spans="1:17" s="93" customFormat="1" ht="18.75" customHeight="1" x14ac:dyDescent="0.3">
      <c r="A293" s="1159" t="s">
        <v>148</v>
      </c>
      <c r="B293" s="92" t="s">
        <v>32</v>
      </c>
      <c r="C293" s="81">
        <f>D293+E293+F293+G293+H293+I293</f>
        <v>33602.810000000005</v>
      </c>
      <c r="D293" s="81">
        <f>62.72+4840.96+3677.06+7615.77</f>
        <v>16196.51</v>
      </c>
      <c r="E293" s="81">
        <v>16506</v>
      </c>
      <c r="F293" s="81">
        <v>900.3</v>
      </c>
      <c r="G293" s="81">
        <v>0</v>
      </c>
      <c r="H293" s="81">
        <v>0</v>
      </c>
      <c r="I293" s="81">
        <v>0</v>
      </c>
      <c r="J293" s="1154" t="s">
        <v>149</v>
      </c>
      <c r="K293" s="1155"/>
      <c r="L293" s="1155"/>
      <c r="M293" s="1155"/>
      <c r="N293" s="1155"/>
      <c r="O293" s="1155"/>
      <c r="P293" s="1083"/>
      <c r="Q293" s="1083"/>
    </row>
    <row r="294" spans="1:17" s="93" customFormat="1" ht="25.5" customHeight="1" x14ac:dyDescent="0.3">
      <c r="A294" s="1160"/>
      <c r="B294" s="95" t="s">
        <v>33</v>
      </c>
      <c r="C294" s="81">
        <f>D294+E294+F294+G294+H294+I294</f>
        <v>33602.810000000005</v>
      </c>
      <c r="D294" s="81">
        <f>62.72+4840.96+3677.06+7615.77</f>
        <v>16196.51</v>
      </c>
      <c r="E294" s="81">
        <v>16506</v>
      </c>
      <c r="F294" s="81">
        <v>900.3</v>
      </c>
      <c r="G294" s="81">
        <v>0</v>
      </c>
      <c r="H294" s="81">
        <v>0</v>
      </c>
      <c r="I294" s="81">
        <v>0</v>
      </c>
      <c r="J294" s="1154"/>
      <c r="K294" s="1155"/>
      <c r="L294" s="1155"/>
      <c r="M294" s="1155"/>
      <c r="N294" s="1155"/>
      <c r="O294" s="1155"/>
      <c r="P294" s="1083"/>
      <c r="Q294" s="1083"/>
    </row>
    <row r="295" spans="1:17" s="93" customFormat="1" ht="25.5" customHeight="1" x14ac:dyDescent="0.3">
      <c r="A295" s="91" t="s">
        <v>150</v>
      </c>
      <c r="B295" s="92" t="s">
        <v>32</v>
      </c>
      <c r="C295" s="81">
        <f t="shared" ref="C295:C356" si="78">D295+E295+F295+G295+H295+I295</f>
        <v>80005</v>
      </c>
      <c r="D295" s="81">
        <f>13+1212+1038+18.43</f>
        <v>2281.4299999999998</v>
      </c>
      <c r="E295" s="187">
        <v>0</v>
      </c>
      <c r="F295" s="81">
        <f>80005-2281.43-1548+1500+48</f>
        <v>77723.570000000007</v>
      </c>
      <c r="G295" s="81">
        <v>0</v>
      </c>
      <c r="H295" s="81">
        <v>0</v>
      </c>
      <c r="I295" s="81">
        <v>0</v>
      </c>
    </row>
    <row r="296" spans="1:17" s="105" customFormat="1" ht="18" customHeight="1" x14ac:dyDescent="0.35">
      <c r="A296" s="188"/>
      <c r="B296" s="95" t="s">
        <v>33</v>
      </c>
      <c r="C296" s="81">
        <f t="shared" si="78"/>
        <v>80005</v>
      </c>
      <c r="D296" s="81">
        <f>13+1212+1038+18.43</f>
        <v>2281.4299999999998</v>
      </c>
      <c r="E296" s="187">
        <v>0</v>
      </c>
      <c r="F296" s="81">
        <f>80005-2281.43-1548+1500+48</f>
        <v>77723.570000000007</v>
      </c>
      <c r="G296" s="81">
        <v>0</v>
      </c>
      <c r="H296" s="81">
        <v>0</v>
      </c>
      <c r="I296" s="81">
        <v>0</v>
      </c>
    </row>
    <row r="297" spans="1:17" s="168" customFormat="1" ht="27" customHeight="1" x14ac:dyDescent="0.3">
      <c r="A297" s="189" t="s">
        <v>151</v>
      </c>
      <c r="B297" s="47" t="s">
        <v>32</v>
      </c>
      <c r="C297" s="49">
        <f t="shared" si="78"/>
        <v>1938.2</v>
      </c>
      <c r="D297" s="49">
        <f>60.37+0.37</f>
        <v>60.739999999999995</v>
      </c>
      <c r="E297" s="49">
        <v>250</v>
      </c>
      <c r="F297" s="49">
        <v>1627.46</v>
      </c>
      <c r="G297" s="49">
        <v>0</v>
      </c>
      <c r="H297" s="49">
        <v>0</v>
      </c>
      <c r="I297" s="49">
        <v>0</v>
      </c>
      <c r="J297" s="190"/>
    </row>
    <row r="298" spans="1:17" s="65" customFormat="1" ht="17.25" customHeight="1" x14ac:dyDescent="0.3">
      <c r="A298" s="191"/>
      <c r="B298" s="53" t="s">
        <v>33</v>
      </c>
      <c r="C298" s="49">
        <f t="shared" si="78"/>
        <v>1938.2</v>
      </c>
      <c r="D298" s="49">
        <f>60.37+0.37</f>
        <v>60.739999999999995</v>
      </c>
      <c r="E298" s="49">
        <v>250</v>
      </c>
      <c r="F298" s="49">
        <v>1627.46</v>
      </c>
      <c r="G298" s="49">
        <v>0</v>
      </c>
      <c r="H298" s="49">
        <v>0</v>
      </c>
      <c r="I298" s="49">
        <v>0</v>
      </c>
    </row>
    <row r="299" spans="1:17" s="105" customFormat="1" ht="39" customHeight="1" x14ac:dyDescent="0.3">
      <c r="A299" s="154" t="s">
        <v>152</v>
      </c>
      <c r="B299" s="110" t="s">
        <v>32</v>
      </c>
      <c r="C299" s="108">
        <f t="shared" si="78"/>
        <v>897.33</v>
      </c>
      <c r="D299" s="108">
        <v>821</v>
      </c>
      <c r="E299" s="192">
        <v>0</v>
      </c>
      <c r="F299" s="108">
        <f>897.33-300-522.59+1.59</f>
        <v>76.330000000000013</v>
      </c>
      <c r="G299" s="108">
        <v>0</v>
      </c>
      <c r="H299" s="108">
        <v>0</v>
      </c>
      <c r="I299" s="108">
        <v>0</v>
      </c>
    </row>
    <row r="300" spans="1:17" s="105" customFormat="1" ht="18" customHeight="1" x14ac:dyDescent="0.35">
      <c r="A300" s="193"/>
      <c r="B300" s="70" t="s">
        <v>33</v>
      </c>
      <c r="C300" s="108">
        <f t="shared" si="78"/>
        <v>897.33</v>
      </c>
      <c r="D300" s="108">
        <v>821</v>
      </c>
      <c r="E300" s="192">
        <v>0</v>
      </c>
      <c r="F300" s="108">
        <f>897.33-300-522.59+1.59</f>
        <v>76.330000000000013</v>
      </c>
      <c r="G300" s="108">
        <v>0</v>
      </c>
      <c r="H300" s="108">
        <v>0</v>
      </c>
      <c r="I300" s="108">
        <v>0</v>
      </c>
    </row>
    <row r="301" spans="1:17" s="105" customFormat="1" ht="37.5" customHeight="1" x14ac:dyDescent="0.3">
      <c r="A301" s="154" t="s">
        <v>153</v>
      </c>
      <c r="B301" s="110" t="s">
        <v>32</v>
      </c>
      <c r="C301" s="108">
        <f t="shared" si="78"/>
        <v>2553.1799999999998</v>
      </c>
      <c r="D301" s="108">
        <v>2199</v>
      </c>
      <c r="E301" s="192">
        <v>0</v>
      </c>
      <c r="F301" s="108">
        <f>2553.18-500-1725.96+26.96</f>
        <v>354.17999999999978</v>
      </c>
      <c r="G301" s="108">
        <v>0</v>
      </c>
      <c r="H301" s="108">
        <v>0</v>
      </c>
      <c r="I301" s="108">
        <v>0</v>
      </c>
    </row>
    <row r="302" spans="1:17" s="105" customFormat="1" ht="18" customHeight="1" x14ac:dyDescent="0.35">
      <c r="A302" s="193"/>
      <c r="B302" s="70" t="s">
        <v>33</v>
      </c>
      <c r="C302" s="108">
        <f t="shared" si="78"/>
        <v>2553.1799999999998</v>
      </c>
      <c r="D302" s="108">
        <v>2199</v>
      </c>
      <c r="E302" s="192">
        <v>0</v>
      </c>
      <c r="F302" s="108">
        <f>2553.18-500-1725.96+26.96</f>
        <v>354.17999999999978</v>
      </c>
      <c r="G302" s="108">
        <v>0</v>
      </c>
      <c r="H302" s="108">
        <v>0</v>
      </c>
      <c r="I302" s="108">
        <v>0</v>
      </c>
    </row>
    <row r="303" spans="1:17" s="105" customFormat="1" ht="39" customHeight="1" x14ac:dyDescent="0.3">
      <c r="A303" s="154" t="s">
        <v>154</v>
      </c>
      <c r="B303" s="110" t="s">
        <v>32</v>
      </c>
      <c r="C303" s="108">
        <f t="shared" si="78"/>
        <v>14421.33</v>
      </c>
      <c r="D303" s="108">
        <f>245+5699.17+6343.72+2087.44</f>
        <v>14375.33</v>
      </c>
      <c r="E303" s="192">
        <v>46</v>
      </c>
      <c r="F303" s="108">
        <v>0</v>
      </c>
      <c r="G303" s="108">
        <v>0</v>
      </c>
      <c r="H303" s="108">
        <v>0</v>
      </c>
      <c r="I303" s="108">
        <v>0</v>
      </c>
      <c r="J303" s="1013" t="s">
        <v>155</v>
      </c>
      <c r="K303" s="1014"/>
      <c r="L303" s="1014"/>
      <c r="M303" s="1014"/>
      <c r="N303" s="1014"/>
      <c r="O303" s="1014"/>
    </row>
    <row r="304" spans="1:17" s="78" customFormat="1" ht="18" customHeight="1" x14ac:dyDescent="0.35">
      <c r="A304" s="193"/>
      <c r="B304" s="70" t="s">
        <v>33</v>
      </c>
      <c r="C304" s="108">
        <f t="shared" si="78"/>
        <v>14421.33</v>
      </c>
      <c r="D304" s="108">
        <f>245+5699.17+6343.72+2087.44</f>
        <v>14375.33</v>
      </c>
      <c r="E304" s="192">
        <v>46</v>
      </c>
      <c r="F304" s="108">
        <v>0</v>
      </c>
      <c r="G304" s="108">
        <v>0</v>
      </c>
      <c r="H304" s="108">
        <v>0</v>
      </c>
      <c r="I304" s="108">
        <v>0</v>
      </c>
      <c r="J304" s="1013"/>
      <c r="K304" s="1014"/>
      <c r="L304" s="1014"/>
      <c r="M304" s="1014"/>
      <c r="N304" s="1014"/>
      <c r="O304" s="1014"/>
    </row>
    <row r="305" spans="1:16" s="78" customFormat="1" ht="39.75" customHeight="1" x14ac:dyDescent="0.3">
      <c r="A305" s="154" t="s">
        <v>156</v>
      </c>
      <c r="B305" s="110" t="s">
        <v>32</v>
      </c>
      <c r="C305" s="108">
        <f t="shared" si="78"/>
        <v>7696</v>
      </c>
      <c r="D305" s="108">
        <f>6564+247.47</f>
        <v>6811.47</v>
      </c>
      <c r="E305" s="192">
        <v>0</v>
      </c>
      <c r="F305" s="108">
        <f>7696-6811.47</f>
        <v>884.52999999999975</v>
      </c>
      <c r="G305" s="108">
        <v>0</v>
      </c>
      <c r="H305" s="108">
        <v>0</v>
      </c>
      <c r="I305" s="108">
        <v>0</v>
      </c>
    </row>
    <row r="306" spans="1:16" s="105" customFormat="1" ht="18" customHeight="1" x14ac:dyDescent="0.3">
      <c r="A306" s="120"/>
      <c r="B306" s="70" t="s">
        <v>33</v>
      </c>
      <c r="C306" s="108">
        <f t="shared" si="78"/>
        <v>7696</v>
      </c>
      <c r="D306" s="108">
        <f>6564+247.47</f>
        <v>6811.47</v>
      </c>
      <c r="E306" s="192">
        <v>0</v>
      </c>
      <c r="F306" s="108">
        <f>7696-6811.47</f>
        <v>884.52999999999975</v>
      </c>
      <c r="G306" s="108">
        <v>0</v>
      </c>
      <c r="H306" s="108">
        <v>0</v>
      </c>
      <c r="I306" s="108">
        <v>0</v>
      </c>
    </row>
    <row r="307" spans="1:16" s="93" customFormat="1" ht="30" customHeight="1" x14ac:dyDescent="0.3">
      <c r="A307" s="194" t="s">
        <v>157</v>
      </c>
      <c r="B307" s="92" t="s">
        <v>32</v>
      </c>
      <c r="C307" s="81">
        <f t="shared" si="78"/>
        <v>1782.85</v>
      </c>
      <c r="D307" s="81">
        <f>3.77+1325.35</f>
        <v>1329.12</v>
      </c>
      <c r="E307" s="187">
        <v>0</v>
      </c>
      <c r="F307" s="81">
        <f>1787-3.77-1190-111.5-28</f>
        <v>453.73</v>
      </c>
      <c r="G307" s="81">
        <v>0</v>
      </c>
      <c r="H307" s="81">
        <v>0</v>
      </c>
      <c r="I307" s="81">
        <v>0</v>
      </c>
    </row>
    <row r="308" spans="1:16" s="93" customFormat="1" ht="18" customHeight="1" x14ac:dyDescent="0.3">
      <c r="A308" s="82"/>
      <c r="B308" s="95" t="s">
        <v>33</v>
      </c>
      <c r="C308" s="81">
        <f t="shared" si="78"/>
        <v>1782.85</v>
      </c>
      <c r="D308" s="81">
        <f>3.77+1325.35</f>
        <v>1329.12</v>
      </c>
      <c r="E308" s="187">
        <v>0</v>
      </c>
      <c r="F308" s="81">
        <f>1787-3.77-1190-111.5-28</f>
        <v>453.73</v>
      </c>
      <c r="G308" s="81">
        <v>0</v>
      </c>
      <c r="H308" s="81">
        <v>0</v>
      </c>
      <c r="I308" s="81">
        <v>0</v>
      </c>
    </row>
    <row r="309" spans="1:16" s="93" customFormat="1" ht="38.25" customHeight="1" x14ac:dyDescent="0.3">
      <c r="A309" s="195" t="s">
        <v>158</v>
      </c>
      <c r="B309" s="92" t="s">
        <v>32</v>
      </c>
      <c r="C309" s="81">
        <f t="shared" si="78"/>
        <v>4948.2</v>
      </c>
      <c r="D309" s="81">
        <v>248.2</v>
      </c>
      <c r="E309" s="196">
        <f>2600+1700+400</f>
        <v>4700</v>
      </c>
      <c r="F309" s="81">
        <v>0</v>
      </c>
      <c r="G309" s="81">
        <v>0</v>
      </c>
      <c r="H309" s="81">
        <v>0</v>
      </c>
      <c r="I309" s="81">
        <v>0</v>
      </c>
      <c r="J309" s="1152" t="s">
        <v>159</v>
      </c>
      <c r="K309" s="1050"/>
      <c r="L309" s="1050"/>
      <c r="M309" s="1050"/>
      <c r="N309" s="1050"/>
      <c r="O309" s="1050"/>
      <c r="P309" s="1050"/>
    </row>
    <row r="310" spans="1:16" s="65" customFormat="1" ht="18" customHeight="1" x14ac:dyDescent="0.3">
      <c r="A310" s="82"/>
      <c r="B310" s="95" t="s">
        <v>33</v>
      </c>
      <c r="C310" s="49">
        <f t="shared" si="78"/>
        <v>4948.2</v>
      </c>
      <c r="D310" s="49">
        <v>248.2</v>
      </c>
      <c r="E310" s="196">
        <f>2600+1700+400</f>
        <v>4700</v>
      </c>
      <c r="F310" s="49">
        <v>0</v>
      </c>
      <c r="G310" s="49">
        <v>0</v>
      </c>
      <c r="H310" s="49">
        <v>0</v>
      </c>
      <c r="I310" s="49">
        <v>0</v>
      </c>
      <c r="J310" s="1051"/>
      <c r="K310" s="1050"/>
      <c r="L310" s="1050"/>
      <c r="M310" s="1050"/>
      <c r="N310" s="1050"/>
      <c r="O310" s="1050"/>
      <c r="P310" s="1050"/>
    </row>
    <row r="311" spans="1:16" s="93" customFormat="1" ht="40.5" customHeight="1" x14ac:dyDescent="0.3">
      <c r="A311" s="195" t="s">
        <v>160</v>
      </c>
      <c r="B311" s="92" t="s">
        <v>32</v>
      </c>
      <c r="C311" s="81">
        <f t="shared" si="78"/>
        <v>2568</v>
      </c>
      <c r="D311" s="81">
        <v>139</v>
      </c>
      <c r="E311" s="187">
        <f>2340+150-61</f>
        <v>2429</v>
      </c>
      <c r="F311" s="81">
        <v>0</v>
      </c>
      <c r="G311" s="81">
        <v>0</v>
      </c>
      <c r="H311" s="81">
        <v>0</v>
      </c>
      <c r="I311" s="81">
        <v>0</v>
      </c>
      <c r="J311" s="1153" t="s">
        <v>161</v>
      </c>
      <c r="K311" s="1140"/>
      <c r="L311" s="1140"/>
      <c r="M311" s="1140"/>
      <c r="N311" s="1140"/>
      <c r="O311" s="1140"/>
      <c r="P311" s="1140"/>
    </row>
    <row r="312" spans="1:16" s="105" customFormat="1" ht="18" customHeight="1" x14ac:dyDescent="0.3">
      <c r="A312" s="82"/>
      <c r="B312" s="95" t="s">
        <v>33</v>
      </c>
      <c r="C312" s="81">
        <f t="shared" si="78"/>
        <v>2568</v>
      </c>
      <c r="D312" s="81">
        <v>139</v>
      </c>
      <c r="E312" s="187">
        <f>2340+150-61</f>
        <v>2429</v>
      </c>
      <c r="F312" s="81">
        <v>0</v>
      </c>
      <c r="G312" s="81">
        <v>0</v>
      </c>
      <c r="H312" s="81">
        <v>0</v>
      </c>
      <c r="I312" s="81">
        <v>0</v>
      </c>
      <c r="J312" s="1141"/>
      <c r="K312" s="1140"/>
      <c r="L312" s="1140"/>
      <c r="M312" s="1140"/>
      <c r="N312" s="1140"/>
      <c r="O312" s="1140"/>
      <c r="P312" s="1140"/>
    </row>
    <row r="313" spans="1:16" s="105" customFormat="1" ht="26.25" customHeight="1" x14ac:dyDescent="0.3">
      <c r="A313" s="154" t="s">
        <v>162</v>
      </c>
      <c r="B313" s="110" t="s">
        <v>32</v>
      </c>
      <c r="C313" s="108">
        <f t="shared" si="78"/>
        <v>10095.76</v>
      </c>
      <c r="D313" s="108">
        <f>8047+2030</f>
        <v>10077</v>
      </c>
      <c r="E313" s="192">
        <v>0</v>
      </c>
      <c r="F313" s="108">
        <v>18.760000000000002</v>
      </c>
      <c r="G313" s="108">
        <v>0</v>
      </c>
      <c r="H313" s="108">
        <v>0</v>
      </c>
      <c r="I313" s="108">
        <v>0</v>
      </c>
      <c r="J313" s="1013" t="s">
        <v>163</v>
      </c>
      <c r="K313" s="1140"/>
      <c r="L313" s="1140"/>
      <c r="M313" s="1140"/>
      <c r="N313" s="1140"/>
      <c r="O313" s="1140"/>
      <c r="P313" s="1140"/>
    </row>
    <row r="314" spans="1:16" s="105" customFormat="1" ht="18" customHeight="1" x14ac:dyDescent="0.3">
      <c r="A314" s="120"/>
      <c r="B314" s="70" t="s">
        <v>33</v>
      </c>
      <c r="C314" s="108">
        <f t="shared" si="78"/>
        <v>10095.76</v>
      </c>
      <c r="D314" s="108">
        <f>8047+2030</f>
        <v>10077</v>
      </c>
      <c r="E314" s="192">
        <v>0</v>
      </c>
      <c r="F314" s="108">
        <v>18.760000000000002</v>
      </c>
      <c r="G314" s="108">
        <v>0</v>
      </c>
      <c r="H314" s="108">
        <v>0</v>
      </c>
      <c r="I314" s="108">
        <v>0</v>
      </c>
      <c r="J314" s="1141"/>
      <c r="K314" s="1140"/>
      <c r="L314" s="1140"/>
      <c r="M314" s="1140"/>
      <c r="N314" s="1140"/>
      <c r="O314" s="1140"/>
      <c r="P314" s="1140"/>
    </row>
    <row r="315" spans="1:16" s="105" customFormat="1" ht="26.25" customHeight="1" x14ac:dyDescent="0.3">
      <c r="A315" s="197" t="s">
        <v>164</v>
      </c>
      <c r="B315" s="110" t="s">
        <v>32</v>
      </c>
      <c r="C315" s="108">
        <f t="shared" si="78"/>
        <v>10967.21</v>
      </c>
      <c r="D315" s="108">
        <f>22+4295.21</f>
        <v>4317.21</v>
      </c>
      <c r="E315" s="192">
        <f>6650-3850</f>
        <v>2800</v>
      </c>
      <c r="F315" s="108">
        <v>0</v>
      </c>
      <c r="G315" s="108">
        <v>0</v>
      </c>
      <c r="H315" s="108">
        <v>0</v>
      </c>
      <c r="I315" s="108">
        <v>3850</v>
      </c>
      <c r="J315" s="1154" t="s">
        <v>165</v>
      </c>
      <c r="K315" s="1155"/>
      <c r="L315" s="1155"/>
      <c r="M315" s="1155"/>
      <c r="N315" s="1155"/>
      <c r="O315" s="1155"/>
    </row>
    <row r="316" spans="1:16" s="93" customFormat="1" ht="15.75" customHeight="1" x14ac:dyDescent="0.3">
      <c r="A316" s="120"/>
      <c r="B316" s="70" t="s">
        <v>33</v>
      </c>
      <c r="C316" s="108">
        <f t="shared" si="78"/>
        <v>10967.21</v>
      </c>
      <c r="D316" s="108">
        <f>22+4295.21</f>
        <v>4317.21</v>
      </c>
      <c r="E316" s="192">
        <f>6650-3850</f>
        <v>2800</v>
      </c>
      <c r="F316" s="108">
        <v>0</v>
      </c>
      <c r="G316" s="108">
        <v>0</v>
      </c>
      <c r="H316" s="108">
        <v>0</v>
      </c>
      <c r="I316" s="108">
        <v>3850</v>
      </c>
      <c r="J316" s="1154"/>
      <c r="K316" s="1155"/>
      <c r="L316" s="1155"/>
      <c r="M316" s="1155"/>
      <c r="N316" s="1155"/>
      <c r="O316" s="1155"/>
    </row>
    <row r="317" spans="1:16" s="168" customFormat="1" ht="28.5" customHeight="1" x14ac:dyDescent="0.3">
      <c r="A317" s="198" t="s">
        <v>166</v>
      </c>
      <c r="B317" s="110" t="s">
        <v>32</v>
      </c>
      <c r="C317" s="41">
        <f t="shared" si="78"/>
        <v>15893.11</v>
      </c>
      <c r="D317" s="41">
        <f>0.1+1013.03</f>
        <v>1013.13</v>
      </c>
      <c r="E317" s="144">
        <v>2501</v>
      </c>
      <c r="F317" s="41">
        <f>15893.11-1013.13-2501</f>
        <v>12378.980000000001</v>
      </c>
      <c r="G317" s="41">
        <v>0</v>
      </c>
      <c r="H317" s="41">
        <v>0</v>
      </c>
      <c r="I317" s="41">
        <v>0</v>
      </c>
      <c r="J317" s="1048" t="s">
        <v>167</v>
      </c>
      <c r="K317" s="1050"/>
      <c r="L317" s="1050"/>
      <c r="M317" s="1050"/>
      <c r="N317" s="1050"/>
      <c r="O317" s="1050"/>
    </row>
    <row r="318" spans="1:16" s="168" customFormat="1" ht="15.75" customHeight="1" x14ac:dyDescent="0.3">
      <c r="A318" s="120"/>
      <c r="B318" s="70" t="s">
        <v>33</v>
      </c>
      <c r="C318" s="41">
        <f t="shared" si="78"/>
        <v>15893.11</v>
      </c>
      <c r="D318" s="41">
        <f>0.1+1013.03</f>
        <v>1013.13</v>
      </c>
      <c r="E318" s="144">
        <v>2501</v>
      </c>
      <c r="F318" s="41">
        <f>15893.11-1013.13-2501</f>
        <v>12378.980000000001</v>
      </c>
      <c r="G318" s="41">
        <v>0</v>
      </c>
      <c r="H318" s="41">
        <v>0</v>
      </c>
      <c r="I318" s="41">
        <v>0</v>
      </c>
      <c r="J318" s="1051"/>
      <c r="K318" s="1050"/>
      <c r="L318" s="1050"/>
      <c r="M318" s="1050"/>
      <c r="N318" s="1050"/>
      <c r="O318" s="1050"/>
    </row>
    <row r="319" spans="1:16" s="93" customFormat="1" ht="27.75" customHeight="1" x14ac:dyDescent="0.3">
      <c r="A319" s="173" t="s">
        <v>168</v>
      </c>
      <c r="B319" s="110" t="s">
        <v>32</v>
      </c>
      <c r="C319" s="108">
        <f t="shared" si="78"/>
        <v>10732.18</v>
      </c>
      <c r="D319" s="108">
        <f>0.1+1.63</f>
        <v>1.73</v>
      </c>
      <c r="E319" s="192">
        <v>1700</v>
      </c>
      <c r="F319" s="108">
        <v>5600</v>
      </c>
      <c r="G319" s="81">
        <f>5824.57-2394.12</f>
        <v>3430.45</v>
      </c>
      <c r="H319" s="108">
        <v>0</v>
      </c>
      <c r="I319" s="108">
        <v>0</v>
      </c>
      <c r="J319" s="1148" t="s">
        <v>169</v>
      </c>
      <c r="K319" s="964"/>
      <c r="L319" s="964"/>
      <c r="M319" s="964"/>
      <c r="N319" s="964"/>
      <c r="O319" s="964"/>
    </row>
    <row r="320" spans="1:16" s="93" customFormat="1" ht="15.75" customHeight="1" x14ac:dyDescent="0.3">
      <c r="A320" s="82"/>
      <c r="B320" s="95" t="s">
        <v>33</v>
      </c>
      <c r="C320" s="81">
        <f t="shared" si="78"/>
        <v>10732.18</v>
      </c>
      <c r="D320" s="81">
        <f>0.1+1.63</f>
        <v>1.73</v>
      </c>
      <c r="E320" s="187">
        <v>1700</v>
      </c>
      <c r="F320" s="81">
        <v>5600</v>
      </c>
      <c r="G320" s="81">
        <f>5824.57-2394.12</f>
        <v>3430.45</v>
      </c>
      <c r="H320" s="81">
        <v>0</v>
      </c>
      <c r="I320" s="81">
        <v>0</v>
      </c>
      <c r="J320" s="1149"/>
      <c r="K320" s="964"/>
      <c r="L320" s="964"/>
      <c r="M320" s="964"/>
      <c r="N320" s="964"/>
      <c r="O320" s="964"/>
    </row>
    <row r="321" spans="1:17" s="93" customFormat="1" ht="27.75" customHeight="1" x14ac:dyDescent="0.3">
      <c r="A321" s="115" t="s">
        <v>170</v>
      </c>
      <c r="B321" s="92" t="s">
        <v>32</v>
      </c>
      <c r="C321" s="81">
        <f t="shared" si="78"/>
        <v>8928.4000000000015</v>
      </c>
      <c r="D321" s="81">
        <f>0.1+13.92</f>
        <v>14.02</v>
      </c>
      <c r="E321" s="187">
        <v>1700</v>
      </c>
      <c r="F321" s="81">
        <v>3100</v>
      </c>
      <c r="G321" s="81">
        <f>1210.12+4807.68-1903.42</f>
        <v>4114.38</v>
      </c>
      <c r="H321" s="81">
        <v>0</v>
      </c>
      <c r="I321" s="81">
        <v>0</v>
      </c>
      <c r="J321" s="1148" t="s">
        <v>171</v>
      </c>
      <c r="K321" s="964"/>
      <c r="L321" s="964"/>
      <c r="M321" s="964"/>
      <c r="N321" s="964"/>
    </row>
    <row r="322" spans="1:17" s="93" customFormat="1" ht="15.75" customHeight="1" x14ac:dyDescent="0.3">
      <c r="A322" s="82"/>
      <c r="B322" s="95" t="s">
        <v>33</v>
      </c>
      <c r="C322" s="81">
        <f t="shared" si="78"/>
        <v>8928.4000000000015</v>
      </c>
      <c r="D322" s="81">
        <f>0.1+13.92</f>
        <v>14.02</v>
      </c>
      <c r="E322" s="187">
        <v>1700</v>
      </c>
      <c r="F322" s="81">
        <v>3100</v>
      </c>
      <c r="G322" s="81">
        <f>1210.12+4807.68-1903.42</f>
        <v>4114.38</v>
      </c>
      <c r="H322" s="81">
        <v>0</v>
      </c>
      <c r="I322" s="81">
        <v>0</v>
      </c>
    </row>
    <row r="323" spans="1:17" s="168" customFormat="1" ht="26.25" customHeight="1" x14ac:dyDescent="0.3">
      <c r="A323" s="198" t="s">
        <v>172</v>
      </c>
      <c r="B323" s="92" t="s">
        <v>32</v>
      </c>
      <c r="C323" s="49">
        <f t="shared" si="78"/>
        <v>35841.89</v>
      </c>
      <c r="D323" s="49">
        <f>0.1+26.92</f>
        <v>27.020000000000003</v>
      </c>
      <c r="E323" s="196">
        <v>4500</v>
      </c>
      <c r="F323" s="49">
        <v>24523.94</v>
      </c>
      <c r="G323" s="49">
        <v>6790.93</v>
      </c>
      <c r="H323" s="49">
        <v>0</v>
      </c>
      <c r="I323" s="49">
        <v>0</v>
      </c>
      <c r="J323" s="190"/>
      <c r="K323" s="1049" t="s">
        <v>173</v>
      </c>
      <c r="L323" s="1049"/>
      <c r="M323" s="1049"/>
      <c r="N323" s="1049"/>
      <c r="O323" s="1049"/>
      <c r="P323" s="1049"/>
    </row>
    <row r="324" spans="1:17" s="168" customFormat="1" ht="15.75" customHeight="1" x14ac:dyDescent="0.3">
      <c r="A324" s="82"/>
      <c r="B324" s="95" t="s">
        <v>33</v>
      </c>
      <c r="C324" s="49">
        <f t="shared" si="78"/>
        <v>35841.89</v>
      </c>
      <c r="D324" s="49">
        <f>0.1+26.92</f>
        <v>27.020000000000003</v>
      </c>
      <c r="E324" s="196">
        <v>4500</v>
      </c>
      <c r="F324" s="49">
        <v>24523.94</v>
      </c>
      <c r="G324" s="49">
        <v>6790.93</v>
      </c>
      <c r="H324" s="49">
        <v>0</v>
      </c>
      <c r="I324" s="49">
        <v>0</v>
      </c>
    </row>
    <row r="325" spans="1:17" s="93" customFormat="1" ht="27.75" customHeight="1" x14ac:dyDescent="0.3">
      <c r="A325" s="115" t="s">
        <v>174</v>
      </c>
      <c r="B325" s="92" t="s">
        <v>32</v>
      </c>
      <c r="C325" s="81">
        <f t="shared" si="78"/>
        <v>7418.5300000000007</v>
      </c>
      <c r="D325" s="81">
        <f>0.1+30.97</f>
        <v>31.07</v>
      </c>
      <c r="E325" s="187">
        <v>3500</v>
      </c>
      <c r="F325" s="81">
        <f>3892.22+1696.41-1701.17</f>
        <v>3887.46</v>
      </c>
      <c r="G325" s="81">
        <v>0</v>
      </c>
      <c r="H325" s="81">
        <v>0</v>
      </c>
      <c r="I325" s="81">
        <v>0</v>
      </c>
      <c r="J325" s="1148" t="s">
        <v>175</v>
      </c>
      <c r="K325" s="964"/>
      <c r="L325" s="964"/>
      <c r="M325" s="964"/>
      <c r="N325" s="964"/>
      <c r="O325" s="964"/>
      <c r="P325" s="964"/>
    </row>
    <row r="326" spans="1:17" s="96" customFormat="1" ht="15.75" customHeight="1" x14ac:dyDescent="0.3">
      <c r="A326" s="82"/>
      <c r="B326" s="95" t="s">
        <v>33</v>
      </c>
      <c r="C326" s="81">
        <f t="shared" si="78"/>
        <v>7418.5300000000007</v>
      </c>
      <c r="D326" s="81">
        <f>0.1+30.97</f>
        <v>31.07</v>
      </c>
      <c r="E326" s="187">
        <v>3500</v>
      </c>
      <c r="F326" s="81">
        <f>3892.22+1696.41-1701.17</f>
        <v>3887.46</v>
      </c>
      <c r="G326" s="81">
        <v>0</v>
      </c>
      <c r="H326" s="81">
        <v>0</v>
      </c>
      <c r="I326" s="81">
        <v>0</v>
      </c>
      <c r="J326" s="1149"/>
      <c r="K326" s="964"/>
      <c r="L326" s="964"/>
      <c r="M326" s="964"/>
      <c r="N326" s="964"/>
      <c r="O326" s="964"/>
      <c r="P326" s="964"/>
    </row>
    <row r="327" spans="1:17" s="168" customFormat="1" ht="26.25" customHeight="1" x14ac:dyDescent="0.3">
      <c r="A327" s="198" t="s">
        <v>176</v>
      </c>
      <c r="B327" s="92" t="s">
        <v>32</v>
      </c>
      <c r="C327" s="49">
        <f t="shared" si="78"/>
        <v>20109.099999999999</v>
      </c>
      <c r="D327" s="49">
        <v>23.9</v>
      </c>
      <c r="E327" s="196">
        <v>9500</v>
      </c>
      <c r="F327" s="49">
        <v>5292.6</v>
      </c>
      <c r="G327" s="49">
        <v>5292.6</v>
      </c>
      <c r="H327" s="49">
        <v>0</v>
      </c>
      <c r="I327" s="49">
        <v>0</v>
      </c>
      <c r="K327" s="1049" t="s">
        <v>177</v>
      </c>
      <c r="L327" s="1049"/>
      <c r="M327" s="1049"/>
      <c r="N327" s="1049"/>
      <c r="O327" s="1049"/>
      <c r="P327" s="1049"/>
      <c r="Q327" s="1049"/>
    </row>
    <row r="328" spans="1:17" s="168" customFormat="1" ht="15.75" customHeight="1" x14ac:dyDescent="0.3">
      <c r="A328" s="82"/>
      <c r="B328" s="95" t="s">
        <v>33</v>
      </c>
      <c r="C328" s="49">
        <f t="shared" si="78"/>
        <v>20109.099999999999</v>
      </c>
      <c r="D328" s="49">
        <v>23.9</v>
      </c>
      <c r="E328" s="196">
        <v>9500</v>
      </c>
      <c r="F328" s="49">
        <v>5292.6</v>
      </c>
      <c r="G328" s="49">
        <v>5292.6</v>
      </c>
      <c r="H328" s="49">
        <v>0</v>
      </c>
      <c r="I328" s="49">
        <v>0</v>
      </c>
    </row>
    <row r="329" spans="1:17" s="168" customFormat="1" ht="39" customHeight="1" x14ac:dyDescent="0.3">
      <c r="A329" s="115" t="s">
        <v>178</v>
      </c>
      <c r="B329" s="92" t="s">
        <v>32</v>
      </c>
      <c r="C329" s="49">
        <f t="shared" si="78"/>
        <v>18969.18</v>
      </c>
      <c r="D329" s="49">
        <v>5</v>
      </c>
      <c r="E329" s="196">
        <v>500</v>
      </c>
      <c r="F329" s="49">
        <v>15100</v>
      </c>
      <c r="G329" s="49">
        <f>18969.18-5-500-15100</f>
        <v>3364.1800000000003</v>
      </c>
      <c r="H329" s="49">
        <v>0</v>
      </c>
      <c r="I329" s="49">
        <v>0</v>
      </c>
    </row>
    <row r="330" spans="1:17" s="168" customFormat="1" ht="15.75" customHeight="1" x14ac:dyDescent="0.3">
      <c r="A330" s="82"/>
      <c r="B330" s="95" t="s">
        <v>33</v>
      </c>
      <c r="C330" s="49">
        <f t="shared" si="78"/>
        <v>18969.18</v>
      </c>
      <c r="D330" s="49">
        <v>5</v>
      </c>
      <c r="E330" s="196">
        <v>500</v>
      </c>
      <c r="F330" s="49">
        <v>15100</v>
      </c>
      <c r="G330" s="49">
        <f>18969.18-5-500-15100</f>
        <v>3364.1800000000003</v>
      </c>
      <c r="H330" s="49">
        <v>0</v>
      </c>
      <c r="I330" s="49">
        <v>0</v>
      </c>
    </row>
    <row r="331" spans="1:17" s="168" customFormat="1" ht="27.75" customHeight="1" x14ac:dyDescent="0.3">
      <c r="A331" s="115" t="s">
        <v>179</v>
      </c>
      <c r="B331" s="92" t="s">
        <v>32</v>
      </c>
      <c r="C331" s="49">
        <f t="shared" si="78"/>
        <v>49914.879999999997</v>
      </c>
      <c r="D331" s="49">
        <v>3.6</v>
      </c>
      <c r="E331" s="196">
        <v>500</v>
      </c>
      <c r="F331" s="49">
        <v>38500</v>
      </c>
      <c r="G331" s="49">
        <f>49914.88-3.6-500-38500</f>
        <v>10911.279999999999</v>
      </c>
      <c r="H331" s="49">
        <v>0</v>
      </c>
      <c r="I331" s="49">
        <v>0</v>
      </c>
    </row>
    <row r="332" spans="1:17" s="1" customFormat="1" ht="15.75" customHeight="1" x14ac:dyDescent="0.3">
      <c r="A332" s="82"/>
      <c r="B332" s="95" t="s">
        <v>33</v>
      </c>
      <c r="C332" s="49">
        <f t="shared" si="78"/>
        <v>49914.879999999997</v>
      </c>
      <c r="D332" s="49">
        <v>3.6</v>
      </c>
      <c r="E332" s="196">
        <v>500</v>
      </c>
      <c r="F332" s="49">
        <v>38500</v>
      </c>
      <c r="G332" s="49">
        <f>49914.88-3.6-500-38500</f>
        <v>10911.279999999999</v>
      </c>
      <c r="H332" s="49">
        <v>0</v>
      </c>
      <c r="I332" s="49">
        <v>0</v>
      </c>
    </row>
    <row r="333" spans="1:17" s="93" customFormat="1" ht="41.25" customHeight="1" x14ac:dyDescent="0.3">
      <c r="A333" s="115" t="s">
        <v>180</v>
      </c>
      <c r="B333" s="92" t="s">
        <v>32</v>
      </c>
      <c r="C333" s="81">
        <f t="shared" si="78"/>
        <v>9483.32</v>
      </c>
      <c r="D333" s="81">
        <v>157.87</v>
      </c>
      <c r="E333" s="187">
        <v>4300</v>
      </c>
      <c r="F333" s="81">
        <v>3571.79</v>
      </c>
      <c r="G333" s="81">
        <f>1458.41+2106.93-2111.68</f>
        <v>1453.6600000000003</v>
      </c>
      <c r="H333" s="81">
        <v>0</v>
      </c>
      <c r="I333" s="81">
        <v>0</v>
      </c>
      <c r="J333" s="1150" t="s">
        <v>181</v>
      </c>
      <c r="K333" s="1151"/>
      <c r="L333" s="1151"/>
      <c r="M333" s="1151"/>
      <c r="N333" s="1151"/>
      <c r="O333" s="1151"/>
    </row>
    <row r="334" spans="1:17" s="96" customFormat="1" ht="15.75" customHeight="1" x14ac:dyDescent="0.3">
      <c r="A334" s="82"/>
      <c r="B334" s="95" t="s">
        <v>33</v>
      </c>
      <c r="C334" s="81">
        <f t="shared" si="78"/>
        <v>9483.32</v>
      </c>
      <c r="D334" s="81">
        <v>157.87</v>
      </c>
      <c r="E334" s="187">
        <v>4300</v>
      </c>
      <c r="F334" s="81">
        <v>3571.79</v>
      </c>
      <c r="G334" s="81">
        <f>1458.41+2106.93-2111.68</f>
        <v>1453.6600000000003</v>
      </c>
      <c r="H334" s="81">
        <v>0</v>
      </c>
      <c r="I334" s="81">
        <v>0</v>
      </c>
      <c r="J334" s="1125"/>
      <c r="K334" s="1126"/>
      <c r="L334" s="1126"/>
      <c r="M334" s="1126"/>
      <c r="N334" s="1126"/>
      <c r="O334" s="1126"/>
    </row>
    <row r="335" spans="1:17" s="93" customFormat="1" ht="39.75" customHeight="1" x14ac:dyDescent="0.3">
      <c r="A335" s="91" t="s">
        <v>182</v>
      </c>
      <c r="B335" s="92" t="s">
        <v>32</v>
      </c>
      <c r="C335" s="81">
        <f t="shared" si="78"/>
        <v>33672.760000000009</v>
      </c>
      <c r="D335" s="49">
        <f>2.57+28.1</f>
        <v>30.67</v>
      </c>
      <c r="E335" s="196">
        <v>10300</v>
      </c>
      <c r="F335" s="49">
        <v>20377.48</v>
      </c>
      <c r="G335" s="49">
        <f>33672.76-30.67-10300-20377.48</f>
        <v>2964.6100000000042</v>
      </c>
      <c r="H335" s="81">
        <v>0</v>
      </c>
      <c r="I335" s="81">
        <v>0</v>
      </c>
      <c r="J335" s="199"/>
    </row>
    <row r="336" spans="1:17" s="1" customFormat="1" ht="15.75" customHeight="1" x14ac:dyDescent="0.3">
      <c r="A336" s="120"/>
      <c r="B336" s="70" t="s">
        <v>33</v>
      </c>
      <c r="C336" s="41">
        <f t="shared" si="78"/>
        <v>33672.760000000009</v>
      </c>
      <c r="D336" s="41">
        <f>2.57+28.1</f>
        <v>30.67</v>
      </c>
      <c r="E336" s="144">
        <v>10300</v>
      </c>
      <c r="F336" s="41">
        <v>20377.48</v>
      </c>
      <c r="G336" s="41">
        <f>33672.76-30.67-10300-20377.48</f>
        <v>2964.6100000000042</v>
      </c>
      <c r="H336" s="41">
        <v>0</v>
      </c>
      <c r="I336" s="41">
        <v>0</v>
      </c>
    </row>
    <row r="337" spans="1:17" s="93" customFormat="1" ht="28.5" customHeight="1" x14ac:dyDescent="0.3">
      <c r="A337" s="198" t="s">
        <v>183</v>
      </c>
      <c r="B337" s="92" t="s">
        <v>32</v>
      </c>
      <c r="C337" s="81">
        <f t="shared" si="78"/>
        <v>28080.959999999999</v>
      </c>
      <c r="D337" s="81">
        <v>1.06</v>
      </c>
      <c r="E337" s="187">
        <v>500</v>
      </c>
      <c r="F337" s="81">
        <v>16645</v>
      </c>
      <c r="G337" s="49">
        <v>10934.9</v>
      </c>
      <c r="H337" s="81">
        <v>0</v>
      </c>
      <c r="I337" s="81">
        <v>0</v>
      </c>
      <c r="K337" s="1040" t="s">
        <v>184</v>
      </c>
      <c r="L337" s="1040"/>
      <c r="M337" s="1040"/>
      <c r="N337" s="1040"/>
      <c r="O337" s="1040"/>
      <c r="P337" s="1040"/>
      <c r="Q337" s="1040"/>
    </row>
    <row r="338" spans="1:17" s="1" customFormat="1" ht="15.75" customHeight="1" x14ac:dyDescent="0.3">
      <c r="A338" s="82"/>
      <c r="B338" s="95" t="s">
        <v>33</v>
      </c>
      <c r="C338" s="49">
        <f t="shared" si="78"/>
        <v>28080.959999999999</v>
      </c>
      <c r="D338" s="49">
        <v>1.06</v>
      </c>
      <c r="E338" s="196">
        <v>500</v>
      </c>
      <c r="F338" s="49">
        <v>16645</v>
      </c>
      <c r="G338" s="49">
        <v>10934.9</v>
      </c>
      <c r="H338" s="49">
        <v>0</v>
      </c>
      <c r="I338" s="49">
        <v>0</v>
      </c>
    </row>
    <row r="339" spans="1:17" s="168" customFormat="1" ht="24.75" customHeight="1" x14ac:dyDescent="0.3">
      <c r="A339" s="115" t="s">
        <v>185</v>
      </c>
      <c r="B339" s="92" t="s">
        <v>32</v>
      </c>
      <c r="C339" s="49">
        <f t="shared" si="78"/>
        <v>82720.52</v>
      </c>
      <c r="D339" s="49">
        <v>0</v>
      </c>
      <c r="E339" s="196">
        <v>500</v>
      </c>
      <c r="F339" s="49">
        <v>63500</v>
      </c>
      <c r="G339" s="49">
        <v>18720.52</v>
      </c>
      <c r="H339" s="49">
        <v>0</v>
      </c>
      <c r="I339" s="49">
        <v>0</v>
      </c>
    </row>
    <row r="340" spans="1:17" s="1" customFormat="1" ht="15.75" customHeight="1" x14ac:dyDescent="0.3">
      <c r="A340" s="82"/>
      <c r="B340" s="95" t="s">
        <v>33</v>
      </c>
      <c r="C340" s="49">
        <f t="shared" si="78"/>
        <v>82720.52</v>
      </c>
      <c r="D340" s="49">
        <v>0</v>
      </c>
      <c r="E340" s="196">
        <v>500</v>
      </c>
      <c r="F340" s="49">
        <v>63500</v>
      </c>
      <c r="G340" s="49">
        <v>18720.52</v>
      </c>
      <c r="H340" s="49">
        <v>0</v>
      </c>
      <c r="I340" s="49">
        <v>0</v>
      </c>
    </row>
    <row r="341" spans="1:17" x14ac:dyDescent="0.3">
      <c r="A341" s="200" t="s">
        <v>47</v>
      </c>
      <c r="B341" s="164" t="s">
        <v>32</v>
      </c>
      <c r="C341" s="165">
        <f t="shared" si="78"/>
        <v>66887.12</v>
      </c>
      <c r="D341" s="165">
        <f>D343</f>
        <v>20319.22</v>
      </c>
      <c r="E341" s="165">
        <f t="shared" ref="E341:I342" si="79">E343</f>
        <v>34497</v>
      </c>
      <c r="F341" s="165">
        <f t="shared" si="79"/>
        <v>12070.900000000001</v>
      </c>
      <c r="G341" s="165">
        <f t="shared" si="79"/>
        <v>0</v>
      </c>
      <c r="H341" s="165">
        <f t="shared" si="79"/>
        <v>0</v>
      </c>
      <c r="I341" s="165">
        <f t="shared" si="79"/>
        <v>0</v>
      </c>
    </row>
    <row r="342" spans="1:17" x14ac:dyDescent="0.3">
      <c r="A342" s="85" t="s">
        <v>51</v>
      </c>
      <c r="B342" s="166" t="s">
        <v>33</v>
      </c>
      <c r="C342" s="165">
        <f t="shared" si="78"/>
        <v>66887.12</v>
      </c>
      <c r="D342" s="165">
        <f>D344</f>
        <v>20319.22</v>
      </c>
      <c r="E342" s="165">
        <f t="shared" si="79"/>
        <v>34497</v>
      </c>
      <c r="F342" s="165">
        <f t="shared" si="79"/>
        <v>12070.900000000001</v>
      </c>
      <c r="G342" s="165">
        <f t="shared" si="79"/>
        <v>0</v>
      </c>
      <c r="H342" s="165">
        <f t="shared" si="79"/>
        <v>0</v>
      </c>
      <c r="I342" s="165">
        <f t="shared" si="79"/>
        <v>0</v>
      </c>
    </row>
    <row r="343" spans="1:17" x14ac:dyDescent="0.3">
      <c r="A343" s="163" t="s">
        <v>61</v>
      </c>
      <c r="B343" s="164" t="s">
        <v>32</v>
      </c>
      <c r="C343" s="165">
        <f t="shared" si="78"/>
        <v>66887.12</v>
      </c>
      <c r="D343" s="165">
        <f>D345+D347+D349+D351+D353+D355</f>
        <v>20319.22</v>
      </c>
      <c r="E343" s="165">
        <f t="shared" ref="E343:I344" si="80">E345+E347+E349+E351+E353+E355</f>
        <v>34497</v>
      </c>
      <c r="F343" s="165">
        <f t="shared" si="80"/>
        <v>12070.900000000001</v>
      </c>
      <c r="G343" s="165">
        <f t="shared" si="80"/>
        <v>0</v>
      </c>
      <c r="H343" s="165">
        <f t="shared" si="80"/>
        <v>0</v>
      </c>
      <c r="I343" s="165">
        <f t="shared" si="80"/>
        <v>0</v>
      </c>
    </row>
    <row r="344" spans="1:17" x14ac:dyDescent="0.3">
      <c r="A344" s="85"/>
      <c r="B344" s="166" t="s">
        <v>33</v>
      </c>
      <c r="C344" s="165">
        <f t="shared" si="78"/>
        <v>66887.12</v>
      </c>
      <c r="D344" s="165">
        <f>D346+D348+D350+D352+D354+D356</f>
        <v>20319.22</v>
      </c>
      <c r="E344" s="165">
        <f t="shared" si="80"/>
        <v>34497</v>
      </c>
      <c r="F344" s="165">
        <f t="shared" si="80"/>
        <v>12070.900000000001</v>
      </c>
      <c r="G344" s="165">
        <f t="shared" si="80"/>
        <v>0</v>
      </c>
      <c r="H344" s="165">
        <f t="shared" si="80"/>
        <v>0</v>
      </c>
      <c r="I344" s="165">
        <f t="shared" si="80"/>
        <v>0</v>
      </c>
    </row>
    <row r="345" spans="1:17" s="65" customFormat="1" ht="67.5" customHeight="1" x14ac:dyDescent="0.3">
      <c r="A345" s="109" t="s">
        <v>186</v>
      </c>
      <c r="B345" s="110" t="s">
        <v>32</v>
      </c>
      <c r="C345" s="41">
        <f t="shared" si="78"/>
        <v>15018.18</v>
      </c>
      <c r="D345" s="41">
        <v>5.18</v>
      </c>
      <c r="E345" s="144">
        <v>15013</v>
      </c>
      <c r="F345" s="41">
        <v>0</v>
      </c>
      <c r="G345" s="41">
        <v>0</v>
      </c>
      <c r="H345" s="41">
        <v>0</v>
      </c>
      <c r="I345" s="41">
        <v>0</v>
      </c>
      <c r="J345" s="1131"/>
      <c r="K345" s="1132"/>
      <c r="L345" s="1132"/>
      <c r="M345" s="1132"/>
      <c r="N345" s="1132"/>
      <c r="O345" s="1132"/>
    </row>
    <row r="346" spans="1:17" s="1" customFormat="1" ht="15.75" customHeight="1" x14ac:dyDescent="0.3">
      <c r="A346" s="82" t="s">
        <v>187</v>
      </c>
      <c r="B346" s="95" t="s">
        <v>33</v>
      </c>
      <c r="C346" s="49">
        <f t="shared" si="78"/>
        <v>15018.18</v>
      </c>
      <c r="D346" s="49">
        <v>5.18</v>
      </c>
      <c r="E346" s="196">
        <v>15013</v>
      </c>
      <c r="F346" s="49">
        <v>0</v>
      </c>
      <c r="G346" s="49">
        <v>0</v>
      </c>
      <c r="H346" s="49">
        <v>0</v>
      </c>
      <c r="I346" s="49">
        <v>0</v>
      </c>
      <c r="J346" s="1131"/>
      <c r="K346" s="1132"/>
      <c r="L346" s="1132"/>
      <c r="M346" s="1132"/>
      <c r="N346" s="1132"/>
      <c r="O346" s="1132"/>
    </row>
    <row r="347" spans="1:17" s="65" customFormat="1" ht="40.5" customHeight="1" x14ac:dyDescent="0.3">
      <c r="A347" s="109" t="s">
        <v>188</v>
      </c>
      <c r="B347" s="110" t="s">
        <v>32</v>
      </c>
      <c r="C347" s="41">
        <f t="shared" si="78"/>
        <v>17189</v>
      </c>
      <c r="D347" s="41">
        <v>12.1</v>
      </c>
      <c r="E347" s="144">
        <v>5106</v>
      </c>
      <c r="F347" s="41">
        <f>17189-12.1-5106</f>
        <v>12070.900000000001</v>
      </c>
      <c r="G347" s="41">
        <v>0</v>
      </c>
      <c r="H347" s="41">
        <v>0</v>
      </c>
      <c r="I347" s="41">
        <v>0</v>
      </c>
      <c r="J347" s="1131"/>
      <c r="K347" s="1132"/>
      <c r="L347" s="1132"/>
      <c r="M347" s="1132"/>
      <c r="N347" s="1132"/>
      <c r="O347" s="1132"/>
    </row>
    <row r="348" spans="1:17" s="1" customFormat="1" ht="15.75" customHeight="1" x14ac:dyDescent="0.3">
      <c r="A348" s="82" t="s">
        <v>187</v>
      </c>
      <c r="B348" s="95" t="s">
        <v>33</v>
      </c>
      <c r="C348" s="49">
        <f t="shared" si="78"/>
        <v>17189</v>
      </c>
      <c r="D348" s="49">
        <v>12.1</v>
      </c>
      <c r="E348" s="196">
        <v>5106</v>
      </c>
      <c r="F348" s="49">
        <f>17189-12.1-5106</f>
        <v>12070.900000000001</v>
      </c>
      <c r="G348" s="49">
        <v>0</v>
      </c>
      <c r="H348" s="49">
        <v>0</v>
      </c>
      <c r="I348" s="49">
        <v>0</v>
      </c>
      <c r="J348" s="1131"/>
      <c r="K348" s="1132"/>
      <c r="L348" s="1132"/>
      <c r="M348" s="1132"/>
      <c r="N348" s="1132"/>
      <c r="O348" s="1132"/>
    </row>
    <row r="349" spans="1:17" s="168" customFormat="1" ht="30.75" customHeight="1" x14ac:dyDescent="0.3">
      <c r="A349" s="129" t="s">
        <v>189</v>
      </c>
      <c r="B349" s="92" t="s">
        <v>32</v>
      </c>
      <c r="C349" s="49">
        <f t="shared" si="78"/>
        <v>8200.94</v>
      </c>
      <c r="D349" s="49">
        <v>0.94</v>
      </c>
      <c r="E349" s="196">
        <v>8200</v>
      </c>
      <c r="F349" s="49">
        <v>0</v>
      </c>
      <c r="G349" s="49">
        <v>0</v>
      </c>
      <c r="H349" s="49">
        <v>0</v>
      </c>
      <c r="I349" s="49">
        <v>0</v>
      </c>
      <c r="J349" s="1131"/>
      <c r="K349" s="1132"/>
      <c r="L349" s="1132"/>
      <c r="M349" s="1132"/>
      <c r="N349" s="1132"/>
      <c r="O349" s="1132"/>
    </row>
    <row r="350" spans="1:17" s="1" customFormat="1" ht="15.75" customHeight="1" x14ac:dyDescent="0.3">
      <c r="A350" s="82" t="s">
        <v>187</v>
      </c>
      <c r="B350" s="95" t="s">
        <v>33</v>
      </c>
      <c r="C350" s="49">
        <f t="shared" si="78"/>
        <v>8200.94</v>
      </c>
      <c r="D350" s="49">
        <v>0.94</v>
      </c>
      <c r="E350" s="196">
        <v>8200</v>
      </c>
      <c r="F350" s="49">
        <v>0</v>
      </c>
      <c r="G350" s="49">
        <v>0</v>
      </c>
      <c r="H350" s="49">
        <v>0</v>
      </c>
      <c r="I350" s="49">
        <v>0</v>
      </c>
      <c r="J350" s="1131"/>
      <c r="K350" s="1132"/>
      <c r="L350" s="1132"/>
      <c r="M350" s="1132"/>
      <c r="N350" s="1132"/>
      <c r="O350" s="1132"/>
    </row>
    <row r="351" spans="1:17" s="65" customFormat="1" ht="38.25" customHeight="1" x14ac:dyDescent="0.3">
      <c r="A351" s="201" t="s">
        <v>190</v>
      </c>
      <c r="B351" s="110" t="s">
        <v>32</v>
      </c>
      <c r="C351" s="41">
        <f t="shared" si="78"/>
        <v>10624</v>
      </c>
      <c r="D351" s="41">
        <v>4560</v>
      </c>
      <c r="E351" s="144">
        <v>6064</v>
      </c>
      <c r="F351" s="41">
        <v>0</v>
      </c>
      <c r="G351" s="41">
        <v>0</v>
      </c>
      <c r="H351" s="41">
        <v>0</v>
      </c>
      <c r="I351" s="41">
        <v>0</v>
      </c>
      <c r="J351" s="1131"/>
      <c r="K351" s="1132"/>
      <c r="L351" s="1132"/>
      <c r="M351" s="1132"/>
      <c r="N351" s="1132"/>
      <c r="O351" s="1132"/>
    </row>
    <row r="352" spans="1:17" s="1" customFormat="1" ht="15.75" customHeight="1" x14ac:dyDescent="0.3">
      <c r="A352" s="120" t="s">
        <v>187</v>
      </c>
      <c r="B352" s="70" t="s">
        <v>33</v>
      </c>
      <c r="C352" s="41">
        <f t="shared" si="78"/>
        <v>10624</v>
      </c>
      <c r="D352" s="41">
        <v>4560</v>
      </c>
      <c r="E352" s="144">
        <v>6064</v>
      </c>
      <c r="F352" s="41">
        <v>0</v>
      </c>
      <c r="G352" s="41">
        <v>0</v>
      </c>
      <c r="H352" s="41">
        <v>0</v>
      </c>
      <c r="I352" s="41">
        <v>0</v>
      </c>
      <c r="J352" s="1131"/>
      <c r="K352" s="1132"/>
      <c r="L352" s="1132"/>
      <c r="M352" s="1132"/>
      <c r="N352" s="1132"/>
      <c r="O352" s="1132"/>
    </row>
    <row r="353" spans="1:15" s="65" customFormat="1" ht="40.5" customHeight="1" x14ac:dyDescent="0.3">
      <c r="A353" s="109" t="s">
        <v>191</v>
      </c>
      <c r="B353" s="110" t="s">
        <v>32</v>
      </c>
      <c r="C353" s="41">
        <f t="shared" si="78"/>
        <v>5855</v>
      </c>
      <c r="D353" s="41">
        <v>5741</v>
      </c>
      <c r="E353" s="144">
        <v>114</v>
      </c>
      <c r="F353" s="41">
        <v>0</v>
      </c>
      <c r="G353" s="41">
        <v>0</v>
      </c>
      <c r="H353" s="41">
        <v>0</v>
      </c>
      <c r="I353" s="41">
        <v>0</v>
      </c>
      <c r="J353" s="1131"/>
      <c r="K353" s="1132"/>
      <c r="L353" s="1132"/>
      <c r="M353" s="1132"/>
      <c r="N353" s="1132"/>
      <c r="O353" s="1132"/>
    </row>
    <row r="354" spans="1:15" s="1" customFormat="1" ht="15.75" customHeight="1" x14ac:dyDescent="0.3">
      <c r="A354" s="120" t="s">
        <v>187</v>
      </c>
      <c r="B354" s="70" t="s">
        <v>33</v>
      </c>
      <c r="C354" s="41">
        <f t="shared" si="78"/>
        <v>5855</v>
      </c>
      <c r="D354" s="41">
        <v>5741</v>
      </c>
      <c r="E354" s="144">
        <v>114</v>
      </c>
      <c r="F354" s="41">
        <v>0</v>
      </c>
      <c r="G354" s="41">
        <v>0</v>
      </c>
      <c r="H354" s="41">
        <v>0</v>
      </c>
      <c r="I354" s="41">
        <v>0</v>
      </c>
      <c r="J354" s="1131"/>
      <c r="K354" s="1132"/>
      <c r="L354" s="1132"/>
      <c r="M354" s="1132"/>
      <c r="N354" s="1132"/>
      <c r="O354" s="1132"/>
    </row>
    <row r="355" spans="1:15" s="65" customFormat="1" ht="25.5" customHeight="1" x14ac:dyDescent="0.3">
      <c r="A355" s="109" t="s">
        <v>192</v>
      </c>
      <c r="B355" s="110" t="s">
        <v>32</v>
      </c>
      <c r="C355" s="41">
        <f t="shared" si="78"/>
        <v>10000</v>
      </c>
      <c r="D355" s="41">
        <v>10000</v>
      </c>
      <c r="E355" s="144">
        <v>0</v>
      </c>
      <c r="F355" s="41">
        <v>0</v>
      </c>
      <c r="G355" s="41">
        <v>0</v>
      </c>
      <c r="H355" s="41">
        <v>0</v>
      </c>
      <c r="I355" s="41">
        <v>0</v>
      </c>
      <c r="J355" s="1129"/>
      <c r="K355" s="1130"/>
      <c r="L355" s="1130"/>
      <c r="M355" s="1130"/>
      <c r="N355" s="1130"/>
      <c r="O355" s="1130"/>
    </row>
    <row r="356" spans="1:15" s="1" customFormat="1" ht="15.75" customHeight="1" x14ac:dyDescent="0.3">
      <c r="A356" s="120" t="s">
        <v>187</v>
      </c>
      <c r="B356" s="70" t="s">
        <v>33</v>
      </c>
      <c r="C356" s="41">
        <f t="shared" si="78"/>
        <v>10000</v>
      </c>
      <c r="D356" s="41">
        <v>10000</v>
      </c>
      <c r="E356" s="144">
        <v>0</v>
      </c>
      <c r="F356" s="41">
        <v>0</v>
      </c>
      <c r="G356" s="41">
        <v>0</v>
      </c>
      <c r="H356" s="41">
        <v>0</v>
      </c>
      <c r="I356" s="41">
        <v>0</v>
      </c>
      <c r="J356" s="1129"/>
      <c r="K356" s="1130"/>
      <c r="L356" s="1130"/>
      <c r="M356" s="1130"/>
      <c r="N356" s="1130"/>
      <c r="O356" s="1130"/>
    </row>
    <row r="357" spans="1:15" x14ac:dyDescent="0.3">
      <c r="A357" s="1079" t="s">
        <v>193</v>
      </c>
      <c r="B357" s="1081"/>
      <c r="C357" s="1081"/>
      <c r="D357" s="1081"/>
      <c r="E357" s="1081"/>
      <c r="F357" s="1081"/>
      <c r="G357" s="1081"/>
      <c r="H357" s="1081"/>
      <c r="I357" s="1082"/>
    </row>
    <row r="358" spans="1:15" x14ac:dyDescent="0.3">
      <c r="A358" s="1143" t="s">
        <v>57</v>
      </c>
      <c r="B358" s="1144"/>
      <c r="C358" s="1144"/>
      <c r="D358" s="1144"/>
      <c r="E358" s="1144"/>
      <c r="F358" s="1144"/>
      <c r="G358" s="1144"/>
      <c r="H358" s="1144"/>
      <c r="I358" s="1145"/>
    </row>
    <row r="359" spans="1:15" x14ac:dyDescent="0.3">
      <c r="A359" s="202" t="s">
        <v>31</v>
      </c>
      <c r="B359" s="203" t="s">
        <v>32</v>
      </c>
      <c r="C359" s="122">
        <f t="shared" ref="C359:C380" si="81">D359+E359+F359+G359+H359+I359</f>
        <v>1071093.8500000001</v>
      </c>
      <c r="D359" s="122">
        <f t="shared" ref="D359:I360" si="82">D361+D373</f>
        <v>1056.1300000000001</v>
      </c>
      <c r="E359" s="122">
        <f t="shared" si="82"/>
        <v>137148.38</v>
      </c>
      <c r="F359" s="122">
        <f t="shared" si="82"/>
        <v>332925.03000000003</v>
      </c>
      <c r="G359" s="122">
        <f t="shared" si="82"/>
        <v>275077.93</v>
      </c>
      <c r="H359" s="122">
        <f t="shared" si="82"/>
        <v>214752</v>
      </c>
      <c r="I359" s="122">
        <f t="shared" si="82"/>
        <v>110134.38</v>
      </c>
    </row>
    <row r="360" spans="1:15" x14ac:dyDescent="0.3">
      <c r="A360" s="202"/>
      <c r="B360" s="203" t="s">
        <v>33</v>
      </c>
      <c r="C360" s="122">
        <f t="shared" si="81"/>
        <v>1071093.8500000001</v>
      </c>
      <c r="D360" s="122">
        <f t="shared" si="82"/>
        <v>1056.1300000000001</v>
      </c>
      <c r="E360" s="122">
        <f t="shared" si="82"/>
        <v>137148.38</v>
      </c>
      <c r="F360" s="122">
        <f t="shared" si="82"/>
        <v>332925.03000000003</v>
      </c>
      <c r="G360" s="122">
        <f t="shared" si="82"/>
        <v>275077.93</v>
      </c>
      <c r="H360" s="122">
        <f t="shared" si="82"/>
        <v>214752</v>
      </c>
      <c r="I360" s="122">
        <f t="shared" si="82"/>
        <v>110134.38</v>
      </c>
    </row>
    <row r="361" spans="1:15" x14ac:dyDescent="0.3">
      <c r="A361" s="61" t="s">
        <v>63</v>
      </c>
      <c r="B361" s="56" t="s">
        <v>32</v>
      </c>
      <c r="C361" s="48">
        <f t="shared" si="81"/>
        <v>907996.20000000007</v>
      </c>
      <c r="D361" s="49">
        <f>D363+D365+D367</f>
        <v>0</v>
      </c>
      <c r="E361" s="49">
        <f t="shared" ref="E361:I362" si="83">E363+E365+E367</f>
        <v>82509</v>
      </c>
      <c r="F361" s="49">
        <f t="shared" si="83"/>
        <v>283867.89</v>
      </c>
      <c r="G361" s="49">
        <f t="shared" si="83"/>
        <v>231117.93</v>
      </c>
      <c r="H361" s="49">
        <f t="shared" si="83"/>
        <v>200367</v>
      </c>
      <c r="I361" s="49">
        <f t="shared" si="83"/>
        <v>110134.38</v>
      </c>
    </row>
    <row r="362" spans="1:15" x14ac:dyDescent="0.3">
      <c r="A362" s="63" t="s">
        <v>51</v>
      </c>
      <c r="B362" s="38" t="s">
        <v>33</v>
      </c>
      <c r="C362" s="48">
        <f t="shared" si="81"/>
        <v>907996.20000000007</v>
      </c>
      <c r="D362" s="49">
        <f>D364+D366+D368</f>
        <v>0</v>
      </c>
      <c r="E362" s="49">
        <f t="shared" si="83"/>
        <v>82509</v>
      </c>
      <c r="F362" s="49">
        <f t="shared" si="83"/>
        <v>283867.89</v>
      </c>
      <c r="G362" s="49">
        <f t="shared" si="83"/>
        <v>231117.93</v>
      </c>
      <c r="H362" s="49">
        <f t="shared" si="83"/>
        <v>200367</v>
      </c>
      <c r="I362" s="49">
        <f t="shared" si="83"/>
        <v>110134.38</v>
      </c>
    </row>
    <row r="363" spans="1:15" s="207" customFormat="1" ht="25.75" x14ac:dyDescent="0.35">
      <c r="A363" s="204" t="s">
        <v>194</v>
      </c>
      <c r="B363" s="205" t="s">
        <v>32</v>
      </c>
      <c r="C363" s="206">
        <f>D363+E363+F363+G363+H363+I363</f>
        <v>738496.88</v>
      </c>
      <c r="D363" s="206">
        <f>D484</f>
        <v>0</v>
      </c>
      <c r="E363" s="206">
        <f t="shared" ref="E363:I364" si="84">E484</f>
        <v>16146</v>
      </c>
      <c r="F363" s="206">
        <f t="shared" si="84"/>
        <v>200708.5</v>
      </c>
      <c r="G363" s="206">
        <f t="shared" si="84"/>
        <v>211141</v>
      </c>
      <c r="H363" s="206">
        <f t="shared" si="84"/>
        <v>200367</v>
      </c>
      <c r="I363" s="206">
        <f t="shared" si="84"/>
        <v>110134.38</v>
      </c>
    </row>
    <row r="364" spans="1:15" s="207" customFormat="1" x14ac:dyDescent="0.3">
      <c r="A364" s="208"/>
      <c r="B364" s="209" t="s">
        <v>33</v>
      </c>
      <c r="C364" s="206">
        <f>D364+E364+F364+G364+H364+I364</f>
        <v>738496.88</v>
      </c>
      <c r="D364" s="206">
        <f>D485</f>
        <v>0</v>
      </c>
      <c r="E364" s="206">
        <f t="shared" si="84"/>
        <v>16146</v>
      </c>
      <c r="F364" s="206">
        <f t="shared" si="84"/>
        <v>200708.5</v>
      </c>
      <c r="G364" s="206">
        <f t="shared" si="84"/>
        <v>211141</v>
      </c>
      <c r="H364" s="206">
        <f t="shared" si="84"/>
        <v>200367</v>
      </c>
      <c r="I364" s="206">
        <f t="shared" si="84"/>
        <v>110134.38</v>
      </c>
    </row>
    <row r="365" spans="1:15" s="51" customFormat="1" ht="25.5" customHeight="1" x14ac:dyDescent="0.35">
      <c r="A365" s="46" t="s">
        <v>39</v>
      </c>
      <c r="B365" s="47" t="s">
        <v>32</v>
      </c>
      <c r="C365" s="48">
        <f t="shared" si="81"/>
        <v>74466</v>
      </c>
      <c r="D365" s="49">
        <f t="shared" ref="D365:I366" si="85">D386+D449</f>
        <v>0</v>
      </c>
      <c r="E365" s="49">
        <f t="shared" si="85"/>
        <v>40363</v>
      </c>
      <c r="F365" s="49">
        <f t="shared" si="85"/>
        <v>33770</v>
      </c>
      <c r="G365" s="49">
        <f t="shared" si="85"/>
        <v>333</v>
      </c>
      <c r="H365" s="49">
        <f t="shared" si="85"/>
        <v>0</v>
      </c>
      <c r="I365" s="49">
        <f t="shared" si="85"/>
        <v>0</v>
      </c>
      <c r="J365" s="50"/>
    </row>
    <row r="366" spans="1:15" s="51" customFormat="1" ht="12.9" x14ac:dyDescent="0.35">
      <c r="A366" s="52"/>
      <c r="B366" s="53" t="s">
        <v>33</v>
      </c>
      <c r="C366" s="48">
        <f t="shared" si="81"/>
        <v>74466</v>
      </c>
      <c r="D366" s="49">
        <f t="shared" si="85"/>
        <v>0</v>
      </c>
      <c r="E366" s="49">
        <f t="shared" si="85"/>
        <v>40363</v>
      </c>
      <c r="F366" s="49">
        <f t="shared" si="85"/>
        <v>33770</v>
      </c>
      <c r="G366" s="49">
        <f t="shared" si="85"/>
        <v>333</v>
      </c>
      <c r="H366" s="49">
        <f t="shared" si="85"/>
        <v>0</v>
      </c>
      <c r="I366" s="49">
        <f t="shared" si="85"/>
        <v>0</v>
      </c>
      <c r="J366" s="50"/>
    </row>
    <row r="367" spans="1:15" ht="12.9" x14ac:dyDescent="0.35">
      <c r="A367" s="54" t="s">
        <v>40</v>
      </c>
      <c r="B367" s="35" t="s">
        <v>32</v>
      </c>
      <c r="C367" s="48">
        <f t="shared" si="81"/>
        <v>95033.32</v>
      </c>
      <c r="D367" s="49">
        <f t="shared" ref="D367:I370" si="86">D369</f>
        <v>0</v>
      </c>
      <c r="E367" s="49">
        <f t="shared" si="86"/>
        <v>26000</v>
      </c>
      <c r="F367" s="49">
        <f t="shared" si="86"/>
        <v>49389.39</v>
      </c>
      <c r="G367" s="49">
        <f t="shared" si="86"/>
        <v>19643.93</v>
      </c>
      <c r="H367" s="49">
        <f t="shared" si="86"/>
        <v>0</v>
      </c>
      <c r="I367" s="49">
        <f t="shared" si="86"/>
        <v>0</v>
      </c>
    </row>
    <row r="368" spans="1:15" ht="12.9" x14ac:dyDescent="0.35">
      <c r="A368" s="43"/>
      <c r="B368" s="38" t="s">
        <v>33</v>
      </c>
      <c r="C368" s="48">
        <f t="shared" si="81"/>
        <v>95033.32</v>
      </c>
      <c r="D368" s="49">
        <f t="shared" si="86"/>
        <v>0</v>
      </c>
      <c r="E368" s="49">
        <f t="shared" si="86"/>
        <v>26000</v>
      </c>
      <c r="F368" s="49">
        <f t="shared" si="86"/>
        <v>49389.39</v>
      </c>
      <c r="G368" s="49">
        <f t="shared" si="86"/>
        <v>19643.93</v>
      </c>
      <c r="H368" s="49">
        <f t="shared" si="86"/>
        <v>0</v>
      </c>
      <c r="I368" s="49">
        <f t="shared" si="86"/>
        <v>0</v>
      </c>
    </row>
    <row r="369" spans="1:10" ht="12.9" x14ac:dyDescent="0.35">
      <c r="A369" s="54" t="s">
        <v>53</v>
      </c>
      <c r="B369" s="56" t="s">
        <v>32</v>
      </c>
      <c r="C369" s="48">
        <f t="shared" si="81"/>
        <v>95033.32</v>
      </c>
      <c r="D369" s="49">
        <f>D371</f>
        <v>0</v>
      </c>
      <c r="E369" s="49">
        <f t="shared" si="86"/>
        <v>26000</v>
      </c>
      <c r="F369" s="49">
        <f t="shared" si="86"/>
        <v>49389.39</v>
      </c>
      <c r="G369" s="49">
        <f t="shared" si="86"/>
        <v>19643.93</v>
      </c>
      <c r="H369" s="49">
        <f t="shared" si="86"/>
        <v>0</v>
      </c>
      <c r="I369" s="49">
        <f t="shared" si="86"/>
        <v>0</v>
      </c>
    </row>
    <row r="370" spans="1:10" x14ac:dyDescent="0.3">
      <c r="A370" s="37"/>
      <c r="B370" s="38" t="s">
        <v>33</v>
      </c>
      <c r="C370" s="48">
        <f t="shared" si="81"/>
        <v>95033.32</v>
      </c>
      <c r="D370" s="49">
        <f>D372</f>
        <v>0</v>
      </c>
      <c r="E370" s="49">
        <f t="shared" si="86"/>
        <v>26000</v>
      </c>
      <c r="F370" s="49">
        <f t="shared" si="86"/>
        <v>49389.39</v>
      </c>
      <c r="G370" s="49">
        <f t="shared" si="86"/>
        <v>19643.93</v>
      </c>
      <c r="H370" s="49">
        <f t="shared" si="86"/>
        <v>0</v>
      </c>
      <c r="I370" s="49">
        <f t="shared" si="86"/>
        <v>0</v>
      </c>
    </row>
    <row r="371" spans="1:10" x14ac:dyDescent="0.3">
      <c r="A371" s="113" t="s">
        <v>61</v>
      </c>
      <c r="B371" s="47" t="s">
        <v>32</v>
      </c>
      <c r="C371" s="48">
        <f t="shared" si="81"/>
        <v>95033.32</v>
      </c>
      <c r="D371" s="49">
        <f>D396+D461+D494</f>
        <v>0</v>
      </c>
      <c r="E371" s="49">
        <f t="shared" ref="E371:I372" si="87">E396+E461+E494</f>
        <v>26000</v>
      </c>
      <c r="F371" s="49">
        <f t="shared" si="87"/>
        <v>49389.39</v>
      </c>
      <c r="G371" s="49">
        <f t="shared" si="87"/>
        <v>19643.93</v>
      </c>
      <c r="H371" s="49">
        <f t="shared" si="87"/>
        <v>0</v>
      </c>
      <c r="I371" s="49">
        <f t="shared" si="87"/>
        <v>0</v>
      </c>
    </row>
    <row r="372" spans="1:10" x14ac:dyDescent="0.3">
      <c r="A372" s="37"/>
      <c r="B372" s="53" t="s">
        <v>33</v>
      </c>
      <c r="C372" s="48">
        <f t="shared" si="81"/>
        <v>95033.32</v>
      </c>
      <c r="D372" s="49">
        <f>D397+D462+D495</f>
        <v>0</v>
      </c>
      <c r="E372" s="49">
        <f t="shared" si="87"/>
        <v>26000</v>
      </c>
      <c r="F372" s="49">
        <f t="shared" si="87"/>
        <v>49389.39</v>
      </c>
      <c r="G372" s="49">
        <f t="shared" si="87"/>
        <v>19643.93</v>
      </c>
      <c r="H372" s="49">
        <f t="shared" si="87"/>
        <v>0</v>
      </c>
      <c r="I372" s="49">
        <f t="shared" si="87"/>
        <v>0</v>
      </c>
    </row>
    <row r="373" spans="1:10" x14ac:dyDescent="0.3">
      <c r="A373" s="61" t="s">
        <v>88</v>
      </c>
      <c r="B373" s="56" t="s">
        <v>32</v>
      </c>
      <c r="C373" s="36">
        <f t="shared" si="81"/>
        <v>163097.65</v>
      </c>
      <c r="D373" s="36">
        <f>D375</f>
        <v>1056.1300000000001</v>
      </c>
      <c r="E373" s="36">
        <f t="shared" ref="E373:I374" si="88">E375</f>
        <v>54639.38</v>
      </c>
      <c r="F373" s="36">
        <f t="shared" si="88"/>
        <v>49057.14</v>
      </c>
      <c r="G373" s="36">
        <f t="shared" si="88"/>
        <v>43960</v>
      </c>
      <c r="H373" s="36">
        <f t="shared" si="88"/>
        <v>14385</v>
      </c>
      <c r="I373" s="36">
        <f t="shared" si="88"/>
        <v>0</v>
      </c>
    </row>
    <row r="374" spans="1:10" x14ac:dyDescent="0.3">
      <c r="A374" s="63" t="s">
        <v>51</v>
      </c>
      <c r="B374" s="38" t="s">
        <v>33</v>
      </c>
      <c r="C374" s="36">
        <f t="shared" si="81"/>
        <v>163097.65</v>
      </c>
      <c r="D374" s="36">
        <f>D376</f>
        <v>1056.1300000000001</v>
      </c>
      <c r="E374" s="36">
        <f t="shared" si="88"/>
        <v>54639.38</v>
      </c>
      <c r="F374" s="36">
        <f t="shared" si="88"/>
        <v>49057.14</v>
      </c>
      <c r="G374" s="36">
        <f t="shared" si="88"/>
        <v>43960</v>
      </c>
      <c r="H374" s="36">
        <f t="shared" si="88"/>
        <v>14385</v>
      </c>
      <c r="I374" s="36">
        <f t="shared" si="88"/>
        <v>0</v>
      </c>
    </row>
    <row r="375" spans="1:10" ht="12.9" x14ac:dyDescent="0.35">
      <c r="A375" s="54" t="s">
        <v>40</v>
      </c>
      <c r="B375" s="35" t="s">
        <v>32</v>
      </c>
      <c r="C375" s="48">
        <f t="shared" si="81"/>
        <v>163097.65</v>
      </c>
      <c r="D375" s="49">
        <f t="shared" ref="D375:I378" si="89">D377</f>
        <v>1056.1300000000001</v>
      </c>
      <c r="E375" s="49">
        <f t="shared" si="89"/>
        <v>54639.38</v>
      </c>
      <c r="F375" s="49">
        <f t="shared" si="89"/>
        <v>49057.14</v>
      </c>
      <c r="G375" s="49">
        <f t="shared" si="89"/>
        <v>43960</v>
      </c>
      <c r="H375" s="49">
        <f t="shared" si="89"/>
        <v>14385</v>
      </c>
      <c r="I375" s="49">
        <f t="shared" si="89"/>
        <v>0</v>
      </c>
    </row>
    <row r="376" spans="1:10" ht="12.9" x14ac:dyDescent="0.35">
      <c r="A376" s="43"/>
      <c r="B376" s="38" t="s">
        <v>33</v>
      </c>
      <c r="C376" s="48">
        <f t="shared" si="81"/>
        <v>163097.65</v>
      </c>
      <c r="D376" s="49">
        <f t="shared" si="89"/>
        <v>1056.1300000000001</v>
      </c>
      <c r="E376" s="49">
        <f t="shared" si="89"/>
        <v>54639.38</v>
      </c>
      <c r="F376" s="49">
        <f t="shared" si="89"/>
        <v>49057.14</v>
      </c>
      <c r="G376" s="49">
        <f t="shared" si="89"/>
        <v>43960</v>
      </c>
      <c r="H376" s="49">
        <f t="shared" si="89"/>
        <v>14385</v>
      </c>
      <c r="I376" s="49">
        <f t="shared" si="89"/>
        <v>0</v>
      </c>
    </row>
    <row r="377" spans="1:10" ht="12.9" x14ac:dyDescent="0.35">
      <c r="A377" s="54" t="s">
        <v>53</v>
      </c>
      <c r="B377" s="56" t="s">
        <v>32</v>
      </c>
      <c r="C377" s="48">
        <f t="shared" si="81"/>
        <v>163097.65</v>
      </c>
      <c r="D377" s="49">
        <f>D379</f>
        <v>1056.1300000000001</v>
      </c>
      <c r="E377" s="49">
        <f t="shared" si="89"/>
        <v>54639.38</v>
      </c>
      <c r="F377" s="49">
        <f t="shared" si="89"/>
        <v>49057.14</v>
      </c>
      <c r="G377" s="49">
        <f t="shared" si="89"/>
        <v>43960</v>
      </c>
      <c r="H377" s="49">
        <f t="shared" si="89"/>
        <v>14385</v>
      </c>
      <c r="I377" s="49">
        <f t="shared" si="89"/>
        <v>0</v>
      </c>
    </row>
    <row r="378" spans="1:10" x14ac:dyDescent="0.3">
      <c r="A378" s="37"/>
      <c r="B378" s="38" t="s">
        <v>33</v>
      </c>
      <c r="C378" s="48">
        <f t="shared" si="81"/>
        <v>163097.65</v>
      </c>
      <c r="D378" s="49">
        <f>D380</f>
        <v>1056.1300000000001</v>
      </c>
      <c r="E378" s="49">
        <f t="shared" si="89"/>
        <v>54639.38</v>
      </c>
      <c r="F378" s="49">
        <f t="shared" si="89"/>
        <v>49057.14</v>
      </c>
      <c r="G378" s="49">
        <f t="shared" si="89"/>
        <v>43960</v>
      </c>
      <c r="H378" s="49">
        <f t="shared" si="89"/>
        <v>14385</v>
      </c>
      <c r="I378" s="49">
        <f t="shared" si="89"/>
        <v>0</v>
      </c>
    </row>
    <row r="379" spans="1:10" x14ac:dyDescent="0.3">
      <c r="A379" s="113" t="s">
        <v>61</v>
      </c>
      <c r="B379" s="47" t="s">
        <v>32</v>
      </c>
      <c r="C379" s="48">
        <f t="shared" si="81"/>
        <v>163097.65</v>
      </c>
      <c r="D379" s="49">
        <f t="shared" ref="D379:I380" si="90">D409+D436+D473</f>
        <v>1056.1300000000001</v>
      </c>
      <c r="E379" s="49">
        <f t="shared" si="90"/>
        <v>54639.38</v>
      </c>
      <c r="F379" s="49">
        <f t="shared" si="90"/>
        <v>49057.14</v>
      </c>
      <c r="G379" s="49">
        <f t="shared" si="90"/>
        <v>43960</v>
      </c>
      <c r="H379" s="49">
        <f t="shared" si="90"/>
        <v>14385</v>
      </c>
      <c r="I379" s="49">
        <f t="shared" si="90"/>
        <v>0</v>
      </c>
    </row>
    <row r="380" spans="1:10" x14ac:dyDescent="0.3">
      <c r="A380" s="37"/>
      <c r="B380" s="53" t="s">
        <v>33</v>
      </c>
      <c r="C380" s="48">
        <f t="shared" si="81"/>
        <v>163097.65</v>
      </c>
      <c r="D380" s="49">
        <f t="shared" si="90"/>
        <v>1056.1300000000001</v>
      </c>
      <c r="E380" s="49">
        <f t="shared" si="90"/>
        <v>54639.38</v>
      </c>
      <c r="F380" s="49">
        <f t="shared" si="90"/>
        <v>49057.14</v>
      </c>
      <c r="G380" s="49">
        <f t="shared" si="90"/>
        <v>43960</v>
      </c>
      <c r="H380" s="49">
        <f t="shared" si="90"/>
        <v>14385</v>
      </c>
      <c r="I380" s="49">
        <f t="shared" si="90"/>
        <v>0</v>
      </c>
    </row>
    <row r="381" spans="1:10" ht="16.5" customHeight="1" x14ac:dyDescent="0.3">
      <c r="A381" s="1062" t="s">
        <v>62</v>
      </c>
      <c r="B381" s="1043"/>
      <c r="C381" s="1043"/>
      <c r="D381" s="1043"/>
      <c r="E381" s="1043"/>
      <c r="F381" s="1043"/>
      <c r="G381" s="1043"/>
      <c r="H381" s="1043"/>
      <c r="I381" s="1044"/>
    </row>
    <row r="382" spans="1:10" s="65" customFormat="1" x14ac:dyDescent="0.3">
      <c r="A382" s="91" t="s">
        <v>57</v>
      </c>
      <c r="B382" s="40" t="s">
        <v>32</v>
      </c>
      <c r="C382" s="48">
        <f>C384</f>
        <v>76367</v>
      </c>
      <c r="D382" s="49">
        <f>D384</f>
        <v>0</v>
      </c>
      <c r="E382" s="49">
        <f t="shared" ref="E382:I383" si="91">E384</f>
        <v>39101</v>
      </c>
      <c r="F382" s="49">
        <f t="shared" si="91"/>
        <v>36933</v>
      </c>
      <c r="G382" s="49">
        <f t="shared" si="91"/>
        <v>333</v>
      </c>
      <c r="H382" s="49">
        <f t="shared" si="91"/>
        <v>0</v>
      </c>
      <c r="I382" s="49">
        <f t="shared" si="91"/>
        <v>0</v>
      </c>
      <c r="J382" s="105"/>
    </row>
    <row r="383" spans="1:10" x14ac:dyDescent="0.3">
      <c r="A383" s="120" t="s">
        <v>87</v>
      </c>
      <c r="B383" s="53" t="s">
        <v>33</v>
      </c>
      <c r="C383" s="48">
        <f>C385</f>
        <v>76367</v>
      </c>
      <c r="D383" s="49">
        <f>D385</f>
        <v>0</v>
      </c>
      <c r="E383" s="49">
        <f t="shared" si="91"/>
        <v>39101</v>
      </c>
      <c r="F383" s="49">
        <f t="shared" si="91"/>
        <v>36933</v>
      </c>
      <c r="G383" s="49">
        <f t="shared" si="91"/>
        <v>333</v>
      </c>
      <c r="H383" s="49">
        <f t="shared" si="91"/>
        <v>0</v>
      </c>
      <c r="I383" s="49">
        <f t="shared" si="91"/>
        <v>0</v>
      </c>
      <c r="J383" s="78"/>
    </row>
    <row r="384" spans="1:10" s="65" customFormat="1" x14ac:dyDescent="0.3">
      <c r="A384" s="61" t="s">
        <v>63</v>
      </c>
      <c r="B384" s="40" t="s">
        <v>32</v>
      </c>
      <c r="C384" s="48">
        <f>D384+E384+F384+G384+H384+I384</f>
        <v>76367</v>
      </c>
      <c r="D384" s="49">
        <f t="shared" ref="D384:I385" si="92">D386+D392</f>
        <v>0</v>
      </c>
      <c r="E384" s="49">
        <f t="shared" si="92"/>
        <v>39101</v>
      </c>
      <c r="F384" s="49">
        <f t="shared" si="92"/>
        <v>36933</v>
      </c>
      <c r="G384" s="49">
        <f t="shared" si="92"/>
        <v>333</v>
      </c>
      <c r="H384" s="49">
        <f t="shared" si="92"/>
        <v>0</v>
      </c>
      <c r="I384" s="49">
        <f t="shared" si="92"/>
        <v>0</v>
      </c>
      <c r="J384" s="105"/>
    </row>
    <row r="385" spans="1:10" x14ac:dyDescent="0.3">
      <c r="A385" s="63" t="s">
        <v>51</v>
      </c>
      <c r="B385" s="53" t="s">
        <v>33</v>
      </c>
      <c r="C385" s="48">
        <f>D385+E385+F385+G385+H385+I385</f>
        <v>76367</v>
      </c>
      <c r="D385" s="49">
        <f t="shared" si="92"/>
        <v>0</v>
      </c>
      <c r="E385" s="49">
        <f t="shared" si="92"/>
        <v>39101</v>
      </c>
      <c r="F385" s="49">
        <f t="shared" si="92"/>
        <v>36933</v>
      </c>
      <c r="G385" s="49">
        <f t="shared" si="92"/>
        <v>333</v>
      </c>
      <c r="H385" s="49">
        <f t="shared" si="92"/>
        <v>0</v>
      </c>
      <c r="I385" s="49">
        <f t="shared" si="92"/>
        <v>0</v>
      </c>
      <c r="J385" s="68"/>
    </row>
    <row r="386" spans="1:10" s="51" customFormat="1" ht="25.5" customHeight="1" x14ac:dyDescent="0.35">
      <c r="A386" s="46" t="s">
        <v>39</v>
      </c>
      <c r="B386" s="47" t="s">
        <v>32</v>
      </c>
      <c r="C386" s="48">
        <f t="shared" ref="C386:C397" si="93">D386+E386+F386+G386+H386+I386</f>
        <v>71853</v>
      </c>
      <c r="D386" s="49">
        <f>D388+D390</f>
        <v>0</v>
      </c>
      <c r="E386" s="49">
        <f t="shared" ref="E386:I387" si="94">E388+E390</f>
        <v>37750</v>
      </c>
      <c r="F386" s="49">
        <f t="shared" si="94"/>
        <v>33770</v>
      </c>
      <c r="G386" s="49">
        <f t="shared" si="94"/>
        <v>333</v>
      </c>
      <c r="H386" s="49">
        <f t="shared" si="94"/>
        <v>0</v>
      </c>
      <c r="I386" s="49">
        <f t="shared" si="94"/>
        <v>0</v>
      </c>
      <c r="J386" s="50"/>
    </row>
    <row r="387" spans="1:10" s="51" customFormat="1" ht="12.9" x14ac:dyDescent="0.35">
      <c r="A387" s="52"/>
      <c r="B387" s="53" t="s">
        <v>33</v>
      </c>
      <c r="C387" s="48">
        <f t="shared" si="93"/>
        <v>71853</v>
      </c>
      <c r="D387" s="49">
        <f>D389+D391</f>
        <v>0</v>
      </c>
      <c r="E387" s="49">
        <f t="shared" si="94"/>
        <v>37750</v>
      </c>
      <c r="F387" s="49">
        <f t="shared" si="94"/>
        <v>33770</v>
      </c>
      <c r="G387" s="49">
        <f t="shared" si="94"/>
        <v>333</v>
      </c>
      <c r="H387" s="49">
        <f t="shared" si="94"/>
        <v>0</v>
      </c>
      <c r="I387" s="49">
        <f t="shared" si="94"/>
        <v>0</v>
      </c>
      <c r="J387" s="50"/>
    </row>
    <row r="388" spans="1:10" s="78" customFormat="1" ht="26.25" customHeight="1" x14ac:dyDescent="0.3">
      <c r="A388" s="210" t="s">
        <v>195</v>
      </c>
      <c r="B388" s="110" t="s">
        <v>32</v>
      </c>
      <c r="C388" s="108">
        <f t="shared" si="93"/>
        <v>1666</v>
      </c>
      <c r="D388" s="108">
        <v>0</v>
      </c>
      <c r="E388" s="108">
        <v>750</v>
      </c>
      <c r="F388" s="108">
        <v>583</v>
      </c>
      <c r="G388" s="108">
        <v>333</v>
      </c>
      <c r="H388" s="108">
        <v>0</v>
      </c>
      <c r="I388" s="108">
        <v>0</v>
      </c>
    </row>
    <row r="389" spans="1:10" s="78" customFormat="1" ht="12.9" x14ac:dyDescent="0.35">
      <c r="A389" s="107"/>
      <c r="B389" s="70" t="s">
        <v>33</v>
      </c>
      <c r="C389" s="108">
        <f t="shared" si="93"/>
        <v>1666</v>
      </c>
      <c r="D389" s="108">
        <v>0</v>
      </c>
      <c r="E389" s="108">
        <v>750</v>
      </c>
      <c r="F389" s="108">
        <v>583</v>
      </c>
      <c r="G389" s="108">
        <v>333</v>
      </c>
      <c r="H389" s="108">
        <v>0</v>
      </c>
      <c r="I389" s="108">
        <v>0</v>
      </c>
    </row>
    <row r="390" spans="1:10" s="78" customFormat="1" ht="16.5" customHeight="1" x14ac:dyDescent="0.3">
      <c r="A390" s="211" t="s">
        <v>96</v>
      </c>
      <c r="B390" s="110" t="s">
        <v>32</v>
      </c>
      <c r="C390" s="108">
        <f t="shared" si="93"/>
        <v>70187</v>
      </c>
      <c r="D390" s="108">
        <v>0</v>
      </c>
      <c r="E390" s="108">
        <v>37000</v>
      </c>
      <c r="F390" s="108">
        <v>33187</v>
      </c>
      <c r="G390" s="108">
        <v>0</v>
      </c>
      <c r="H390" s="108">
        <v>0</v>
      </c>
      <c r="I390" s="108">
        <v>0</v>
      </c>
    </row>
    <row r="391" spans="1:10" s="105" customFormat="1" ht="12.9" x14ac:dyDescent="0.3">
      <c r="A391" s="212"/>
      <c r="B391" s="70" t="s">
        <v>33</v>
      </c>
      <c r="C391" s="108">
        <f t="shared" si="93"/>
        <v>70187</v>
      </c>
      <c r="D391" s="108">
        <v>0</v>
      </c>
      <c r="E391" s="108">
        <v>37000</v>
      </c>
      <c r="F391" s="108">
        <v>33187</v>
      </c>
      <c r="G391" s="108">
        <v>0</v>
      </c>
      <c r="H391" s="108">
        <v>0</v>
      </c>
      <c r="I391" s="108">
        <v>0</v>
      </c>
    </row>
    <row r="392" spans="1:10" ht="12.9" x14ac:dyDescent="0.35">
      <c r="A392" s="54" t="s">
        <v>40</v>
      </c>
      <c r="B392" s="35" t="s">
        <v>32</v>
      </c>
      <c r="C392" s="48">
        <f t="shared" si="93"/>
        <v>4514</v>
      </c>
      <c r="D392" s="49">
        <f t="shared" ref="D392:I397" si="95">D394</f>
        <v>0</v>
      </c>
      <c r="E392" s="49">
        <f t="shared" si="95"/>
        <v>1351</v>
      </c>
      <c r="F392" s="49">
        <f t="shared" si="95"/>
        <v>3163</v>
      </c>
      <c r="G392" s="49">
        <f t="shared" si="95"/>
        <v>0</v>
      </c>
      <c r="H392" s="49">
        <f t="shared" si="95"/>
        <v>0</v>
      </c>
      <c r="I392" s="49">
        <f t="shared" si="95"/>
        <v>0</v>
      </c>
    </row>
    <row r="393" spans="1:10" ht="12.9" x14ac:dyDescent="0.35">
      <c r="A393" s="43"/>
      <c r="B393" s="38" t="s">
        <v>33</v>
      </c>
      <c r="C393" s="48">
        <f t="shared" si="93"/>
        <v>4514</v>
      </c>
      <c r="D393" s="49">
        <f t="shared" si="95"/>
        <v>0</v>
      </c>
      <c r="E393" s="49">
        <f t="shared" si="95"/>
        <v>1351</v>
      </c>
      <c r="F393" s="49">
        <f t="shared" si="95"/>
        <v>3163</v>
      </c>
      <c r="G393" s="49">
        <f t="shared" si="95"/>
        <v>0</v>
      </c>
      <c r="H393" s="49">
        <f t="shared" si="95"/>
        <v>0</v>
      </c>
      <c r="I393" s="49">
        <f t="shared" si="95"/>
        <v>0</v>
      </c>
    </row>
    <row r="394" spans="1:10" ht="12.9" x14ac:dyDescent="0.35">
      <c r="A394" s="54" t="s">
        <v>53</v>
      </c>
      <c r="B394" s="56" t="s">
        <v>32</v>
      </c>
      <c r="C394" s="48">
        <f t="shared" si="93"/>
        <v>4514</v>
      </c>
      <c r="D394" s="49">
        <f t="shared" si="95"/>
        <v>0</v>
      </c>
      <c r="E394" s="49">
        <f t="shared" si="95"/>
        <v>1351</v>
      </c>
      <c r="F394" s="49">
        <f t="shared" si="95"/>
        <v>3163</v>
      </c>
      <c r="G394" s="49">
        <f t="shared" si="95"/>
        <v>0</v>
      </c>
      <c r="H394" s="49">
        <f t="shared" si="95"/>
        <v>0</v>
      </c>
      <c r="I394" s="49">
        <f t="shared" si="95"/>
        <v>0</v>
      </c>
    </row>
    <row r="395" spans="1:10" x14ac:dyDescent="0.3">
      <c r="A395" s="37"/>
      <c r="B395" s="38" t="s">
        <v>33</v>
      </c>
      <c r="C395" s="48">
        <f t="shared" si="93"/>
        <v>4514</v>
      </c>
      <c r="D395" s="49">
        <f t="shared" si="95"/>
        <v>0</v>
      </c>
      <c r="E395" s="49">
        <f t="shared" si="95"/>
        <v>1351</v>
      </c>
      <c r="F395" s="49">
        <f t="shared" si="95"/>
        <v>3163</v>
      </c>
      <c r="G395" s="49">
        <f t="shared" si="95"/>
        <v>0</v>
      </c>
      <c r="H395" s="49">
        <f t="shared" si="95"/>
        <v>0</v>
      </c>
      <c r="I395" s="49">
        <f t="shared" si="95"/>
        <v>0</v>
      </c>
    </row>
    <row r="396" spans="1:10" x14ac:dyDescent="0.3">
      <c r="A396" s="113" t="s">
        <v>61</v>
      </c>
      <c r="B396" s="47" t="s">
        <v>32</v>
      </c>
      <c r="C396" s="48">
        <f t="shared" si="93"/>
        <v>4514</v>
      </c>
      <c r="D396" s="49">
        <f>D398</f>
        <v>0</v>
      </c>
      <c r="E396" s="49">
        <f t="shared" si="95"/>
        <v>1351</v>
      </c>
      <c r="F396" s="49">
        <f t="shared" si="95"/>
        <v>3163</v>
      </c>
      <c r="G396" s="49">
        <f t="shared" si="95"/>
        <v>0</v>
      </c>
      <c r="H396" s="49">
        <f t="shared" si="95"/>
        <v>0</v>
      </c>
      <c r="I396" s="49">
        <f t="shared" si="95"/>
        <v>0</v>
      </c>
    </row>
    <row r="397" spans="1:10" x14ac:dyDescent="0.3">
      <c r="A397" s="37"/>
      <c r="B397" s="53" t="s">
        <v>33</v>
      </c>
      <c r="C397" s="48">
        <f t="shared" si="93"/>
        <v>4514</v>
      </c>
      <c r="D397" s="49">
        <f>D399</f>
        <v>0</v>
      </c>
      <c r="E397" s="49">
        <f t="shared" si="95"/>
        <v>1351</v>
      </c>
      <c r="F397" s="49">
        <f t="shared" si="95"/>
        <v>3163</v>
      </c>
      <c r="G397" s="49">
        <f t="shared" si="95"/>
        <v>0</v>
      </c>
      <c r="H397" s="49">
        <f t="shared" si="95"/>
        <v>0</v>
      </c>
      <c r="I397" s="49">
        <f t="shared" si="95"/>
        <v>0</v>
      </c>
    </row>
    <row r="398" spans="1:10" s="105" customFormat="1" ht="16.5" customHeight="1" x14ac:dyDescent="0.3">
      <c r="A398" s="211" t="s">
        <v>196</v>
      </c>
      <c r="B398" s="110" t="s">
        <v>32</v>
      </c>
      <c r="C398" s="108">
        <f>D398+E398+F398+G398+H398+I398</f>
        <v>4514</v>
      </c>
      <c r="D398" s="108">
        <v>0</v>
      </c>
      <c r="E398" s="108">
        <v>1351</v>
      </c>
      <c r="F398" s="108">
        <v>3163</v>
      </c>
      <c r="G398" s="108">
        <v>0</v>
      </c>
      <c r="H398" s="108">
        <v>0</v>
      </c>
      <c r="I398" s="108">
        <v>0</v>
      </c>
    </row>
    <row r="399" spans="1:10" s="105" customFormat="1" ht="12.9" x14ac:dyDescent="0.3">
      <c r="A399" s="212"/>
      <c r="B399" s="70" t="s">
        <v>33</v>
      </c>
      <c r="C399" s="108">
        <f>D399+E399+F399+G399+H399+I399</f>
        <v>4514</v>
      </c>
      <c r="D399" s="108">
        <v>0</v>
      </c>
      <c r="E399" s="108">
        <v>1351</v>
      </c>
      <c r="F399" s="108">
        <v>3163</v>
      </c>
      <c r="G399" s="108">
        <v>0</v>
      </c>
      <c r="H399" s="108">
        <v>0</v>
      </c>
      <c r="I399" s="108">
        <v>0</v>
      </c>
    </row>
    <row r="400" spans="1:10" ht="12.75" customHeight="1" x14ac:dyDescent="0.3">
      <c r="A400" s="1062" t="s">
        <v>86</v>
      </c>
      <c r="B400" s="1064"/>
      <c r="C400" s="1064"/>
      <c r="D400" s="1064"/>
      <c r="E400" s="1064"/>
      <c r="F400" s="1064"/>
      <c r="G400" s="1064"/>
      <c r="H400" s="1064"/>
      <c r="I400" s="1065"/>
      <c r="J400" s="68"/>
    </row>
    <row r="401" spans="1:16" ht="12.75" customHeight="1" x14ac:dyDescent="0.3">
      <c r="A401" s="71" t="s">
        <v>57</v>
      </c>
      <c r="B401" s="56" t="s">
        <v>32</v>
      </c>
      <c r="C401" s="48">
        <f t="shared" ref="C401:C426" si="96">D401+E401+F401+G401+H401+I401</f>
        <v>104280.13</v>
      </c>
      <c r="D401" s="48">
        <f t="shared" ref="D401:I408" si="97">D403</f>
        <v>905.13</v>
      </c>
      <c r="E401" s="48">
        <f t="shared" si="97"/>
        <v>1070</v>
      </c>
      <c r="F401" s="48">
        <f t="shared" si="97"/>
        <v>43960</v>
      </c>
      <c r="G401" s="48">
        <f t="shared" si="97"/>
        <v>43960</v>
      </c>
      <c r="H401" s="48">
        <f t="shared" si="97"/>
        <v>14385</v>
      </c>
      <c r="I401" s="48">
        <f t="shared" si="97"/>
        <v>0</v>
      </c>
    </row>
    <row r="402" spans="1:16" ht="12.75" customHeight="1" x14ac:dyDescent="0.3">
      <c r="A402" s="60" t="s">
        <v>87</v>
      </c>
      <c r="B402" s="38" t="s">
        <v>33</v>
      </c>
      <c r="C402" s="48">
        <f t="shared" si="96"/>
        <v>104280.13</v>
      </c>
      <c r="D402" s="48">
        <f t="shared" si="97"/>
        <v>905.13</v>
      </c>
      <c r="E402" s="48">
        <f t="shared" si="97"/>
        <v>1070</v>
      </c>
      <c r="F402" s="48">
        <f t="shared" si="97"/>
        <v>43960</v>
      </c>
      <c r="G402" s="48">
        <f t="shared" si="97"/>
        <v>43960</v>
      </c>
      <c r="H402" s="48">
        <f t="shared" si="97"/>
        <v>14385</v>
      </c>
      <c r="I402" s="48">
        <f t="shared" si="97"/>
        <v>0</v>
      </c>
    </row>
    <row r="403" spans="1:16" s="14" customFormat="1" ht="12.75" customHeight="1" x14ac:dyDescent="0.3">
      <c r="A403" s="61" t="s">
        <v>88</v>
      </c>
      <c r="B403" s="12" t="s">
        <v>32</v>
      </c>
      <c r="C403" s="36">
        <f t="shared" si="96"/>
        <v>104280.13</v>
      </c>
      <c r="D403" s="36">
        <f>D405</f>
        <v>905.13</v>
      </c>
      <c r="E403" s="36">
        <f t="shared" si="97"/>
        <v>1070</v>
      </c>
      <c r="F403" s="36">
        <f t="shared" si="97"/>
        <v>43960</v>
      </c>
      <c r="G403" s="36">
        <f t="shared" si="97"/>
        <v>43960</v>
      </c>
      <c r="H403" s="36">
        <f t="shared" si="97"/>
        <v>14385</v>
      </c>
      <c r="I403" s="36">
        <f t="shared" si="97"/>
        <v>0</v>
      </c>
    </row>
    <row r="404" spans="1:16" s="14" customFormat="1" ht="12.75" customHeight="1" x14ac:dyDescent="0.3">
      <c r="A404" s="19" t="s">
        <v>89</v>
      </c>
      <c r="B404" s="23" t="s">
        <v>33</v>
      </c>
      <c r="C404" s="36">
        <f t="shared" si="96"/>
        <v>104280.13</v>
      </c>
      <c r="D404" s="36">
        <f>D406</f>
        <v>905.13</v>
      </c>
      <c r="E404" s="36">
        <f t="shared" si="97"/>
        <v>1070</v>
      </c>
      <c r="F404" s="36">
        <f t="shared" si="97"/>
        <v>43960</v>
      </c>
      <c r="G404" s="36">
        <f t="shared" si="97"/>
        <v>43960</v>
      </c>
      <c r="H404" s="36">
        <f t="shared" si="97"/>
        <v>14385</v>
      </c>
      <c r="I404" s="36">
        <f t="shared" si="97"/>
        <v>0</v>
      </c>
    </row>
    <row r="405" spans="1:16" ht="12.75" customHeight="1" x14ac:dyDescent="0.35">
      <c r="A405" s="54" t="s">
        <v>40</v>
      </c>
      <c r="B405" s="35" t="s">
        <v>32</v>
      </c>
      <c r="C405" s="48">
        <f t="shared" si="96"/>
        <v>104280.13</v>
      </c>
      <c r="D405" s="48">
        <f t="shared" si="97"/>
        <v>905.13</v>
      </c>
      <c r="E405" s="48">
        <f t="shared" si="97"/>
        <v>1070</v>
      </c>
      <c r="F405" s="48">
        <f t="shared" si="97"/>
        <v>43960</v>
      </c>
      <c r="G405" s="48">
        <f t="shared" si="97"/>
        <v>43960</v>
      </c>
      <c r="H405" s="48">
        <f t="shared" si="97"/>
        <v>14385</v>
      </c>
      <c r="I405" s="48">
        <f t="shared" si="97"/>
        <v>0</v>
      </c>
    </row>
    <row r="406" spans="1:16" ht="12.75" customHeight="1" x14ac:dyDescent="0.35">
      <c r="A406" s="43"/>
      <c r="B406" s="38" t="s">
        <v>33</v>
      </c>
      <c r="C406" s="48">
        <f t="shared" si="96"/>
        <v>104280.13</v>
      </c>
      <c r="D406" s="48">
        <f t="shared" si="97"/>
        <v>905.13</v>
      </c>
      <c r="E406" s="48">
        <f t="shared" si="97"/>
        <v>1070</v>
      </c>
      <c r="F406" s="48">
        <f t="shared" si="97"/>
        <v>43960</v>
      </c>
      <c r="G406" s="48">
        <f t="shared" si="97"/>
        <v>43960</v>
      </c>
      <c r="H406" s="48">
        <f t="shared" si="97"/>
        <v>14385</v>
      </c>
      <c r="I406" s="48">
        <f t="shared" si="97"/>
        <v>0</v>
      </c>
    </row>
    <row r="407" spans="1:16" ht="12.75" customHeight="1" x14ac:dyDescent="0.3">
      <c r="A407" s="72" t="s">
        <v>53</v>
      </c>
      <c r="B407" s="56" t="s">
        <v>32</v>
      </c>
      <c r="C407" s="48">
        <f t="shared" si="96"/>
        <v>104280.13</v>
      </c>
      <c r="D407" s="48">
        <f t="shared" si="97"/>
        <v>905.13</v>
      </c>
      <c r="E407" s="48">
        <f t="shared" si="97"/>
        <v>1070</v>
      </c>
      <c r="F407" s="48">
        <f t="shared" si="97"/>
        <v>43960</v>
      </c>
      <c r="G407" s="48">
        <f t="shared" si="97"/>
        <v>43960</v>
      </c>
      <c r="H407" s="48">
        <f t="shared" si="97"/>
        <v>14385</v>
      </c>
      <c r="I407" s="48">
        <f t="shared" si="97"/>
        <v>0</v>
      </c>
    </row>
    <row r="408" spans="1:16" ht="12.75" customHeight="1" x14ac:dyDescent="0.3">
      <c r="A408" s="63"/>
      <c r="B408" s="38" t="s">
        <v>33</v>
      </c>
      <c r="C408" s="48">
        <f t="shared" si="96"/>
        <v>104280.13</v>
      </c>
      <c r="D408" s="48">
        <f t="shared" si="97"/>
        <v>905.13</v>
      </c>
      <c r="E408" s="48">
        <f t="shared" si="97"/>
        <v>1070</v>
      </c>
      <c r="F408" s="48">
        <f t="shared" si="97"/>
        <v>43960</v>
      </c>
      <c r="G408" s="48">
        <f t="shared" si="97"/>
        <v>43960</v>
      </c>
      <c r="H408" s="48">
        <f t="shared" si="97"/>
        <v>14385</v>
      </c>
      <c r="I408" s="48">
        <f t="shared" si="97"/>
        <v>0</v>
      </c>
    </row>
    <row r="409" spans="1:16" s="14" customFormat="1" x14ac:dyDescent="0.3">
      <c r="A409" s="132" t="s">
        <v>61</v>
      </c>
      <c r="B409" s="12" t="s">
        <v>32</v>
      </c>
      <c r="C409" s="36">
        <f t="shared" si="96"/>
        <v>104280.13</v>
      </c>
      <c r="D409" s="36">
        <f>D411+D417+D421</f>
        <v>905.13</v>
      </c>
      <c r="E409" s="36">
        <f t="shared" ref="E409:I410" si="98">E411+E417+E421</f>
        <v>1070</v>
      </c>
      <c r="F409" s="36">
        <f t="shared" si="98"/>
        <v>43960</v>
      </c>
      <c r="G409" s="36">
        <f t="shared" si="98"/>
        <v>43960</v>
      </c>
      <c r="H409" s="36">
        <f t="shared" si="98"/>
        <v>14385</v>
      </c>
      <c r="I409" s="36">
        <f t="shared" si="98"/>
        <v>0</v>
      </c>
    </row>
    <row r="410" spans="1:16" s="14" customFormat="1" x14ac:dyDescent="0.3">
      <c r="A410" s="19"/>
      <c r="B410" s="23" t="s">
        <v>33</v>
      </c>
      <c r="C410" s="36">
        <f t="shared" si="96"/>
        <v>104280.13</v>
      </c>
      <c r="D410" s="36">
        <f>D412+D418+D422</f>
        <v>905.13</v>
      </c>
      <c r="E410" s="36">
        <f t="shared" si="98"/>
        <v>1070</v>
      </c>
      <c r="F410" s="36">
        <f t="shared" si="98"/>
        <v>43960</v>
      </c>
      <c r="G410" s="36">
        <f t="shared" si="98"/>
        <v>43960</v>
      </c>
      <c r="H410" s="36">
        <f t="shared" si="98"/>
        <v>14385</v>
      </c>
      <c r="I410" s="36">
        <f t="shared" si="98"/>
        <v>0</v>
      </c>
    </row>
    <row r="411" spans="1:16" s="126" customFormat="1" x14ac:dyDescent="0.3">
      <c r="A411" s="133" t="s">
        <v>197</v>
      </c>
      <c r="B411" s="124" t="s">
        <v>32</v>
      </c>
      <c r="C411" s="122">
        <f t="shared" si="96"/>
        <v>1448</v>
      </c>
      <c r="D411" s="122">
        <f>D413+D415</f>
        <v>378</v>
      </c>
      <c r="E411" s="122">
        <f t="shared" ref="E411:I412" si="99">E413+E415</f>
        <v>1070</v>
      </c>
      <c r="F411" s="122">
        <f t="shared" si="99"/>
        <v>0</v>
      </c>
      <c r="G411" s="122">
        <f t="shared" si="99"/>
        <v>0</v>
      </c>
      <c r="H411" s="122">
        <f t="shared" si="99"/>
        <v>0</v>
      </c>
      <c r="I411" s="122">
        <f t="shared" si="99"/>
        <v>0</v>
      </c>
      <c r="J411" s="125"/>
    </row>
    <row r="412" spans="1:16" s="126" customFormat="1" x14ac:dyDescent="0.3">
      <c r="A412" s="127"/>
      <c r="B412" s="128" t="s">
        <v>33</v>
      </c>
      <c r="C412" s="122">
        <f t="shared" si="96"/>
        <v>1448</v>
      </c>
      <c r="D412" s="122">
        <f>D414+D416</f>
        <v>378</v>
      </c>
      <c r="E412" s="122">
        <f t="shared" si="99"/>
        <v>1070</v>
      </c>
      <c r="F412" s="122">
        <f t="shared" si="99"/>
        <v>0</v>
      </c>
      <c r="G412" s="122">
        <f t="shared" si="99"/>
        <v>0</v>
      </c>
      <c r="H412" s="122">
        <f t="shared" si="99"/>
        <v>0</v>
      </c>
      <c r="I412" s="122">
        <f t="shared" si="99"/>
        <v>0</v>
      </c>
      <c r="J412" s="125"/>
    </row>
    <row r="413" spans="1:16" s="93" customFormat="1" ht="14.25" customHeight="1" x14ac:dyDescent="0.3">
      <c r="A413" s="213" t="s">
        <v>198</v>
      </c>
      <c r="B413" s="92" t="s">
        <v>32</v>
      </c>
      <c r="C413" s="81">
        <f t="shared" si="96"/>
        <v>1070</v>
      </c>
      <c r="D413" s="81">
        <v>0</v>
      </c>
      <c r="E413" s="81">
        <v>1070</v>
      </c>
      <c r="F413" s="81">
        <v>0</v>
      </c>
      <c r="G413" s="81">
        <v>0</v>
      </c>
      <c r="H413" s="81">
        <v>0</v>
      </c>
      <c r="I413" s="214">
        <v>0</v>
      </c>
    </row>
    <row r="414" spans="1:16" s="131" customFormat="1" x14ac:dyDescent="0.3">
      <c r="A414" s="130"/>
      <c r="B414" s="99" t="s">
        <v>33</v>
      </c>
      <c r="C414" s="97">
        <f t="shared" si="96"/>
        <v>1070</v>
      </c>
      <c r="D414" s="97">
        <v>0</v>
      </c>
      <c r="E414" s="49">
        <v>1070</v>
      </c>
      <c r="F414" s="97">
        <v>0</v>
      </c>
      <c r="G414" s="97">
        <v>0</v>
      </c>
      <c r="H414" s="97">
        <v>0</v>
      </c>
      <c r="I414" s="97">
        <v>0</v>
      </c>
      <c r="J414" s="93"/>
    </row>
    <row r="415" spans="1:16" s="105" customFormat="1" ht="25.5" customHeight="1" x14ac:dyDescent="0.3">
      <c r="A415" s="114" t="s">
        <v>199</v>
      </c>
      <c r="B415" s="110" t="s">
        <v>32</v>
      </c>
      <c r="C415" s="108">
        <f t="shared" si="96"/>
        <v>378</v>
      </c>
      <c r="D415" s="108">
        <v>378</v>
      </c>
      <c r="E415" s="108">
        <v>0</v>
      </c>
      <c r="F415" s="108">
        <v>0</v>
      </c>
      <c r="G415" s="108">
        <v>0</v>
      </c>
      <c r="H415" s="108">
        <v>0</v>
      </c>
      <c r="I415" s="215">
        <v>0</v>
      </c>
      <c r="J415" s="1052" t="s">
        <v>200</v>
      </c>
      <c r="K415" s="1146"/>
      <c r="L415" s="1146"/>
      <c r="M415" s="1146"/>
      <c r="N415" s="1146"/>
      <c r="O415" s="1146"/>
      <c r="P415" s="1146"/>
    </row>
    <row r="416" spans="1:16" s="131" customFormat="1" x14ac:dyDescent="0.3">
      <c r="A416" s="130"/>
      <c r="B416" s="99" t="s">
        <v>33</v>
      </c>
      <c r="C416" s="97">
        <f t="shared" si="96"/>
        <v>378</v>
      </c>
      <c r="D416" s="97">
        <v>378</v>
      </c>
      <c r="E416" s="108">
        <v>0</v>
      </c>
      <c r="F416" s="108">
        <v>0</v>
      </c>
      <c r="G416" s="97">
        <v>0</v>
      </c>
      <c r="H416" s="97">
        <v>0</v>
      </c>
      <c r="I416" s="97">
        <v>0</v>
      </c>
      <c r="J416" s="1147"/>
      <c r="K416" s="1146"/>
      <c r="L416" s="1146"/>
      <c r="M416" s="1146"/>
      <c r="N416" s="1146"/>
      <c r="O416" s="1146"/>
      <c r="P416" s="1146"/>
    </row>
    <row r="417" spans="1:17" s="126" customFormat="1" x14ac:dyDescent="0.3">
      <c r="A417" s="148" t="s">
        <v>201</v>
      </c>
      <c r="B417" s="124" t="s">
        <v>32</v>
      </c>
      <c r="C417" s="122">
        <f t="shared" si="96"/>
        <v>102305</v>
      </c>
      <c r="D417" s="122">
        <f>D419</f>
        <v>0</v>
      </c>
      <c r="E417" s="122">
        <f t="shared" ref="E417:I418" si="100">E419</f>
        <v>0</v>
      </c>
      <c r="F417" s="122">
        <f t="shared" si="100"/>
        <v>43960</v>
      </c>
      <c r="G417" s="122">
        <f t="shared" si="100"/>
        <v>43960</v>
      </c>
      <c r="H417" s="122">
        <f t="shared" si="100"/>
        <v>14385</v>
      </c>
      <c r="I417" s="122">
        <f t="shared" si="100"/>
        <v>0</v>
      </c>
    </row>
    <row r="418" spans="1:17" s="126" customFormat="1" x14ac:dyDescent="0.3">
      <c r="A418" s="134"/>
      <c r="B418" s="128" t="s">
        <v>33</v>
      </c>
      <c r="C418" s="122">
        <f t="shared" si="96"/>
        <v>102305</v>
      </c>
      <c r="D418" s="122">
        <f>D420</f>
        <v>0</v>
      </c>
      <c r="E418" s="122">
        <f t="shared" si="100"/>
        <v>0</v>
      </c>
      <c r="F418" s="122">
        <f t="shared" si="100"/>
        <v>43960</v>
      </c>
      <c r="G418" s="122">
        <f t="shared" si="100"/>
        <v>43960</v>
      </c>
      <c r="H418" s="122">
        <f t="shared" si="100"/>
        <v>14385</v>
      </c>
      <c r="I418" s="122">
        <f t="shared" si="100"/>
        <v>0</v>
      </c>
    </row>
    <row r="419" spans="1:17" s="93" customFormat="1" ht="37.299999999999997" x14ac:dyDescent="0.3">
      <c r="A419" s="91" t="s">
        <v>202</v>
      </c>
      <c r="B419" s="92" t="s">
        <v>32</v>
      </c>
      <c r="C419" s="81">
        <f t="shared" si="96"/>
        <v>102305</v>
      </c>
      <c r="D419" s="81">
        <v>0</v>
      </c>
      <c r="E419" s="187">
        <v>0</v>
      </c>
      <c r="F419" s="81">
        <v>43960</v>
      </c>
      <c r="G419" s="81">
        <v>43960</v>
      </c>
      <c r="H419" s="81">
        <v>14385</v>
      </c>
      <c r="I419" s="81">
        <v>0</v>
      </c>
      <c r="J419" s="1039" t="s">
        <v>203</v>
      </c>
      <c r="K419" s="1140"/>
      <c r="L419" s="1140"/>
      <c r="M419" s="1140"/>
      <c r="N419" s="1140"/>
      <c r="O419" s="1140"/>
      <c r="P419" s="1140"/>
      <c r="Q419" s="1135"/>
    </row>
    <row r="420" spans="1:17" s="93" customFormat="1" x14ac:dyDescent="0.3">
      <c r="A420" s="186"/>
      <c r="B420" s="95" t="s">
        <v>33</v>
      </c>
      <c r="C420" s="81">
        <f t="shared" si="96"/>
        <v>102305</v>
      </c>
      <c r="D420" s="81">
        <v>0</v>
      </c>
      <c r="E420" s="187">
        <v>0</v>
      </c>
      <c r="F420" s="81">
        <v>43960</v>
      </c>
      <c r="G420" s="81">
        <v>43960</v>
      </c>
      <c r="H420" s="81">
        <v>14385</v>
      </c>
      <c r="I420" s="81">
        <v>0</v>
      </c>
      <c r="J420" s="1141"/>
      <c r="K420" s="1140"/>
      <c r="L420" s="1140"/>
      <c r="M420" s="1140"/>
      <c r="N420" s="1140"/>
      <c r="O420" s="1140"/>
      <c r="P420" s="1140"/>
      <c r="Q420" s="1135"/>
    </row>
    <row r="421" spans="1:17" s="126" customFormat="1" ht="15" customHeight="1" x14ac:dyDescent="0.3">
      <c r="A421" s="216" t="s">
        <v>204</v>
      </c>
      <c r="B421" s="124" t="s">
        <v>32</v>
      </c>
      <c r="C421" s="122">
        <f t="shared" si="96"/>
        <v>527.13</v>
      </c>
      <c r="D421" s="122">
        <f>D423+D425</f>
        <v>527.13</v>
      </c>
      <c r="E421" s="122">
        <f t="shared" ref="E421:I422" si="101">E423+E425</f>
        <v>0</v>
      </c>
      <c r="F421" s="122">
        <f t="shared" si="101"/>
        <v>0</v>
      </c>
      <c r="G421" s="122">
        <f t="shared" si="101"/>
        <v>0</v>
      </c>
      <c r="H421" s="122">
        <f t="shared" si="101"/>
        <v>0</v>
      </c>
      <c r="I421" s="122">
        <f t="shared" si="101"/>
        <v>0</v>
      </c>
      <c r="J421" s="125"/>
    </row>
    <row r="422" spans="1:17" s="126" customFormat="1" ht="12" customHeight="1" x14ac:dyDescent="0.3">
      <c r="A422" s="127"/>
      <c r="B422" s="128" t="s">
        <v>33</v>
      </c>
      <c r="C422" s="122">
        <f t="shared" si="96"/>
        <v>527.13</v>
      </c>
      <c r="D422" s="122">
        <f>D424+D426</f>
        <v>527.13</v>
      </c>
      <c r="E422" s="122">
        <f t="shared" si="101"/>
        <v>0</v>
      </c>
      <c r="F422" s="122">
        <f t="shared" si="101"/>
        <v>0</v>
      </c>
      <c r="G422" s="122">
        <f t="shared" si="101"/>
        <v>0</v>
      </c>
      <c r="H422" s="122">
        <f t="shared" si="101"/>
        <v>0</v>
      </c>
      <c r="I422" s="122">
        <f t="shared" si="101"/>
        <v>0</v>
      </c>
      <c r="J422" s="125"/>
    </row>
    <row r="423" spans="1:17" s="93" customFormat="1" ht="15.75" customHeight="1" x14ac:dyDescent="0.3">
      <c r="A423" s="217" t="s">
        <v>205</v>
      </c>
      <c r="B423" s="92" t="s">
        <v>32</v>
      </c>
      <c r="C423" s="81">
        <f t="shared" si="96"/>
        <v>19.690000000000001</v>
      </c>
      <c r="D423" s="97">
        <v>19.690000000000001</v>
      </c>
      <c r="E423" s="49">
        <v>0</v>
      </c>
      <c r="F423" s="97">
        <v>0</v>
      </c>
      <c r="G423" s="81">
        <v>0</v>
      </c>
      <c r="H423" s="81">
        <v>0</v>
      </c>
      <c r="I423" s="81">
        <v>0</v>
      </c>
    </row>
    <row r="424" spans="1:17" s="131" customFormat="1" x14ac:dyDescent="0.3">
      <c r="A424" s="130"/>
      <c r="B424" s="99" t="s">
        <v>33</v>
      </c>
      <c r="C424" s="97">
        <f t="shared" si="96"/>
        <v>19.690000000000001</v>
      </c>
      <c r="D424" s="97">
        <v>19.690000000000001</v>
      </c>
      <c r="E424" s="49">
        <v>0</v>
      </c>
      <c r="F424" s="97">
        <v>0</v>
      </c>
      <c r="G424" s="97">
        <v>0</v>
      </c>
      <c r="H424" s="97">
        <v>0</v>
      </c>
      <c r="I424" s="97">
        <v>0</v>
      </c>
      <c r="J424" s="93"/>
    </row>
    <row r="425" spans="1:17" s="93" customFormat="1" ht="15.75" customHeight="1" x14ac:dyDescent="0.3">
      <c r="A425" s="217" t="s">
        <v>206</v>
      </c>
      <c r="B425" s="92" t="s">
        <v>32</v>
      </c>
      <c r="C425" s="81">
        <f t="shared" si="96"/>
        <v>507.44</v>
      </c>
      <c r="D425" s="97">
        <v>507.44</v>
      </c>
      <c r="E425" s="49">
        <v>0</v>
      </c>
      <c r="F425" s="97">
        <v>0</v>
      </c>
      <c r="G425" s="81">
        <v>0</v>
      </c>
      <c r="H425" s="81">
        <v>0</v>
      </c>
      <c r="I425" s="81">
        <v>0</v>
      </c>
    </row>
    <row r="426" spans="1:17" s="131" customFormat="1" x14ac:dyDescent="0.3">
      <c r="A426" s="130"/>
      <c r="B426" s="99" t="s">
        <v>33</v>
      </c>
      <c r="C426" s="97">
        <f t="shared" si="96"/>
        <v>507.44</v>
      </c>
      <c r="D426" s="97">
        <v>507.44</v>
      </c>
      <c r="E426" s="49">
        <v>0</v>
      </c>
      <c r="F426" s="97">
        <v>0</v>
      </c>
      <c r="G426" s="97">
        <v>0</v>
      </c>
      <c r="H426" s="97">
        <v>0</v>
      </c>
      <c r="I426" s="97">
        <v>0</v>
      </c>
      <c r="J426" s="93"/>
    </row>
    <row r="427" spans="1:17" ht="12.75" customHeight="1" x14ac:dyDescent="0.3">
      <c r="A427" s="1045" t="s">
        <v>207</v>
      </c>
      <c r="B427" s="1120"/>
      <c r="C427" s="1120"/>
      <c r="D427" s="1138"/>
      <c r="E427" s="1138"/>
      <c r="F427" s="1138"/>
      <c r="G427" s="1138"/>
      <c r="H427" s="1138"/>
      <c r="I427" s="1139"/>
      <c r="J427" s="68"/>
    </row>
    <row r="428" spans="1:17" ht="12.75" customHeight="1" x14ac:dyDescent="0.3">
      <c r="A428" s="71" t="s">
        <v>57</v>
      </c>
      <c r="B428" s="56" t="s">
        <v>32</v>
      </c>
      <c r="C428" s="143">
        <f t="shared" ref="C428:C443" si="102">D428+E428+F428+G428+H428+I428</f>
        <v>52504.25</v>
      </c>
      <c r="D428" s="48">
        <f t="shared" ref="D428:I437" si="103">D430</f>
        <v>151</v>
      </c>
      <c r="E428" s="48">
        <f t="shared" si="103"/>
        <v>51069.38</v>
      </c>
      <c r="F428" s="48">
        <f t="shared" si="103"/>
        <v>1283.8699999999999</v>
      </c>
      <c r="G428" s="48">
        <f t="shared" si="103"/>
        <v>0</v>
      </c>
      <c r="H428" s="48">
        <f t="shared" si="103"/>
        <v>0</v>
      </c>
      <c r="I428" s="48">
        <f t="shared" si="103"/>
        <v>0</v>
      </c>
    </row>
    <row r="429" spans="1:17" ht="12.75" customHeight="1" x14ac:dyDescent="0.3">
      <c r="A429" s="60" t="s">
        <v>87</v>
      </c>
      <c r="B429" s="38" t="s">
        <v>33</v>
      </c>
      <c r="C429" s="143">
        <f t="shared" si="102"/>
        <v>52504.25</v>
      </c>
      <c r="D429" s="48">
        <f t="shared" si="103"/>
        <v>151</v>
      </c>
      <c r="E429" s="48">
        <f t="shared" si="103"/>
        <v>51069.38</v>
      </c>
      <c r="F429" s="48">
        <f t="shared" si="103"/>
        <v>1283.8699999999999</v>
      </c>
      <c r="G429" s="48">
        <f t="shared" si="103"/>
        <v>0</v>
      </c>
      <c r="H429" s="48">
        <f t="shared" si="103"/>
        <v>0</v>
      </c>
      <c r="I429" s="48">
        <f t="shared" si="103"/>
        <v>0</v>
      </c>
    </row>
    <row r="430" spans="1:17" s="14" customFormat="1" ht="12.75" customHeight="1" x14ac:dyDescent="0.3">
      <c r="A430" s="61" t="s">
        <v>88</v>
      </c>
      <c r="B430" s="12" t="s">
        <v>32</v>
      </c>
      <c r="C430" s="143">
        <f t="shared" si="102"/>
        <v>52504.25</v>
      </c>
      <c r="D430" s="36">
        <f t="shared" si="103"/>
        <v>151</v>
      </c>
      <c r="E430" s="36">
        <f t="shared" si="103"/>
        <v>51069.38</v>
      </c>
      <c r="F430" s="36">
        <f t="shared" si="103"/>
        <v>1283.8699999999999</v>
      </c>
      <c r="G430" s="36">
        <f t="shared" si="103"/>
        <v>0</v>
      </c>
      <c r="H430" s="36">
        <f t="shared" si="103"/>
        <v>0</v>
      </c>
      <c r="I430" s="36">
        <f t="shared" si="103"/>
        <v>0</v>
      </c>
    </row>
    <row r="431" spans="1:17" s="14" customFormat="1" ht="12.75" customHeight="1" x14ac:dyDescent="0.3">
      <c r="A431" s="19" t="s">
        <v>89</v>
      </c>
      <c r="B431" s="23" t="s">
        <v>33</v>
      </c>
      <c r="C431" s="143">
        <f t="shared" si="102"/>
        <v>52504.25</v>
      </c>
      <c r="D431" s="36">
        <f t="shared" si="103"/>
        <v>151</v>
      </c>
      <c r="E431" s="36">
        <f t="shared" si="103"/>
        <v>51069.38</v>
      </c>
      <c r="F431" s="36">
        <f t="shared" si="103"/>
        <v>1283.8699999999999</v>
      </c>
      <c r="G431" s="36">
        <f t="shared" si="103"/>
        <v>0</v>
      </c>
      <c r="H431" s="36">
        <f t="shared" si="103"/>
        <v>0</v>
      </c>
      <c r="I431" s="36">
        <f t="shared" si="103"/>
        <v>0</v>
      </c>
    </row>
    <row r="432" spans="1:17" ht="12.75" customHeight="1" x14ac:dyDescent="0.35">
      <c r="A432" s="54" t="s">
        <v>40</v>
      </c>
      <c r="B432" s="35" t="s">
        <v>32</v>
      </c>
      <c r="C432" s="143">
        <f t="shared" si="102"/>
        <v>52504.25</v>
      </c>
      <c r="D432" s="48">
        <f t="shared" si="103"/>
        <v>151</v>
      </c>
      <c r="E432" s="48">
        <f t="shared" si="103"/>
        <v>51069.38</v>
      </c>
      <c r="F432" s="48">
        <f t="shared" si="103"/>
        <v>1283.8699999999999</v>
      </c>
      <c r="G432" s="48">
        <f t="shared" si="103"/>
        <v>0</v>
      </c>
      <c r="H432" s="48">
        <f t="shared" si="103"/>
        <v>0</v>
      </c>
      <c r="I432" s="48">
        <f t="shared" si="103"/>
        <v>0</v>
      </c>
    </row>
    <row r="433" spans="1:16" ht="12.75" customHeight="1" x14ac:dyDescent="0.35">
      <c r="A433" s="43"/>
      <c r="B433" s="38" t="s">
        <v>33</v>
      </c>
      <c r="C433" s="143">
        <f t="shared" si="102"/>
        <v>52504.25</v>
      </c>
      <c r="D433" s="48">
        <f t="shared" si="103"/>
        <v>151</v>
      </c>
      <c r="E433" s="48">
        <f t="shared" si="103"/>
        <v>51069.38</v>
      </c>
      <c r="F433" s="48">
        <f t="shared" si="103"/>
        <v>1283.8699999999999</v>
      </c>
      <c r="G433" s="48">
        <f t="shared" si="103"/>
        <v>0</v>
      </c>
      <c r="H433" s="48">
        <f t="shared" si="103"/>
        <v>0</v>
      </c>
      <c r="I433" s="48">
        <f t="shared" si="103"/>
        <v>0</v>
      </c>
    </row>
    <row r="434" spans="1:16" ht="12.75" customHeight="1" x14ac:dyDescent="0.3">
      <c r="A434" s="72" t="s">
        <v>53</v>
      </c>
      <c r="B434" s="56" t="s">
        <v>32</v>
      </c>
      <c r="C434" s="143">
        <f t="shared" si="102"/>
        <v>52504.25</v>
      </c>
      <c r="D434" s="48">
        <f t="shared" si="103"/>
        <v>151</v>
      </c>
      <c r="E434" s="48">
        <f t="shared" si="103"/>
        <v>51069.38</v>
      </c>
      <c r="F434" s="48">
        <f t="shared" si="103"/>
        <v>1283.8699999999999</v>
      </c>
      <c r="G434" s="48">
        <f t="shared" si="103"/>
        <v>0</v>
      </c>
      <c r="H434" s="48">
        <f t="shared" si="103"/>
        <v>0</v>
      </c>
      <c r="I434" s="48">
        <f t="shared" si="103"/>
        <v>0</v>
      </c>
    </row>
    <row r="435" spans="1:16" ht="12.75" customHeight="1" x14ac:dyDescent="0.3">
      <c r="A435" s="63"/>
      <c r="B435" s="38" t="s">
        <v>33</v>
      </c>
      <c r="C435" s="143">
        <f t="shared" si="102"/>
        <v>52504.25</v>
      </c>
      <c r="D435" s="48">
        <f t="shared" si="103"/>
        <v>151</v>
      </c>
      <c r="E435" s="48">
        <f t="shared" si="103"/>
        <v>51069.38</v>
      </c>
      <c r="F435" s="48">
        <f t="shared" si="103"/>
        <v>1283.8699999999999</v>
      </c>
      <c r="G435" s="48">
        <f t="shared" si="103"/>
        <v>0</v>
      </c>
      <c r="H435" s="48">
        <f t="shared" si="103"/>
        <v>0</v>
      </c>
      <c r="I435" s="48">
        <f t="shared" si="103"/>
        <v>0</v>
      </c>
    </row>
    <row r="436" spans="1:16" s="14" customFormat="1" x14ac:dyDescent="0.3">
      <c r="A436" s="132" t="s">
        <v>61</v>
      </c>
      <c r="B436" s="12" t="s">
        <v>32</v>
      </c>
      <c r="C436" s="122">
        <f t="shared" si="102"/>
        <v>52504.25</v>
      </c>
      <c r="D436" s="36">
        <f t="shared" si="103"/>
        <v>151</v>
      </c>
      <c r="E436" s="36">
        <f t="shared" si="103"/>
        <v>51069.38</v>
      </c>
      <c r="F436" s="36">
        <f t="shared" si="103"/>
        <v>1283.8699999999999</v>
      </c>
      <c r="G436" s="36">
        <f t="shared" si="103"/>
        <v>0</v>
      </c>
      <c r="H436" s="36">
        <f t="shared" si="103"/>
        <v>0</v>
      </c>
      <c r="I436" s="36">
        <f t="shared" si="103"/>
        <v>0</v>
      </c>
    </row>
    <row r="437" spans="1:16" s="14" customFormat="1" x14ac:dyDescent="0.3">
      <c r="A437" s="19"/>
      <c r="B437" s="23" t="s">
        <v>33</v>
      </c>
      <c r="C437" s="122">
        <f t="shared" si="102"/>
        <v>52504.25</v>
      </c>
      <c r="D437" s="36">
        <f t="shared" si="103"/>
        <v>151</v>
      </c>
      <c r="E437" s="36">
        <f t="shared" si="103"/>
        <v>51069.38</v>
      </c>
      <c r="F437" s="36">
        <f t="shared" si="103"/>
        <v>1283.8699999999999</v>
      </c>
      <c r="G437" s="36">
        <f t="shared" si="103"/>
        <v>0</v>
      </c>
      <c r="H437" s="36">
        <f t="shared" si="103"/>
        <v>0</v>
      </c>
      <c r="I437" s="36">
        <f t="shared" si="103"/>
        <v>0</v>
      </c>
    </row>
    <row r="438" spans="1:16" s="126" customFormat="1" x14ac:dyDescent="0.3">
      <c r="A438" s="218" t="s">
        <v>208</v>
      </c>
      <c r="B438" s="124" t="s">
        <v>32</v>
      </c>
      <c r="C438" s="122">
        <f t="shared" si="102"/>
        <v>52504.25</v>
      </c>
      <c r="D438" s="122">
        <f>D440+D442</f>
        <v>151</v>
      </c>
      <c r="E438" s="122">
        <f t="shared" ref="E438:I439" si="104">E440+E442</f>
        <v>51069.38</v>
      </c>
      <c r="F438" s="122">
        <f t="shared" si="104"/>
        <v>1283.8699999999999</v>
      </c>
      <c r="G438" s="122">
        <f t="shared" si="104"/>
        <v>0</v>
      </c>
      <c r="H438" s="122">
        <f t="shared" si="104"/>
        <v>0</v>
      </c>
      <c r="I438" s="122">
        <f t="shared" si="104"/>
        <v>0</v>
      </c>
      <c r="J438" s="125"/>
    </row>
    <row r="439" spans="1:16" s="126" customFormat="1" x14ac:dyDescent="0.3">
      <c r="A439" s="127"/>
      <c r="B439" s="128" t="s">
        <v>33</v>
      </c>
      <c r="C439" s="122">
        <f t="shared" si="102"/>
        <v>52504.25</v>
      </c>
      <c r="D439" s="122">
        <f>D441+D443</f>
        <v>151</v>
      </c>
      <c r="E439" s="122">
        <f t="shared" si="104"/>
        <v>51069.38</v>
      </c>
      <c r="F439" s="122">
        <f t="shared" si="104"/>
        <v>1283.8699999999999</v>
      </c>
      <c r="G439" s="122">
        <f t="shared" si="104"/>
        <v>0</v>
      </c>
      <c r="H439" s="122">
        <f t="shared" si="104"/>
        <v>0</v>
      </c>
      <c r="I439" s="122">
        <f t="shared" si="104"/>
        <v>0</v>
      </c>
      <c r="J439" s="125"/>
    </row>
    <row r="440" spans="1:16" s="93" customFormat="1" ht="40.5" customHeight="1" x14ac:dyDescent="0.3">
      <c r="A440" s="115" t="s">
        <v>209</v>
      </c>
      <c r="B440" s="92" t="s">
        <v>32</v>
      </c>
      <c r="C440" s="81">
        <f t="shared" si="102"/>
        <v>17414</v>
      </c>
      <c r="D440" s="81">
        <v>151</v>
      </c>
      <c r="E440" s="49">
        <v>16954</v>
      </c>
      <c r="F440" s="97">
        <f>17414-151-16954</f>
        <v>309</v>
      </c>
      <c r="G440" s="81">
        <v>0</v>
      </c>
      <c r="H440" s="81">
        <v>0</v>
      </c>
      <c r="I440" s="81">
        <v>0</v>
      </c>
      <c r="J440" s="1039" t="s">
        <v>210</v>
      </c>
      <c r="K440" s="1140"/>
      <c r="L440" s="1140"/>
      <c r="M440" s="1140"/>
      <c r="N440" s="1140"/>
      <c r="O440" s="1140"/>
      <c r="P440" s="1140"/>
    </row>
    <row r="441" spans="1:16" s="131" customFormat="1" x14ac:dyDescent="0.3">
      <c r="A441" s="130"/>
      <c r="B441" s="99" t="s">
        <v>33</v>
      </c>
      <c r="C441" s="97">
        <f t="shared" si="102"/>
        <v>17414</v>
      </c>
      <c r="D441" s="97">
        <v>151</v>
      </c>
      <c r="E441" s="49">
        <v>16954</v>
      </c>
      <c r="F441" s="97">
        <f>17414-151-16954</f>
        <v>309</v>
      </c>
      <c r="G441" s="97">
        <v>0</v>
      </c>
      <c r="H441" s="97">
        <v>0</v>
      </c>
      <c r="I441" s="97">
        <v>0</v>
      </c>
      <c r="J441" s="1141"/>
      <c r="K441" s="1140"/>
      <c r="L441" s="1140"/>
      <c r="M441" s="1140"/>
      <c r="N441" s="1140"/>
      <c r="O441" s="1140"/>
      <c r="P441" s="1140"/>
    </row>
    <row r="442" spans="1:16" s="105" customFormat="1" ht="26.25" customHeight="1" x14ac:dyDescent="0.3">
      <c r="A442" s="115" t="s">
        <v>211</v>
      </c>
      <c r="B442" s="92" t="s">
        <v>32</v>
      </c>
      <c r="C442" s="81">
        <f t="shared" si="102"/>
        <v>35090.25</v>
      </c>
      <c r="D442" s="81">
        <v>0</v>
      </c>
      <c r="E442" s="49">
        <f>26856+7259.38</f>
        <v>34115.379999999997</v>
      </c>
      <c r="F442" s="97">
        <f>35090.25-26856-7259.38</f>
        <v>974.86999999999989</v>
      </c>
      <c r="G442" s="97">
        <v>0</v>
      </c>
      <c r="H442" s="81">
        <v>0</v>
      </c>
      <c r="I442" s="81">
        <v>0</v>
      </c>
      <c r="J442" s="1039" t="s">
        <v>212</v>
      </c>
      <c r="K442" s="1140"/>
      <c r="L442" s="1140"/>
      <c r="M442" s="1140"/>
      <c r="N442" s="1140"/>
      <c r="O442" s="1140"/>
      <c r="P442" s="1140"/>
    </row>
    <row r="443" spans="1:16" s="131" customFormat="1" x14ac:dyDescent="0.3">
      <c r="A443" s="130"/>
      <c r="B443" s="99" t="s">
        <v>33</v>
      </c>
      <c r="C443" s="97">
        <f t="shared" si="102"/>
        <v>35090.25</v>
      </c>
      <c r="D443" s="97">
        <v>0</v>
      </c>
      <c r="E443" s="49">
        <f>26856+7259.38</f>
        <v>34115.379999999997</v>
      </c>
      <c r="F443" s="97">
        <f>35090.25-26856-7259.38</f>
        <v>974.86999999999989</v>
      </c>
      <c r="G443" s="97">
        <v>0</v>
      </c>
      <c r="H443" s="97">
        <v>0</v>
      </c>
      <c r="I443" s="97">
        <v>0</v>
      </c>
      <c r="J443" s="1141"/>
      <c r="K443" s="1140"/>
      <c r="L443" s="1140"/>
      <c r="M443" s="1140"/>
      <c r="N443" s="1140"/>
      <c r="O443" s="1140"/>
      <c r="P443" s="1140"/>
    </row>
    <row r="444" spans="1:16" x14ac:dyDescent="0.3">
      <c r="A444" s="1142" t="s">
        <v>213</v>
      </c>
      <c r="B444" s="1042"/>
      <c r="C444" s="1042"/>
      <c r="D444" s="1042"/>
      <c r="E444" s="1042"/>
      <c r="F444" s="1042"/>
      <c r="G444" s="1042"/>
      <c r="H444" s="1042"/>
      <c r="I444" s="1086"/>
    </row>
    <row r="445" spans="1:16" x14ac:dyDescent="0.3">
      <c r="A445" s="149" t="s">
        <v>57</v>
      </c>
      <c r="B445" s="47" t="s">
        <v>32</v>
      </c>
      <c r="C445" s="48">
        <f t="shared" ref="C445:C474" si="105">D445+E445+F445+G445+H445+I445</f>
        <v>9899.27</v>
      </c>
      <c r="D445" s="49">
        <f t="shared" ref="D445:I446" si="106">D447+D467</f>
        <v>0</v>
      </c>
      <c r="E445" s="49">
        <f t="shared" si="106"/>
        <v>6086</v>
      </c>
      <c r="F445" s="49">
        <f t="shared" si="106"/>
        <v>3813.2700000000004</v>
      </c>
      <c r="G445" s="49">
        <f t="shared" si="106"/>
        <v>0</v>
      </c>
      <c r="H445" s="49">
        <f t="shared" si="106"/>
        <v>0</v>
      </c>
      <c r="I445" s="49">
        <f t="shared" si="106"/>
        <v>0</v>
      </c>
    </row>
    <row r="446" spans="1:16" x14ac:dyDescent="0.3">
      <c r="A446" s="60" t="s">
        <v>87</v>
      </c>
      <c r="B446" s="53" t="s">
        <v>33</v>
      </c>
      <c r="C446" s="48">
        <f t="shared" si="105"/>
        <v>9899.27</v>
      </c>
      <c r="D446" s="49">
        <f t="shared" si="106"/>
        <v>0</v>
      </c>
      <c r="E446" s="49">
        <f t="shared" si="106"/>
        <v>6086</v>
      </c>
      <c r="F446" s="49">
        <f t="shared" si="106"/>
        <v>3813.2700000000004</v>
      </c>
      <c r="G446" s="49">
        <f t="shared" si="106"/>
        <v>0</v>
      </c>
      <c r="H446" s="49">
        <f t="shared" si="106"/>
        <v>0</v>
      </c>
      <c r="I446" s="49">
        <f t="shared" si="106"/>
        <v>0</v>
      </c>
    </row>
    <row r="447" spans="1:16" s="14" customFormat="1" x14ac:dyDescent="0.3">
      <c r="A447" s="61" t="s">
        <v>63</v>
      </c>
      <c r="B447" s="12" t="s">
        <v>32</v>
      </c>
      <c r="C447" s="36">
        <f t="shared" si="105"/>
        <v>3586</v>
      </c>
      <c r="D447" s="36">
        <f>D449+D457</f>
        <v>0</v>
      </c>
      <c r="E447" s="36">
        <f t="shared" ref="E447:I448" si="107">E449+E457</f>
        <v>3586</v>
      </c>
      <c r="F447" s="36">
        <f t="shared" si="107"/>
        <v>0</v>
      </c>
      <c r="G447" s="36">
        <f t="shared" si="107"/>
        <v>0</v>
      </c>
      <c r="H447" s="36">
        <f t="shared" si="107"/>
        <v>0</v>
      </c>
      <c r="I447" s="36">
        <f t="shared" si="107"/>
        <v>0</v>
      </c>
    </row>
    <row r="448" spans="1:16" s="14" customFormat="1" x14ac:dyDescent="0.3">
      <c r="A448" s="19" t="s">
        <v>51</v>
      </c>
      <c r="B448" s="23" t="s">
        <v>33</v>
      </c>
      <c r="C448" s="36">
        <f t="shared" si="105"/>
        <v>3586</v>
      </c>
      <c r="D448" s="36">
        <f>D450+D458</f>
        <v>0</v>
      </c>
      <c r="E448" s="36">
        <f t="shared" si="107"/>
        <v>3586</v>
      </c>
      <c r="F448" s="36">
        <f t="shared" si="107"/>
        <v>0</v>
      </c>
      <c r="G448" s="36">
        <f t="shared" si="107"/>
        <v>0</v>
      </c>
      <c r="H448" s="36">
        <f t="shared" si="107"/>
        <v>0</v>
      </c>
      <c r="I448" s="36">
        <f t="shared" si="107"/>
        <v>0</v>
      </c>
    </row>
    <row r="449" spans="1:14" s="51" customFormat="1" ht="25.5" customHeight="1" x14ac:dyDescent="0.35">
      <c r="A449" s="46" t="s">
        <v>39</v>
      </c>
      <c r="B449" s="47" t="s">
        <v>32</v>
      </c>
      <c r="C449" s="48">
        <f t="shared" si="105"/>
        <v>2613</v>
      </c>
      <c r="D449" s="49">
        <f>D451</f>
        <v>0</v>
      </c>
      <c r="E449" s="49">
        <f t="shared" ref="E449:I450" si="108">E451</f>
        <v>2613</v>
      </c>
      <c r="F449" s="49">
        <f t="shared" si="108"/>
        <v>0</v>
      </c>
      <c r="G449" s="49">
        <f t="shared" si="108"/>
        <v>0</v>
      </c>
      <c r="H449" s="49">
        <f t="shared" si="108"/>
        <v>0</v>
      </c>
      <c r="I449" s="49">
        <f t="shared" si="108"/>
        <v>0</v>
      </c>
      <c r="J449" s="50"/>
    </row>
    <row r="450" spans="1:14" s="51" customFormat="1" ht="12.9" x14ac:dyDescent="0.35">
      <c r="A450" s="52"/>
      <c r="B450" s="53" t="s">
        <v>33</v>
      </c>
      <c r="C450" s="48">
        <f t="shared" si="105"/>
        <v>2613</v>
      </c>
      <c r="D450" s="49">
        <f>D452</f>
        <v>0</v>
      </c>
      <c r="E450" s="49">
        <f t="shared" si="108"/>
        <v>2613</v>
      </c>
      <c r="F450" s="49">
        <f t="shared" si="108"/>
        <v>0</v>
      </c>
      <c r="G450" s="49">
        <f t="shared" si="108"/>
        <v>0</v>
      </c>
      <c r="H450" s="49">
        <f t="shared" si="108"/>
        <v>0</v>
      </c>
      <c r="I450" s="49">
        <f t="shared" si="108"/>
        <v>0</v>
      </c>
      <c r="J450" s="50"/>
    </row>
    <row r="451" spans="1:14" s="126" customFormat="1" ht="28.3" x14ac:dyDescent="0.35">
      <c r="A451" s="219" t="s">
        <v>214</v>
      </c>
      <c r="B451" s="124" t="s">
        <v>32</v>
      </c>
      <c r="C451" s="143">
        <f t="shared" si="105"/>
        <v>2613</v>
      </c>
      <c r="D451" s="122">
        <f>D453+D455</f>
        <v>0</v>
      </c>
      <c r="E451" s="122">
        <f t="shared" ref="E451:I452" si="109">E453+E455</f>
        <v>2613</v>
      </c>
      <c r="F451" s="122">
        <f t="shared" si="109"/>
        <v>0</v>
      </c>
      <c r="G451" s="122">
        <f t="shared" si="109"/>
        <v>0</v>
      </c>
      <c r="H451" s="122">
        <f t="shared" si="109"/>
        <v>0</v>
      </c>
      <c r="I451" s="122">
        <f t="shared" si="109"/>
        <v>0</v>
      </c>
    </row>
    <row r="452" spans="1:14" s="126" customFormat="1" x14ac:dyDescent="0.3">
      <c r="A452" s="127"/>
      <c r="B452" s="128" t="s">
        <v>33</v>
      </c>
      <c r="C452" s="143">
        <f t="shared" si="105"/>
        <v>2613</v>
      </c>
      <c r="D452" s="122">
        <f>D454+D456</f>
        <v>0</v>
      </c>
      <c r="E452" s="122">
        <f t="shared" si="109"/>
        <v>2613</v>
      </c>
      <c r="F452" s="122">
        <f t="shared" si="109"/>
        <v>0</v>
      </c>
      <c r="G452" s="122">
        <f t="shared" si="109"/>
        <v>0</v>
      </c>
      <c r="H452" s="122">
        <f t="shared" si="109"/>
        <v>0</v>
      </c>
      <c r="I452" s="122">
        <f t="shared" si="109"/>
        <v>0</v>
      </c>
    </row>
    <row r="453" spans="1:14" s="105" customFormat="1" ht="27.75" customHeight="1" x14ac:dyDescent="0.35">
      <c r="A453" s="220" t="s">
        <v>215</v>
      </c>
      <c r="B453" s="92" t="s">
        <v>32</v>
      </c>
      <c r="C453" s="108">
        <f t="shared" si="105"/>
        <v>1313</v>
      </c>
      <c r="D453" s="81">
        <v>0</v>
      </c>
      <c r="E453" s="81">
        <v>1313</v>
      </c>
      <c r="F453" s="81">
        <v>0</v>
      </c>
      <c r="G453" s="81">
        <v>0</v>
      </c>
      <c r="H453" s="81">
        <v>0</v>
      </c>
      <c r="I453" s="81">
        <v>0</v>
      </c>
      <c r="J453" s="1022"/>
      <c r="K453" s="1133"/>
      <c r="L453" s="1133"/>
      <c r="M453" s="1133"/>
      <c r="N453" s="1133"/>
    </row>
    <row r="454" spans="1:14" s="68" customFormat="1" ht="12" customHeight="1" x14ac:dyDescent="0.3">
      <c r="A454" s="120"/>
      <c r="B454" s="95" t="s">
        <v>33</v>
      </c>
      <c r="C454" s="108">
        <f t="shared" si="105"/>
        <v>1313</v>
      </c>
      <c r="D454" s="81">
        <v>0</v>
      </c>
      <c r="E454" s="81">
        <v>1313</v>
      </c>
      <c r="F454" s="81">
        <v>0</v>
      </c>
      <c r="G454" s="81">
        <v>0</v>
      </c>
      <c r="H454" s="81">
        <v>0</v>
      </c>
      <c r="I454" s="81">
        <v>0</v>
      </c>
      <c r="J454" s="1134"/>
      <c r="K454" s="1133"/>
      <c r="L454" s="1133"/>
      <c r="M454" s="1133"/>
      <c r="N454" s="1133"/>
    </row>
    <row r="455" spans="1:14" s="105" customFormat="1" ht="28.5" customHeight="1" x14ac:dyDescent="0.35">
      <c r="A455" s="220" t="s">
        <v>216</v>
      </c>
      <c r="B455" s="92" t="s">
        <v>32</v>
      </c>
      <c r="C455" s="108">
        <f t="shared" si="105"/>
        <v>1300</v>
      </c>
      <c r="D455" s="81">
        <v>0</v>
      </c>
      <c r="E455" s="81">
        <v>1300</v>
      </c>
      <c r="F455" s="81">
        <v>0</v>
      </c>
      <c r="G455" s="81">
        <v>0</v>
      </c>
      <c r="H455" s="81">
        <v>0</v>
      </c>
      <c r="I455" s="81">
        <v>0</v>
      </c>
      <c r="J455" s="1022"/>
      <c r="K455" s="1133"/>
      <c r="L455" s="1133"/>
      <c r="M455" s="1133"/>
      <c r="N455" s="1133"/>
    </row>
    <row r="456" spans="1:14" s="68" customFormat="1" ht="12" customHeight="1" x14ac:dyDescent="0.3">
      <c r="A456" s="120"/>
      <c r="B456" s="95" t="s">
        <v>33</v>
      </c>
      <c r="C456" s="108">
        <f t="shared" si="105"/>
        <v>1300</v>
      </c>
      <c r="D456" s="81">
        <v>0</v>
      </c>
      <c r="E456" s="81">
        <v>1300</v>
      </c>
      <c r="F456" s="81">
        <v>0</v>
      </c>
      <c r="G456" s="81">
        <v>0</v>
      </c>
      <c r="H456" s="81">
        <v>0</v>
      </c>
      <c r="I456" s="81">
        <v>0</v>
      </c>
      <c r="J456" s="1134"/>
      <c r="K456" s="1133"/>
      <c r="L456" s="1133"/>
      <c r="M456" s="1133"/>
      <c r="N456" s="1133"/>
    </row>
    <row r="457" spans="1:14" ht="12.9" x14ac:dyDescent="0.35">
      <c r="A457" s="54" t="s">
        <v>40</v>
      </c>
      <c r="B457" s="35" t="s">
        <v>32</v>
      </c>
      <c r="C457" s="48">
        <f t="shared" si="105"/>
        <v>973</v>
      </c>
      <c r="D457" s="49">
        <f t="shared" ref="D457:I464" si="110">D459</f>
        <v>0</v>
      </c>
      <c r="E457" s="49">
        <f t="shared" si="110"/>
        <v>973</v>
      </c>
      <c r="F457" s="49">
        <f t="shared" si="110"/>
        <v>0</v>
      </c>
      <c r="G457" s="49">
        <f t="shared" si="110"/>
        <v>0</v>
      </c>
      <c r="H457" s="49">
        <f t="shared" si="110"/>
        <v>0</v>
      </c>
      <c r="I457" s="49">
        <f t="shared" si="110"/>
        <v>0</v>
      </c>
    </row>
    <row r="458" spans="1:14" ht="12.9" x14ac:dyDescent="0.35">
      <c r="A458" s="43"/>
      <c r="B458" s="38" t="s">
        <v>33</v>
      </c>
      <c r="C458" s="48">
        <f t="shared" si="105"/>
        <v>973</v>
      </c>
      <c r="D458" s="49">
        <f t="shared" si="110"/>
        <v>0</v>
      </c>
      <c r="E458" s="49">
        <f t="shared" si="110"/>
        <v>973</v>
      </c>
      <c r="F458" s="49">
        <f t="shared" si="110"/>
        <v>0</v>
      </c>
      <c r="G458" s="49">
        <f t="shared" si="110"/>
        <v>0</v>
      </c>
      <c r="H458" s="49">
        <f t="shared" si="110"/>
        <v>0</v>
      </c>
      <c r="I458" s="49">
        <f t="shared" si="110"/>
        <v>0</v>
      </c>
    </row>
    <row r="459" spans="1:14" ht="12.9" x14ac:dyDescent="0.35">
      <c r="A459" s="54" t="s">
        <v>53</v>
      </c>
      <c r="B459" s="56" t="s">
        <v>32</v>
      </c>
      <c r="C459" s="48">
        <f t="shared" si="105"/>
        <v>973</v>
      </c>
      <c r="D459" s="49">
        <f t="shared" si="110"/>
        <v>0</v>
      </c>
      <c r="E459" s="49">
        <f t="shared" si="110"/>
        <v>973</v>
      </c>
      <c r="F459" s="49">
        <f t="shared" si="110"/>
        <v>0</v>
      </c>
      <c r="G459" s="49">
        <f t="shared" si="110"/>
        <v>0</v>
      </c>
      <c r="H459" s="49">
        <f t="shared" si="110"/>
        <v>0</v>
      </c>
      <c r="I459" s="49">
        <f t="shared" si="110"/>
        <v>0</v>
      </c>
    </row>
    <row r="460" spans="1:14" x14ac:dyDescent="0.3">
      <c r="A460" s="37"/>
      <c r="B460" s="38" t="s">
        <v>33</v>
      </c>
      <c r="C460" s="48">
        <f t="shared" si="105"/>
        <v>973</v>
      </c>
      <c r="D460" s="49">
        <f t="shared" si="110"/>
        <v>0</v>
      </c>
      <c r="E460" s="49">
        <f t="shared" si="110"/>
        <v>973</v>
      </c>
      <c r="F460" s="49">
        <f t="shared" si="110"/>
        <v>0</v>
      </c>
      <c r="G460" s="49">
        <f t="shared" si="110"/>
        <v>0</v>
      </c>
      <c r="H460" s="49">
        <f t="shared" si="110"/>
        <v>0</v>
      </c>
      <c r="I460" s="49">
        <f t="shared" si="110"/>
        <v>0</v>
      </c>
    </row>
    <row r="461" spans="1:14" x14ac:dyDescent="0.3">
      <c r="A461" s="113" t="s">
        <v>61</v>
      </c>
      <c r="B461" s="47" t="s">
        <v>32</v>
      </c>
      <c r="C461" s="48">
        <f t="shared" si="105"/>
        <v>973</v>
      </c>
      <c r="D461" s="49">
        <f>D463</f>
        <v>0</v>
      </c>
      <c r="E461" s="49">
        <f t="shared" si="110"/>
        <v>973</v>
      </c>
      <c r="F461" s="49">
        <f t="shared" si="110"/>
        <v>0</v>
      </c>
      <c r="G461" s="49">
        <f t="shared" si="110"/>
        <v>0</v>
      </c>
      <c r="H461" s="49">
        <f t="shared" si="110"/>
        <v>0</v>
      </c>
      <c r="I461" s="49">
        <f t="shared" si="110"/>
        <v>0</v>
      </c>
    </row>
    <row r="462" spans="1:14" x14ac:dyDescent="0.3">
      <c r="A462" s="37"/>
      <c r="B462" s="53" t="s">
        <v>33</v>
      </c>
      <c r="C462" s="48">
        <f t="shared" si="105"/>
        <v>973</v>
      </c>
      <c r="D462" s="49">
        <f>D464</f>
        <v>0</v>
      </c>
      <c r="E462" s="49">
        <f t="shared" si="110"/>
        <v>973</v>
      </c>
      <c r="F462" s="49">
        <f t="shared" si="110"/>
        <v>0</v>
      </c>
      <c r="G462" s="49">
        <f t="shared" si="110"/>
        <v>0</v>
      </c>
      <c r="H462" s="49">
        <f t="shared" si="110"/>
        <v>0</v>
      </c>
      <c r="I462" s="49">
        <f t="shared" si="110"/>
        <v>0</v>
      </c>
    </row>
    <row r="463" spans="1:14" s="126" customFormat="1" ht="27.75" customHeight="1" x14ac:dyDescent="0.3">
      <c r="A463" s="221" t="s">
        <v>217</v>
      </c>
      <c r="B463" s="124" t="s">
        <v>32</v>
      </c>
      <c r="C463" s="143">
        <f t="shared" si="105"/>
        <v>973</v>
      </c>
      <c r="D463" s="122">
        <f>D465</f>
        <v>0</v>
      </c>
      <c r="E463" s="122">
        <f t="shared" si="110"/>
        <v>973</v>
      </c>
      <c r="F463" s="122">
        <f t="shared" si="110"/>
        <v>0</v>
      </c>
      <c r="G463" s="122">
        <f t="shared" si="110"/>
        <v>0</v>
      </c>
      <c r="H463" s="122">
        <f t="shared" si="110"/>
        <v>0</v>
      </c>
      <c r="I463" s="122">
        <f t="shared" si="110"/>
        <v>0</v>
      </c>
    </row>
    <row r="464" spans="1:14" s="126" customFormat="1" x14ac:dyDescent="0.3">
      <c r="A464" s="127"/>
      <c r="B464" s="128" t="s">
        <v>33</v>
      </c>
      <c r="C464" s="143">
        <f t="shared" si="105"/>
        <v>973</v>
      </c>
      <c r="D464" s="122">
        <f>D466</f>
        <v>0</v>
      </c>
      <c r="E464" s="122">
        <f t="shared" si="110"/>
        <v>973</v>
      </c>
      <c r="F464" s="122">
        <f t="shared" si="110"/>
        <v>0</v>
      </c>
      <c r="G464" s="122">
        <f t="shared" si="110"/>
        <v>0</v>
      </c>
      <c r="H464" s="122">
        <f t="shared" si="110"/>
        <v>0</v>
      </c>
      <c r="I464" s="122">
        <f t="shared" si="110"/>
        <v>0</v>
      </c>
    </row>
    <row r="465" spans="1:14" s="105" customFormat="1" ht="27.75" customHeight="1" x14ac:dyDescent="0.3">
      <c r="A465" s="112" t="s">
        <v>218</v>
      </c>
      <c r="B465" s="92" t="s">
        <v>32</v>
      </c>
      <c r="C465" s="108">
        <f t="shared" si="105"/>
        <v>973</v>
      </c>
      <c r="D465" s="81">
        <v>0</v>
      </c>
      <c r="E465" s="81">
        <v>973</v>
      </c>
      <c r="F465" s="81">
        <v>0</v>
      </c>
      <c r="G465" s="81">
        <v>0</v>
      </c>
      <c r="H465" s="81">
        <v>0</v>
      </c>
      <c r="I465" s="81">
        <v>0</v>
      </c>
      <c r="J465" s="1022"/>
      <c r="K465" s="1133"/>
      <c r="L465" s="1133"/>
      <c r="M465" s="1133"/>
      <c r="N465" s="1133"/>
    </row>
    <row r="466" spans="1:14" s="68" customFormat="1" ht="12" customHeight="1" x14ac:dyDescent="0.3">
      <c r="A466" s="120"/>
      <c r="B466" s="95" t="s">
        <v>33</v>
      </c>
      <c r="C466" s="108">
        <f t="shared" si="105"/>
        <v>973</v>
      </c>
      <c r="D466" s="81">
        <v>0</v>
      </c>
      <c r="E466" s="81">
        <v>973</v>
      </c>
      <c r="F466" s="81">
        <v>0</v>
      </c>
      <c r="G466" s="81">
        <v>0</v>
      </c>
      <c r="H466" s="81">
        <v>0</v>
      </c>
      <c r="I466" s="81">
        <v>0</v>
      </c>
      <c r="J466" s="1134"/>
      <c r="K466" s="1133"/>
      <c r="L466" s="1133"/>
      <c r="M466" s="1133"/>
      <c r="N466" s="1133"/>
    </row>
    <row r="467" spans="1:14" s="14" customFormat="1" ht="12.75" customHeight="1" x14ac:dyDescent="0.3">
      <c r="A467" s="61" t="s">
        <v>88</v>
      </c>
      <c r="B467" s="12" t="s">
        <v>32</v>
      </c>
      <c r="C467" s="143">
        <f t="shared" si="105"/>
        <v>6313.27</v>
      </c>
      <c r="D467" s="36">
        <f t="shared" ref="D467:I476" si="111">D469</f>
        <v>0</v>
      </c>
      <c r="E467" s="36">
        <f t="shared" si="111"/>
        <v>2500</v>
      </c>
      <c r="F467" s="36">
        <f t="shared" si="111"/>
        <v>3813.2700000000004</v>
      </c>
      <c r="G467" s="36">
        <f t="shared" si="111"/>
        <v>0</v>
      </c>
      <c r="H467" s="36">
        <f t="shared" si="111"/>
        <v>0</v>
      </c>
      <c r="I467" s="36">
        <f t="shared" si="111"/>
        <v>0</v>
      </c>
    </row>
    <row r="468" spans="1:14" s="14" customFormat="1" ht="12.75" customHeight="1" x14ac:dyDescent="0.3">
      <c r="A468" s="19" t="s">
        <v>89</v>
      </c>
      <c r="B468" s="23" t="s">
        <v>33</v>
      </c>
      <c r="C468" s="143">
        <f t="shared" si="105"/>
        <v>6313.27</v>
      </c>
      <c r="D468" s="36">
        <f t="shared" si="111"/>
        <v>0</v>
      </c>
      <c r="E468" s="36">
        <f t="shared" si="111"/>
        <v>2500</v>
      </c>
      <c r="F468" s="36">
        <f t="shared" si="111"/>
        <v>3813.2700000000004</v>
      </c>
      <c r="G468" s="36">
        <f t="shared" si="111"/>
        <v>0</v>
      </c>
      <c r="H468" s="36">
        <f t="shared" si="111"/>
        <v>0</v>
      </c>
      <c r="I468" s="36">
        <f t="shared" si="111"/>
        <v>0</v>
      </c>
    </row>
    <row r="469" spans="1:14" ht="12.9" x14ac:dyDescent="0.35">
      <c r="A469" s="54" t="s">
        <v>40</v>
      </c>
      <c r="B469" s="35" t="s">
        <v>32</v>
      </c>
      <c r="C469" s="48">
        <f t="shared" si="105"/>
        <v>6313.27</v>
      </c>
      <c r="D469" s="49">
        <f t="shared" si="111"/>
        <v>0</v>
      </c>
      <c r="E469" s="49">
        <f t="shared" si="111"/>
        <v>2500</v>
      </c>
      <c r="F469" s="49">
        <f t="shared" si="111"/>
        <v>3813.2700000000004</v>
      </c>
      <c r="G469" s="49">
        <f t="shared" si="111"/>
        <v>0</v>
      </c>
      <c r="H469" s="49">
        <f t="shared" si="111"/>
        <v>0</v>
      </c>
      <c r="I469" s="49">
        <f t="shared" si="111"/>
        <v>0</v>
      </c>
    </row>
    <row r="470" spans="1:14" ht="12.9" x14ac:dyDescent="0.35">
      <c r="A470" s="43"/>
      <c r="B470" s="38" t="s">
        <v>33</v>
      </c>
      <c r="C470" s="48">
        <f t="shared" si="105"/>
        <v>6313.27</v>
      </c>
      <c r="D470" s="49">
        <f t="shared" si="111"/>
        <v>0</v>
      </c>
      <c r="E470" s="49">
        <f t="shared" si="111"/>
        <v>2500</v>
      </c>
      <c r="F470" s="49">
        <f t="shared" si="111"/>
        <v>3813.2700000000004</v>
      </c>
      <c r="G470" s="49">
        <f t="shared" si="111"/>
        <v>0</v>
      </c>
      <c r="H470" s="49">
        <f t="shared" si="111"/>
        <v>0</v>
      </c>
      <c r="I470" s="49">
        <f t="shared" si="111"/>
        <v>0</v>
      </c>
    </row>
    <row r="471" spans="1:14" ht="12.9" x14ac:dyDescent="0.35">
      <c r="A471" s="54" t="s">
        <v>53</v>
      </c>
      <c r="B471" s="56" t="s">
        <v>32</v>
      </c>
      <c r="C471" s="48">
        <f t="shared" si="105"/>
        <v>6313.27</v>
      </c>
      <c r="D471" s="49">
        <f t="shared" si="111"/>
        <v>0</v>
      </c>
      <c r="E471" s="49">
        <f t="shared" si="111"/>
        <v>2500</v>
      </c>
      <c r="F471" s="49">
        <f t="shared" si="111"/>
        <v>3813.2700000000004</v>
      </c>
      <c r="G471" s="49">
        <f t="shared" si="111"/>
        <v>0</v>
      </c>
      <c r="H471" s="49">
        <f t="shared" si="111"/>
        <v>0</v>
      </c>
      <c r="I471" s="49">
        <f t="shared" si="111"/>
        <v>0</v>
      </c>
    </row>
    <row r="472" spans="1:14" x14ac:dyDescent="0.3">
      <c r="A472" s="37"/>
      <c r="B472" s="38" t="s">
        <v>33</v>
      </c>
      <c r="C472" s="48">
        <f t="shared" si="105"/>
        <v>6313.27</v>
      </c>
      <c r="D472" s="49">
        <f t="shared" si="111"/>
        <v>0</v>
      </c>
      <c r="E472" s="49">
        <f t="shared" si="111"/>
        <v>2500</v>
      </c>
      <c r="F472" s="49">
        <f t="shared" si="111"/>
        <v>3813.2700000000004</v>
      </c>
      <c r="G472" s="49">
        <f t="shared" si="111"/>
        <v>0</v>
      </c>
      <c r="H472" s="49">
        <f t="shared" si="111"/>
        <v>0</v>
      </c>
      <c r="I472" s="49">
        <f t="shared" si="111"/>
        <v>0</v>
      </c>
    </row>
    <row r="473" spans="1:14" s="14" customFormat="1" x14ac:dyDescent="0.3">
      <c r="A473" s="132" t="s">
        <v>61</v>
      </c>
      <c r="B473" s="12" t="s">
        <v>32</v>
      </c>
      <c r="C473" s="36">
        <f t="shared" si="105"/>
        <v>6313.27</v>
      </c>
      <c r="D473" s="36">
        <f>D475</f>
        <v>0</v>
      </c>
      <c r="E473" s="36">
        <f t="shared" si="111"/>
        <v>2500</v>
      </c>
      <c r="F473" s="36">
        <f t="shared" si="111"/>
        <v>3813.2700000000004</v>
      </c>
      <c r="G473" s="36">
        <f t="shared" si="111"/>
        <v>0</v>
      </c>
      <c r="H473" s="36">
        <f t="shared" si="111"/>
        <v>0</v>
      </c>
      <c r="I473" s="36">
        <f t="shared" si="111"/>
        <v>0</v>
      </c>
    </row>
    <row r="474" spans="1:14" s="14" customFormat="1" x14ac:dyDescent="0.3">
      <c r="A474" s="19"/>
      <c r="B474" s="23" t="s">
        <v>33</v>
      </c>
      <c r="C474" s="36">
        <f t="shared" si="105"/>
        <v>6313.27</v>
      </c>
      <c r="D474" s="36">
        <f>D476</f>
        <v>0</v>
      </c>
      <c r="E474" s="36">
        <f t="shared" si="111"/>
        <v>2500</v>
      </c>
      <c r="F474" s="36">
        <f t="shared" si="111"/>
        <v>3813.2700000000004</v>
      </c>
      <c r="G474" s="36">
        <f t="shared" si="111"/>
        <v>0</v>
      </c>
      <c r="H474" s="36">
        <f t="shared" si="111"/>
        <v>0</v>
      </c>
      <c r="I474" s="36">
        <f t="shared" si="111"/>
        <v>0</v>
      </c>
    </row>
    <row r="475" spans="1:14" s="126" customFormat="1" ht="15" x14ac:dyDescent="0.3">
      <c r="A475" s="222" t="s">
        <v>219</v>
      </c>
      <c r="B475" s="124" t="s">
        <v>32</v>
      </c>
      <c r="C475" s="143">
        <f>D475+E475+F475+G475+H475+I475</f>
        <v>6313.27</v>
      </c>
      <c r="D475" s="122">
        <f>D477</f>
        <v>0</v>
      </c>
      <c r="E475" s="122">
        <f t="shared" si="111"/>
        <v>2500</v>
      </c>
      <c r="F475" s="122">
        <f t="shared" si="111"/>
        <v>3813.2700000000004</v>
      </c>
      <c r="G475" s="122">
        <f t="shared" si="111"/>
        <v>0</v>
      </c>
      <c r="H475" s="122">
        <f t="shared" si="111"/>
        <v>0</v>
      </c>
      <c r="I475" s="122">
        <f t="shared" si="111"/>
        <v>0</v>
      </c>
    </row>
    <row r="476" spans="1:14" s="126" customFormat="1" x14ac:dyDescent="0.3">
      <c r="A476" s="127"/>
      <c r="B476" s="128" t="s">
        <v>33</v>
      </c>
      <c r="C476" s="143">
        <f>D476+E476+F476+G476+H476+I476</f>
        <v>6313.27</v>
      </c>
      <c r="D476" s="122">
        <f>D478</f>
        <v>0</v>
      </c>
      <c r="E476" s="122">
        <f t="shared" si="111"/>
        <v>2500</v>
      </c>
      <c r="F476" s="122">
        <f t="shared" si="111"/>
        <v>3813.2700000000004</v>
      </c>
      <c r="G476" s="122">
        <f t="shared" si="111"/>
        <v>0</v>
      </c>
      <c r="H476" s="122">
        <f t="shared" si="111"/>
        <v>0</v>
      </c>
      <c r="I476" s="122">
        <f t="shared" si="111"/>
        <v>0</v>
      </c>
    </row>
    <row r="477" spans="1:14" s="105" customFormat="1" ht="28.3" x14ac:dyDescent="0.3">
      <c r="A477" s="223" t="s">
        <v>220</v>
      </c>
      <c r="B477" s="92" t="s">
        <v>32</v>
      </c>
      <c r="C477" s="108">
        <f>D477+E477+F477+G477+H477+I477</f>
        <v>6313.27</v>
      </c>
      <c r="D477" s="81">
        <v>0</v>
      </c>
      <c r="E477" s="81">
        <f>500+1000+700+300</f>
        <v>2500</v>
      </c>
      <c r="F477" s="81">
        <f>5813.27-1000-700-300</f>
        <v>3813.2700000000004</v>
      </c>
      <c r="G477" s="81">
        <v>0</v>
      </c>
      <c r="H477" s="81">
        <v>0</v>
      </c>
      <c r="I477" s="81">
        <v>0</v>
      </c>
      <c r="J477" s="1022" t="s">
        <v>221</v>
      </c>
      <c r="K477" s="1067"/>
      <c r="L477" s="1067"/>
      <c r="M477" s="1067"/>
      <c r="N477" s="1067"/>
    </row>
    <row r="478" spans="1:14" s="68" customFormat="1" ht="12" customHeight="1" x14ac:dyDescent="0.3">
      <c r="A478" s="120"/>
      <c r="B478" s="95" t="s">
        <v>33</v>
      </c>
      <c r="C478" s="108">
        <f>D478+E478+F478+G478+H478+I478</f>
        <v>6313.27</v>
      </c>
      <c r="D478" s="81">
        <v>0</v>
      </c>
      <c r="E478" s="81">
        <f>500+1000+700+300</f>
        <v>2500</v>
      </c>
      <c r="F478" s="81">
        <f>5813.27-1000-700-300</f>
        <v>3813.2700000000004</v>
      </c>
      <c r="G478" s="81">
        <v>0</v>
      </c>
      <c r="H478" s="81">
        <v>0</v>
      </c>
      <c r="I478" s="81">
        <v>0</v>
      </c>
      <c r="J478" s="1068"/>
      <c r="K478" s="1067"/>
      <c r="L478" s="1067"/>
      <c r="M478" s="1067"/>
      <c r="N478" s="1067"/>
    </row>
    <row r="479" spans="1:14" x14ac:dyDescent="0.3">
      <c r="A479" s="1041" t="s">
        <v>125</v>
      </c>
      <c r="B479" s="1042"/>
      <c r="C479" s="1042"/>
      <c r="D479" s="1042"/>
      <c r="E479" s="1042"/>
      <c r="F479" s="1042"/>
      <c r="G479" s="1042"/>
      <c r="H479" s="1042"/>
      <c r="I479" s="1086"/>
    </row>
    <row r="480" spans="1:14" x14ac:dyDescent="0.3">
      <c r="A480" s="72" t="s">
        <v>57</v>
      </c>
      <c r="B480" s="167" t="s">
        <v>32</v>
      </c>
      <c r="C480" s="49">
        <f t="shared" ref="C480:C504" si="112">D480+E480+F480+G480+H480+I480</f>
        <v>828043.20000000007</v>
      </c>
      <c r="D480" s="49">
        <f>D482</f>
        <v>0</v>
      </c>
      <c r="E480" s="49">
        <f t="shared" ref="E480:I481" si="113">E482</f>
        <v>39822</v>
      </c>
      <c r="F480" s="49">
        <f t="shared" si="113"/>
        <v>246934.89</v>
      </c>
      <c r="G480" s="49">
        <f t="shared" si="113"/>
        <v>230784.93</v>
      </c>
      <c r="H480" s="49">
        <f t="shared" si="113"/>
        <v>200367</v>
      </c>
      <c r="I480" s="49">
        <f t="shared" si="113"/>
        <v>110134.38</v>
      </c>
    </row>
    <row r="481" spans="1:16" x14ac:dyDescent="0.3">
      <c r="A481" s="60" t="s">
        <v>87</v>
      </c>
      <c r="B481" s="90" t="s">
        <v>33</v>
      </c>
      <c r="C481" s="49">
        <f t="shared" si="112"/>
        <v>828043.20000000007</v>
      </c>
      <c r="D481" s="49">
        <f>D483</f>
        <v>0</v>
      </c>
      <c r="E481" s="49">
        <f t="shared" si="113"/>
        <v>39822</v>
      </c>
      <c r="F481" s="49">
        <f t="shared" si="113"/>
        <v>246934.89</v>
      </c>
      <c r="G481" s="49">
        <f t="shared" si="113"/>
        <v>230784.93</v>
      </c>
      <c r="H481" s="49">
        <f t="shared" si="113"/>
        <v>200367</v>
      </c>
      <c r="I481" s="49">
        <f t="shared" si="113"/>
        <v>110134.38</v>
      </c>
    </row>
    <row r="482" spans="1:16" x14ac:dyDescent="0.3">
      <c r="A482" s="224" t="s">
        <v>63</v>
      </c>
      <c r="B482" s="164" t="s">
        <v>32</v>
      </c>
      <c r="C482" s="165">
        <f t="shared" si="112"/>
        <v>828043.20000000007</v>
      </c>
      <c r="D482" s="165">
        <f t="shared" ref="D482:I483" si="114">D484+D490</f>
        <v>0</v>
      </c>
      <c r="E482" s="165">
        <f t="shared" si="114"/>
        <v>39822</v>
      </c>
      <c r="F482" s="165">
        <f t="shared" si="114"/>
        <v>246934.89</v>
      </c>
      <c r="G482" s="165">
        <f t="shared" si="114"/>
        <v>230784.93</v>
      </c>
      <c r="H482" s="165">
        <f t="shared" si="114"/>
        <v>200367</v>
      </c>
      <c r="I482" s="165">
        <f t="shared" si="114"/>
        <v>110134.38</v>
      </c>
    </row>
    <row r="483" spans="1:16" x14ac:dyDescent="0.3">
      <c r="A483" s="85" t="s">
        <v>51</v>
      </c>
      <c r="B483" s="166" t="s">
        <v>33</v>
      </c>
      <c r="C483" s="165">
        <f t="shared" si="112"/>
        <v>828043.20000000007</v>
      </c>
      <c r="D483" s="165">
        <f t="shared" si="114"/>
        <v>0</v>
      </c>
      <c r="E483" s="165">
        <f t="shared" si="114"/>
        <v>39822</v>
      </c>
      <c r="F483" s="165">
        <f t="shared" si="114"/>
        <v>246934.89</v>
      </c>
      <c r="G483" s="165">
        <f t="shared" si="114"/>
        <v>230784.93</v>
      </c>
      <c r="H483" s="165">
        <f t="shared" si="114"/>
        <v>200367</v>
      </c>
      <c r="I483" s="165">
        <f t="shared" si="114"/>
        <v>110134.38</v>
      </c>
    </row>
    <row r="484" spans="1:16" s="50" customFormat="1" ht="25.75" x14ac:dyDescent="0.35">
      <c r="A484" s="225" t="s">
        <v>194</v>
      </c>
      <c r="B484" s="66" t="s">
        <v>32</v>
      </c>
      <c r="C484" s="108">
        <f t="shared" si="112"/>
        <v>738496.88</v>
      </c>
      <c r="D484" s="108">
        <f>D486+D488</f>
        <v>0</v>
      </c>
      <c r="E484" s="108">
        <f t="shared" ref="E484:I485" si="115">E486+E488</f>
        <v>16146</v>
      </c>
      <c r="F484" s="108">
        <f t="shared" si="115"/>
        <v>200708.5</v>
      </c>
      <c r="G484" s="108">
        <f t="shared" si="115"/>
        <v>211141</v>
      </c>
      <c r="H484" s="108">
        <f t="shared" si="115"/>
        <v>200367</v>
      </c>
      <c r="I484" s="108">
        <f t="shared" si="115"/>
        <v>110134.38</v>
      </c>
    </row>
    <row r="485" spans="1:16" s="50" customFormat="1" x14ac:dyDescent="0.3">
      <c r="A485" s="226"/>
      <c r="B485" s="70" t="s">
        <v>33</v>
      </c>
      <c r="C485" s="108">
        <f t="shared" si="112"/>
        <v>738496.88</v>
      </c>
      <c r="D485" s="108">
        <f>D487+D489</f>
        <v>0</v>
      </c>
      <c r="E485" s="108">
        <f t="shared" si="115"/>
        <v>16146</v>
      </c>
      <c r="F485" s="108">
        <f t="shared" si="115"/>
        <v>200708.5</v>
      </c>
      <c r="G485" s="108">
        <f t="shared" si="115"/>
        <v>211141</v>
      </c>
      <c r="H485" s="108">
        <f t="shared" si="115"/>
        <v>200367</v>
      </c>
      <c r="I485" s="108">
        <f t="shared" si="115"/>
        <v>110134.38</v>
      </c>
    </row>
    <row r="486" spans="1:16" s="78" customFormat="1" ht="41.25" customHeight="1" x14ac:dyDescent="0.3">
      <c r="A486" s="227" t="s">
        <v>222</v>
      </c>
      <c r="B486" s="66" t="s">
        <v>32</v>
      </c>
      <c r="C486" s="108">
        <f t="shared" si="112"/>
        <v>382119</v>
      </c>
      <c r="D486" s="108">
        <f>D487</f>
        <v>0</v>
      </c>
      <c r="E486" s="108">
        <f t="shared" ref="E486:I486" si="116">E487</f>
        <v>13176</v>
      </c>
      <c r="F486" s="108">
        <f t="shared" si="116"/>
        <v>105397</v>
      </c>
      <c r="G486" s="108">
        <f t="shared" si="116"/>
        <v>105397</v>
      </c>
      <c r="H486" s="108">
        <f t="shared" si="116"/>
        <v>105397</v>
      </c>
      <c r="I486" s="108">
        <f t="shared" si="116"/>
        <v>52752</v>
      </c>
      <c r="J486" s="1013" t="s">
        <v>223</v>
      </c>
      <c r="K486" s="1014"/>
      <c r="L486" s="1014"/>
      <c r="M486" s="1014"/>
      <c r="N486" s="1014"/>
      <c r="O486" s="1014"/>
      <c r="P486" s="1135"/>
    </row>
    <row r="487" spans="1:16" s="78" customFormat="1" ht="15" customHeight="1" x14ac:dyDescent="0.3">
      <c r="A487" s="228" t="s">
        <v>187</v>
      </c>
      <c r="B487" s="70" t="s">
        <v>33</v>
      </c>
      <c r="C487" s="108">
        <f t="shared" si="112"/>
        <v>382119</v>
      </c>
      <c r="D487" s="108">
        <v>0</v>
      </c>
      <c r="E487" s="108">
        <v>13176</v>
      </c>
      <c r="F487" s="108">
        <v>105397</v>
      </c>
      <c r="G487" s="108">
        <v>105397</v>
      </c>
      <c r="H487" s="108">
        <v>105397</v>
      </c>
      <c r="I487" s="108">
        <v>52752</v>
      </c>
      <c r="J487" s="1013"/>
      <c r="K487" s="1014"/>
      <c r="L487" s="1014"/>
      <c r="M487" s="1014"/>
      <c r="N487" s="1014"/>
      <c r="O487" s="1014"/>
      <c r="P487" s="1135"/>
    </row>
    <row r="488" spans="1:16" s="153" customFormat="1" ht="39.75" customHeight="1" x14ac:dyDescent="0.3">
      <c r="A488" s="229" t="s">
        <v>224</v>
      </c>
      <c r="B488" s="205" t="s">
        <v>32</v>
      </c>
      <c r="C488" s="206">
        <f t="shared" si="112"/>
        <v>356377.88</v>
      </c>
      <c r="D488" s="206">
        <f>D489</f>
        <v>0</v>
      </c>
      <c r="E488" s="206">
        <v>2970</v>
      </c>
      <c r="F488" s="206">
        <v>95311.5</v>
      </c>
      <c r="G488" s="206">
        <v>105744</v>
      </c>
      <c r="H488" s="206">
        <v>94970</v>
      </c>
      <c r="I488" s="206">
        <f>356377.88-2970-95311.5-105744-94970</f>
        <v>57382.380000000005</v>
      </c>
      <c r="J488" s="1136" t="s">
        <v>225</v>
      </c>
      <c r="K488" s="1137"/>
      <c r="L488" s="1137"/>
      <c r="M488" s="1137"/>
      <c r="N488" s="1137"/>
      <c r="O488" s="1137"/>
      <c r="P488" s="1037"/>
    </row>
    <row r="489" spans="1:16" s="153" customFormat="1" ht="15" customHeight="1" x14ac:dyDescent="0.3">
      <c r="A489" s="230" t="s">
        <v>187</v>
      </c>
      <c r="B489" s="209" t="s">
        <v>33</v>
      </c>
      <c r="C489" s="206">
        <f t="shared" si="112"/>
        <v>356377.88</v>
      </c>
      <c r="D489" s="206">
        <v>0</v>
      </c>
      <c r="E489" s="206">
        <v>2970</v>
      </c>
      <c r="F489" s="206">
        <v>95311.5</v>
      </c>
      <c r="G489" s="206">
        <v>105744</v>
      </c>
      <c r="H489" s="206">
        <v>94970</v>
      </c>
      <c r="I489" s="206">
        <f>356377.88-2970-95311.5-105744-94970</f>
        <v>57382.380000000005</v>
      </c>
      <c r="J489" s="1136"/>
      <c r="K489" s="1137"/>
      <c r="L489" s="1137"/>
      <c r="M489" s="1137"/>
      <c r="N489" s="1137"/>
      <c r="O489" s="1137"/>
      <c r="P489" s="1037"/>
    </row>
    <row r="490" spans="1:16" ht="12.9" x14ac:dyDescent="0.35">
      <c r="A490" s="54" t="s">
        <v>40</v>
      </c>
      <c r="B490" s="161" t="s">
        <v>32</v>
      </c>
      <c r="C490" s="49">
        <f t="shared" si="112"/>
        <v>89546.32</v>
      </c>
      <c r="D490" s="49">
        <f>D494</f>
        <v>0</v>
      </c>
      <c r="E490" s="49">
        <f t="shared" ref="E490:I491" si="117">E494</f>
        <v>23676</v>
      </c>
      <c r="F490" s="49">
        <f t="shared" si="117"/>
        <v>46226.39</v>
      </c>
      <c r="G490" s="49">
        <f t="shared" si="117"/>
        <v>19643.93</v>
      </c>
      <c r="H490" s="49">
        <f t="shared" si="117"/>
        <v>0</v>
      </c>
      <c r="I490" s="49">
        <f t="shared" si="117"/>
        <v>0</v>
      </c>
    </row>
    <row r="491" spans="1:16" ht="12.9" x14ac:dyDescent="0.35">
      <c r="A491" s="43"/>
      <c r="B491" s="162" t="s">
        <v>33</v>
      </c>
      <c r="C491" s="49">
        <f t="shared" si="112"/>
        <v>89546.32</v>
      </c>
      <c r="D491" s="49">
        <f>D495</f>
        <v>0</v>
      </c>
      <c r="E491" s="49">
        <f t="shared" si="117"/>
        <v>23676</v>
      </c>
      <c r="F491" s="49">
        <f t="shared" si="117"/>
        <v>46226.39</v>
      </c>
      <c r="G491" s="49">
        <f t="shared" si="117"/>
        <v>19643.93</v>
      </c>
      <c r="H491" s="49">
        <f t="shared" si="117"/>
        <v>0</v>
      </c>
      <c r="I491" s="49">
        <f t="shared" si="117"/>
        <v>0</v>
      </c>
    </row>
    <row r="492" spans="1:16" x14ac:dyDescent="0.3">
      <c r="A492" s="72" t="s">
        <v>60</v>
      </c>
      <c r="B492" s="47" t="s">
        <v>32</v>
      </c>
      <c r="C492" s="49">
        <f t="shared" si="112"/>
        <v>89546.32</v>
      </c>
      <c r="D492" s="49">
        <f>D494</f>
        <v>0</v>
      </c>
      <c r="E492" s="49">
        <f t="shared" ref="E492:I495" si="118">E494</f>
        <v>23676</v>
      </c>
      <c r="F492" s="49">
        <f t="shared" si="118"/>
        <v>46226.39</v>
      </c>
      <c r="G492" s="49">
        <f t="shared" si="118"/>
        <v>19643.93</v>
      </c>
      <c r="H492" s="49">
        <f t="shared" si="118"/>
        <v>0</v>
      </c>
      <c r="I492" s="49">
        <f t="shared" si="118"/>
        <v>0</v>
      </c>
    </row>
    <row r="493" spans="1:16" x14ac:dyDescent="0.3">
      <c r="A493" s="72"/>
      <c r="B493" s="53" t="s">
        <v>33</v>
      </c>
      <c r="C493" s="49">
        <f t="shared" si="112"/>
        <v>89546.32</v>
      </c>
      <c r="D493" s="49">
        <f>D495</f>
        <v>0</v>
      </c>
      <c r="E493" s="49">
        <f t="shared" si="118"/>
        <v>23676</v>
      </c>
      <c r="F493" s="49">
        <f t="shared" si="118"/>
        <v>46226.39</v>
      </c>
      <c r="G493" s="49">
        <f t="shared" si="118"/>
        <v>19643.93</v>
      </c>
      <c r="H493" s="49">
        <f t="shared" si="118"/>
        <v>0</v>
      </c>
      <c r="I493" s="49">
        <f t="shared" si="118"/>
        <v>0</v>
      </c>
    </row>
    <row r="494" spans="1:16" x14ac:dyDescent="0.3">
      <c r="A494" s="163" t="s">
        <v>61</v>
      </c>
      <c r="B494" s="164" t="s">
        <v>32</v>
      </c>
      <c r="C494" s="165">
        <f t="shared" si="112"/>
        <v>89546.32</v>
      </c>
      <c r="D494" s="165">
        <f>D496</f>
        <v>0</v>
      </c>
      <c r="E494" s="165">
        <f t="shared" si="118"/>
        <v>23676</v>
      </c>
      <c r="F494" s="165">
        <f t="shared" si="118"/>
        <v>46226.39</v>
      </c>
      <c r="G494" s="165">
        <f t="shared" si="118"/>
        <v>19643.93</v>
      </c>
      <c r="H494" s="165">
        <f t="shared" si="118"/>
        <v>0</v>
      </c>
      <c r="I494" s="165">
        <f t="shared" si="118"/>
        <v>0</v>
      </c>
    </row>
    <row r="495" spans="1:16" x14ac:dyDescent="0.3">
      <c r="A495" s="85"/>
      <c r="B495" s="166" t="s">
        <v>33</v>
      </c>
      <c r="C495" s="165">
        <f t="shared" si="112"/>
        <v>89546.32</v>
      </c>
      <c r="D495" s="165">
        <f>D497</f>
        <v>0</v>
      </c>
      <c r="E495" s="165">
        <f t="shared" si="118"/>
        <v>23676</v>
      </c>
      <c r="F495" s="165">
        <f t="shared" si="118"/>
        <v>46226.39</v>
      </c>
      <c r="G495" s="165">
        <f t="shared" si="118"/>
        <v>19643.93</v>
      </c>
      <c r="H495" s="165">
        <f t="shared" si="118"/>
        <v>0</v>
      </c>
      <c r="I495" s="165">
        <f t="shared" si="118"/>
        <v>0</v>
      </c>
    </row>
    <row r="496" spans="1:16" x14ac:dyDescent="0.3">
      <c r="A496" s="113" t="s">
        <v>226</v>
      </c>
      <c r="B496" s="167" t="s">
        <v>32</v>
      </c>
      <c r="C496" s="49">
        <f t="shared" si="112"/>
        <v>89546.32</v>
      </c>
      <c r="D496" s="49">
        <f>D498+D500+D502+D504+D506+D508+D510+D512+D514+D516</f>
        <v>0</v>
      </c>
      <c r="E496" s="49">
        <f t="shared" ref="E496:I497" si="119">E498+E500+E502+E504+E506+E508+E510+E512+E514+E516</f>
        <v>23676</v>
      </c>
      <c r="F496" s="49">
        <f t="shared" si="119"/>
        <v>46226.39</v>
      </c>
      <c r="G496" s="49">
        <f t="shared" si="119"/>
        <v>19643.93</v>
      </c>
      <c r="H496" s="49">
        <f t="shared" si="119"/>
        <v>0</v>
      </c>
      <c r="I496" s="49">
        <f t="shared" si="119"/>
        <v>0</v>
      </c>
    </row>
    <row r="497" spans="1:15" x14ac:dyDescent="0.3">
      <c r="A497" s="63"/>
      <c r="B497" s="90" t="s">
        <v>33</v>
      </c>
      <c r="C497" s="49">
        <f t="shared" si="112"/>
        <v>89546.32</v>
      </c>
      <c r="D497" s="49">
        <f>D499+D501+D503+D505+D507+D509+D511+D513+D515+D517</f>
        <v>0</v>
      </c>
      <c r="E497" s="49">
        <f t="shared" si="119"/>
        <v>23676</v>
      </c>
      <c r="F497" s="49">
        <f t="shared" si="119"/>
        <v>46226.39</v>
      </c>
      <c r="G497" s="49">
        <f t="shared" si="119"/>
        <v>19643.93</v>
      </c>
      <c r="H497" s="49">
        <f t="shared" si="119"/>
        <v>0</v>
      </c>
      <c r="I497" s="49">
        <f t="shared" si="119"/>
        <v>0</v>
      </c>
    </row>
    <row r="498" spans="1:15" s="65" customFormat="1" ht="119.25" customHeight="1" x14ac:dyDescent="0.3">
      <c r="A498" s="231" t="s">
        <v>227</v>
      </c>
      <c r="B498" s="110" t="s">
        <v>32</v>
      </c>
      <c r="C498" s="41">
        <f t="shared" si="112"/>
        <v>21592.760000000002</v>
      </c>
      <c r="D498" s="41">
        <v>0</v>
      </c>
      <c r="E498" s="144">
        <f>523+320</f>
        <v>843</v>
      </c>
      <c r="F498" s="41">
        <v>10000</v>
      </c>
      <c r="G498" s="41">
        <f>11069.76-320</f>
        <v>10749.76</v>
      </c>
      <c r="H498" s="41">
        <v>0</v>
      </c>
      <c r="I498" s="41">
        <v>0</v>
      </c>
      <c r="J498" s="232"/>
    </row>
    <row r="499" spans="1:15" s="1" customFormat="1" ht="15.75" customHeight="1" x14ac:dyDescent="0.3">
      <c r="A499" s="120"/>
      <c r="B499" s="70" t="s">
        <v>33</v>
      </c>
      <c r="C499" s="41">
        <f t="shared" si="112"/>
        <v>21592.760000000002</v>
      </c>
      <c r="D499" s="41">
        <v>0</v>
      </c>
      <c r="E499" s="144">
        <f>523+320</f>
        <v>843</v>
      </c>
      <c r="F499" s="41">
        <v>10000</v>
      </c>
      <c r="G499" s="41">
        <f>11069.76-320</f>
        <v>10749.76</v>
      </c>
      <c r="H499" s="41">
        <v>0</v>
      </c>
      <c r="I499" s="41">
        <v>0</v>
      </c>
    </row>
    <row r="500" spans="1:15" s="236" customFormat="1" ht="38.25" customHeight="1" x14ac:dyDescent="0.3">
      <c r="A500" s="233" t="s">
        <v>228</v>
      </c>
      <c r="B500" s="234" t="s">
        <v>32</v>
      </c>
      <c r="C500" s="206">
        <f t="shared" si="112"/>
        <v>7118.8</v>
      </c>
      <c r="D500" s="206">
        <v>0</v>
      </c>
      <c r="E500" s="235">
        <v>500</v>
      </c>
      <c r="F500" s="206">
        <f>7118.8-500</f>
        <v>6618.8</v>
      </c>
      <c r="G500" s="206">
        <v>0</v>
      </c>
      <c r="H500" s="206">
        <v>0</v>
      </c>
      <c r="I500" s="206">
        <v>0</v>
      </c>
      <c r="J500" s="1131" t="s">
        <v>229</v>
      </c>
      <c r="K500" s="1132"/>
      <c r="L500" s="1132"/>
      <c r="M500" s="1132"/>
      <c r="N500" s="1132"/>
      <c r="O500" s="1132"/>
    </row>
    <row r="501" spans="1:15" s="1" customFormat="1" ht="15.75" customHeight="1" x14ac:dyDescent="0.3">
      <c r="A501" s="120"/>
      <c r="B501" s="70" t="s">
        <v>33</v>
      </c>
      <c r="C501" s="41">
        <f t="shared" si="112"/>
        <v>7118.8</v>
      </c>
      <c r="D501" s="41">
        <v>0</v>
      </c>
      <c r="E501" s="144">
        <v>500</v>
      </c>
      <c r="F501" s="41">
        <f>7118.8-500</f>
        <v>6618.8</v>
      </c>
      <c r="G501" s="41">
        <v>0</v>
      </c>
      <c r="H501" s="41">
        <v>0</v>
      </c>
      <c r="I501" s="41">
        <v>0</v>
      </c>
      <c r="J501" s="1131"/>
      <c r="K501" s="1132"/>
      <c r="L501" s="1132"/>
      <c r="M501" s="1132"/>
      <c r="N501" s="1132"/>
      <c r="O501" s="1132"/>
    </row>
    <row r="502" spans="1:15" s="105" customFormat="1" ht="38.25" customHeight="1" x14ac:dyDescent="0.3">
      <c r="A502" s="114" t="s">
        <v>230</v>
      </c>
      <c r="B502" s="110" t="s">
        <v>32</v>
      </c>
      <c r="C502" s="108">
        <f t="shared" si="112"/>
        <v>3494.38</v>
      </c>
      <c r="D502" s="108">
        <v>0</v>
      </c>
      <c r="E502" s="192">
        <v>500</v>
      </c>
      <c r="F502" s="108">
        <f>3494.38-500</f>
        <v>2994.38</v>
      </c>
      <c r="G502" s="108">
        <v>0</v>
      </c>
      <c r="H502" s="108">
        <v>0</v>
      </c>
      <c r="I502" s="108">
        <v>0</v>
      </c>
      <c r="J502" s="1123" t="s">
        <v>231</v>
      </c>
      <c r="K502" s="1124"/>
      <c r="L502" s="1124"/>
      <c r="M502" s="1124"/>
      <c r="N502" s="1124"/>
      <c r="O502" s="1124"/>
    </row>
    <row r="503" spans="1:15" s="1" customFormat="1" ht="15.75" customHeight="1" x14ac:dyDescent="0.3">
      <c r="A503" s="120" t="s">
        <v>187</v>
      </c>
      <c r="B503" s="70" t="s">
        <v>33</v>
      </c>
      <c r="C503" s="41">
        <f t="shared" si="112"/>
        <v>3494.38</v>
      </c>
      <c r="D503" s="41">
        <v>0</v>
      </c>
      <c r="E503" s="144">
        <v>500</v>
      </c>
      <c r="F503" s="41">
        <f>3494.38-500</f>
        <v>2994.38</v>
      </c>
      <c r="G503" s="41">
        <v>0</v>
      </c>
      <c r="H503" s="41">
        <v>0</v>
      </c>
      <c r="I503" s="41">
        <v>0</v>
      </c>
      <c r="J503" s="1123"/>
      <c r="K503" s="1124"/>
      <c r="L503" s="1124"/>
      <c r="M503" s="1124"/>
      <c r="N503" s="1124"/>
      <c r="O503" s="1124"/>
    </row>
    <row r="504" spans="1:15" s="105" customFormat="1" ht="26.25" customHeight="1" x14ac:dyDescent="0.3">
      <c r="A504" s="237" t="s">
        <v>232</v>
      </c>
      <c r="B504" s="110" t="s">
        <v>32</v>
      </c>
      <c r="C504" s="108">
        <f t="shared" si="112"/>
        <v>3234.45</v>
      </c>
      <c r="D504" s="108">
        <v>0</v>
      </c>
      <c r="E504" s="192">
        <f>2500+101</f>
        <v>2601</v>
      </c>
      <c r="F504" s="41">
        <f>3234.45-2500-101</f>
        <v>633.44999999999982</v>
      </c>
      <c r="G504" s="108">
        <v>0</v>
      </c>
      <c r="H504" s="108">
        <v>0</v>
      </c>
      <c r="I504" s="108">
        <v>0</v>
      </c>
      <c r="J504" s="1125" t="s">
        <v>233</v>
      </c>
      <c r="K504" s="1126"/>
      <c r="L504" s="1126"/>
      <c r="M504" s="1126"/>
      <c r="N504" s="1126"/>
      <c r="O504" s="1126"/>
    </row>
    <row r="505" spans="1:15" s="96" customFormat="1" ht="15.75" customHeight="1" x14ac:dyDescent="0.3">
      <c r="A505" s="120" t="s">
        <v>187</v>
      </c>
      <c r="B505" s="70" t="s">
        <v>33</v>
      </c>
      <c r="C505" s="108">
        <f>D505+E505+F505+G505+H505+I505</f>
        <v>3234.45</v>
      </c>
      <c r="D505" s="108">
        <v>0</v>
      </c>
      <c r="E505" s="192">
        <f>2500+101</f>
        <v>2601</v>
      </c>
      <c r="F505" s="41">
        <f>3234.45-2500-101</f>
        <v>633.44999999999982</v>
      </c>
      <c r="G505" s="108">
        <v>0</v>
      </c>
      <c r="H505" s="108">
        <v>0</v>
      </c>
      <c r="I505" s="108">
        <v>0</v>
      </c>
      <c r="J505" s="1125"/>
      <c r="K505" s="1126"/>
      <c r="L505" s="1126"/>
      <c r="M505" s="1126"/>
      <c r="N505" s="1126"/>
      <c r="O505" s="1126"/>
    </row>
    <row r="506" spans="1:15" s="96" customFormat="1" ht="69" customHeight="1" x14ac:dyDescent="0.3">
      <c r="A506" s="238" t="s">
        <v>234</v>
      </c>
      <c r="B506" s="92" t="s">
        <v>32</v>
      </c>
      <c r="C506" s="81">
        <f t="shared" ref="C506" si="120">D506+E506+F506+G506+H506+I506</f>
        <v>1873.61</v>
      </c>
      <c r="D506" s="81">
        <v>0</v>
      </c>
      <c r="E506" s="187">
        <v>0</v>
      </c>
      <c r="F506" s="108">
        <v>1873.61</v>
      </c>
      <c r="G506" s="81">
        <v>0</v>
      </c>
      <c r="H506" s="81">
        <v>0</v>
      </c>
      <c r="I506" s="81">
        <v>0</v>
      </c>
      <c r="J506" s="1127" t="s">
        <v>235</v>
      </c>
      <c r="K506" s="1128"/>
      <c r="L506" s="1128"/>
      <c r="M506" s="1128"/>
      <c r="N506" s="1128"/>
      <c r="O506" s="1128"/>
    </row>
    <row r="507" spans="1:15" s="96" customFormat="1" ht="15.75" customHeight="1" x14ac:dyDescent="0.3">
      <c r="A507" s="82" t="s">
        <v>187</v>
      </c>
      <c r="B507" s="95" t="s">
        <v>33</v>
      </c>
      <c r="C507" s="81">
        <f>D507+E507+F507+G507+H507+I507</f>
        <v>1873.61</v>
      </c>
      <c r="D507" s="81">
        <v>0</v>
      </c>
      <c r="E507" s="187">
        <v>0</v>
      </c>
      <c r="F507" s="108">
        <v>1873.61</v>
      </c>
      <c r="G507" s="81">
        <v>0</v>
      </c>
      <c r="H507" s="81">
        <v>0</v>
      </c>
      <c r="I507" s="81">
        <v>0</v>
      </c>
      <c r="J507" s="1127"/>
      <c r="K507" s="1128"/>
      <c r="L507" s="1128"/>
      <c r="M507" s="1128"/>
      <c r="N507" s="1128"/>
      <c r="O507" s="1128"/>
    </row>
    <row r="508" spans="1:15" s="96" customFormat="1" ht="40.5" customHeight="1" x14ac:dyDescent="0.3">
      <c r="A508" s="239" t="s">
        <v>236</v>
      </c>
      <c r="B508" s="92" t="s">
        <v>32</v>
      </c>
      <c r="C508" s="81">
        <f t="shared" ref="C508" si="121">D508+E508+F508+G508+H508+I508</f>
        <v>2360</v>
      </c>
      <c r="D508" s="81">
        <v>0</v>
      </c>
      <c r="E508" s="196">
        <f>2000+360</f>
        <v>2360</v>
      </c>
      <c r="F508" s="108">
        <v>0</v>
      </c>
      <c r="G508" s="81">
        <v>0</v>
      </c>
      <c r="H508" s="81">
        <v>0</v>
      </c>
      <c r="I508" s="81">
        <v>0</v>
      </c>
      <c r="J508" s="1129" t="s">
        <v>237</v>
      </c>
      <c r="K508" s="1130"/>
      <c r="L508" s="1130"/>
      <c r="M508" s="1130"/>
      <c r="N508" s="1130"/>
      <c r="O508" s="1130"/>
    </row>
    <row r="509" spans="1:15" s="1" customFormat="1" ht="15.75" customHeight="1" x14ac:dyDescent="0.3">
      <c r="A509" s="82" t="s">
        <v>187</v>
      </c>
      <c r="B509" s="95" t="s">
        <v>33</v>
      </c>
      <c r="C509" s="49">
        <f>D509+E509+F509+G509+H509+I509</f>
        <v>2360</v>
      </c>
      <c r="D509" s="49">
        <v>0</v>
      </c>
      <c r="E509" s="196">
        <f>2000+360</f>
        <v>2360</v>
      </c>
      <c r="F509" s="41">
        <v>0</v>
      </c>
      <c r="G509" s="49">
        <v>0</v>
      </c>
      <c r="H509" s="49">
        <v>0</v>
      </c>
      <c r="I509" s="49">
        <v>0</v>
      </c>
      <c r="J509" s="1129"/>
      <c r="K509" s="1130"/>
      <c r="L509" s="1130"/>
      <c r="M509" s="1130"/>
      <c r="N509" s="1130"/>
      <c r="O509" s="1130"/>
    </row>
    <row r="510" spans="1:15" s="93" customFormat="1" ht="40.5" customHeight="1" x14ac:dyDescent="0.3">
      <c r="A510" s="240" t="s">
        <v>238</v>
      </c>
      <c r="B510" s="92" t="s">
        <v>32</v>
      </c>
      <c r="C510" s="81">
        <f t="shared" ref="C510" si="122">D510+E510+F510+G510+H510+I510</f>
        <v>238</v>
      </c>
      <c r="D510" s="81">
        <v>0</v>
      </c>
      <c r="E510" s="187">
        <v>238</v>
      </c>
      <c r="F510" s="49">
        <v>0</v>
      </c>
      <c r="G510" s="81">
        <v>0</v>
      </c>
      <c r="H510" s="81">
        <v>0</v>
      </c>
      <c r="I510" s="81">
        <v>0</v>
      </c>
      <c r="J510" s="1131"/>
      <c r="K510" s="1132"/>
      <c r="L510" s="1132"/>
      <c r="M510" s="1132"/>
      <c r="N510" s="1132"/>
      <c r="O510" s="1132"/>
    </row>
    <row r="511" spans="1:15" s="1" customFormat="1" ht="15.75" customHeight="1" x14ac:dyDescent="0.3">
      <c r="A511" s="82" t="s">
        <v>187</v>
      </c>
      <c r="B511" s="95" t="s">
        <v>33</v>
      </c>
      <c r="C511" s="49">
        <f>D511+E511+F511+G511+H511+I511</f>
        <v>238</v>
      </c>
      <c r="D511" s="49">
        <v>0</v>
      </c>
      <c r="E511" s="196">
        <v>238</v>
      </c>
      <c r="F511" s="49">
        <v>0</v>
      </c>
      <c r="G511" s="49">
        <v>0</v>
      </c>
      <c r="H511" s="49">
        <v>0</v>
      </c>
      <c r="I511" s="49">
        <v>0</v>
      </c>
      <c r="J511" s="1131"/>
      <c r="K511" s="1132"/>
      <c r="L511" s="1132"/>
      <c r="M511" s="1132"/>
      <c r="N511" s="1132"/>
      <c r="O511" s="1132"/>
    </row>
    <row r="512" spans="1:15" s="105" customFormat="1" ht="30.75" customHeight="1" x14ac:dyDescent="0.3">
      <c r="A512" s="241" t="s">
        <v>239</v>
      </c>
      <c r="B512" s="92" t="s">
        <v>32</v>
      </c>
      <c r="C512" s="81">
        <f t="shared" ref="C512" si="123">D512+E512+F512+G512+H512+I512</f>
        <v>10134</v>
      </c>
      <c r="D512" s="81">
        <v>0</v>
      </c>
      <c r="E512" s="187">
        <f>10134-10000</f>
        <v>134</v>
      </c>
      <c r="F512" s="49">
        <v>10000</v>
      </c>
      <c r="G512" s="81">
        <v>0</v>
      </c>
      <c r="H512" s="81">
        <v>0</v>
      </c>
      <c r="I512" s="81">
        <v>0</v>
      </c>
      <c r="J512" s="1024" t="s">
        <v>240</v>
      </c>
      <c r="K512" s="1025"/>
      <c r="L512" s="1025"/>
      <c r="M512" s="1025"/>
      <c r="N512" s="1025"/>
      <c r="O512" s="1025"/>
    </row>
    <row r="513" spans="1:15" s="78" customFormat="1" ht="15.75" customHeight="1" x14ac:dyDescent="0.3">
      <c r="A513" s="82" t="s">
        <v>187</v>
      </c>
      <c r="B513" s="95" t="s">
        <v>33</v>
      </c>
      <c r="C513" s="81">
        <f>D513+E513+F513+G513+H513+I513</f>
        <v>10134</v>
      </c>
      <c r="D513" s="81">
        <v>0</v>
      </c>
      <c r="E513" s="187">
        <f>10134-10000</f>
        <v>134</v>
      </c>
      <c r="F513" s="49">
        <v>10000</v>
      </c>
      <c r="G513" s="81">
        <v>0</v>
      </c>
      <c r="H513" s="81">
        <v>0</v>
      </c>
      <c r="I513" s="81">
        <v>0</v>
      </c>
      <c r="J513" s="1024"/>
      <c r="K513" s="1025"/>
      <c r="L513" s="1025"/>
      <c r="M513" s="1025"/>
      <c r="N513" s="1025"/>
      <c r="O513" s="1025"/>
    </row>
    <row r="514" spans="1:15" s="105" customFormat="1" ht="40.5" customHeight="1" x14ac:dyDescent="0.35">
      <c r="A514" s="242" t="s">
        <v>241</v>
      </c>
      <c r="B514" s="110" t="s">
        <v>32</v>
      </c>
      <c r="C514" s="108">
        <f t="shared" ref="C514" si="124">D514+E514+F514+G514+H514+I514</f>
        <v>19868.89</v>
      </c>
      <c r="D514" s="108">
        <v>0</v>
      </c>
      <c r="E514" s="192">
        <v>500</v>
      </c>
      <c r="F514" s="41">
        <v>10474.719999999999</v>
      </c>
      <c r="G514" s="243">
        <v>8894.17</v>
      </c>
      <c r="H514" s="108">
        <v>0</v>
      </c>
      <c r="I514" s="108">
        <v>0</v>
      </c>
      <c r="J514" s="1022" t="s">
        <v>242</v>
      </c>
      <c r="K514" s="1023"/>
      <c r="L514" s="1023"/>
      <c r="M514" s="1023"/>
      <c r="N514" s="1023"/>
      <c r="O514" s="1023"/>
    </row>
    <row r="515" spans="1:15" s="78" customFormat="1" ht="15.75" customHeight="1" x14ac:dyDescent="0.35">
      <c r="A515" s="120" t="s">
        <v>187</v>
      </c>
      <c r="B515" s="70" t="s">
        <v>33</v>
      </c>
      <c r="C515" s="108">
        <f>D515+E515+F515+G515+H515+I515</f>
        <v>19868.89</v>
      </c>
      <c r="D515" s="108">
        <v>0</v>
      </c>
      <c r="E515" s="192">
        <v>500</v>
      </c>
      <c r="F515" s="41">
        <v>10474.719999999999</v>
      </c>
      <c r="G515" s="243">
        <v>8894.17</v>
      </c>
      <c r="H515" s="108">
        <v>0</v>
      </c>
      <c r="I515" s="108">
        <v>0</v>
      </c>
      <c r="J515" s="1022"/>
      <c r="K515" s="1023"/>
      <c r="L515" s="1023"/>
      <c r="M515" s="1023"/>
      <c r="N515" s="1023"/>
      <c r="O515" s="1023"/>
    </row>
    <row r="516" spans="1:15" s="105" customFormat="1" ht="26.25" customHeight="1" x14ac:dyDescent="0.35">
      <c r="A516" s="244" t="s">
        <v>243</v>
      </c>
      <c r="B516" s="110" t="s">
        <v>32</v>
      </c>
      <c r="C516" s="108">
        <f t="shared" ref="C516" si="125">D516+E516+F516+G516+H516+I516</f>
        <v>19631.43</v>
      </c>
      <c r="D516" s="108">
        <v>0</v>
      </c>
      <c r="E516" s="192">
        <f>6000+10000</f>
        <v>16000</v>
      </c>
      <c r="F516" s="108">
        <f>19631.43-16000</f>
        <v>3631.4300000000003</v>
      </c>
      <c r="G516" s="243">
        <v>0</v>
      </c>
      <c r="H516" s="108">
        <v>0</v>
      </c>
      <c r="I516" s="108">
        <v>0</v>
      </c>
      <c r="J516" s="1024"/>
      <c r="K516" s="1025"/>
      <c r="L516" s="1025"/>
      <c r="M516" s="1025"/>
      <c r="N516" s="1025"/>
      <c r="O516" s="1025"/>
    </row>
    <row r="517" spans="1:15" s="78" customFormat="1" ht="15.75" customHeight="1" x14ac:dyDescent="0.35">
      <c r="A517" s="120" t="s">
        <v>187</v>
      </c>
      <c r="B517" s="70" t="s">
        <v>33</v>
      </c>
      <c r="C517" s="108">
        <f>D517+E517+F517+G517+H517+I517</f>
        <v>19631.43</v>
      </c>
      <c r="D517" s="108">
        <v>0</v>
      </c>
      <c r="E517" s="192">
        <f>6000+10000</f>
        <v>16000</v>
      </c>
      <c r="F517" s="108">
        <f>19631.43-16000</f>
        <v>3631.4300000000003</v>
      </c>
      <c r="G517" s="243">
        <v>0</v>
      </c>
      <c r="H517" s="108">
        <v>0</v>
      </c>
      <c r="I517" s="108">
        <v>0</v>
      </c>
      <c r="J517" s="1024"/>
      <c r="K517" s="1025"/>
      <c r="L517" s="1025"/>
      <c r="M517" s="1025"/>
      <c r="N517" s="1025"/>
      <c r="O517" s="1025"/>
    </row>
    <row r="518" spans="1:15" x14ac:dyDescent="0.3">
      <c r="A518" s="1079" t="s">
        <v>244</v>
      </c>
      <c r="B518" s="1081"/>
      <c r="C518" s="1081"/>
      <c r="D518" s="1081"/>
      <c r="E518" s="1081"/>
      <c r="F518" s="1081"/>
      <c r="G518" s="1081"/>
      <c r="H518" s="1081"/>
      <c r="I518" s="1082"/>
    </row>
    <row r="519" spans="1:15" x14ac:dyDescent="0.3">
      <c r="A519" s="1010" t="s">
        <v>57</v>
      </c>
      <c r="B519" s="1011"/>
      <c r="C519" s="1011"/>
      <c r="D519" s="1011"/>
      <c r="E519" s="1011"/>
      <c r="F519" s="1011"/>
      <c r="G519" s="1011"/>
      <c r="H519" s="1011"/>
      <c r="I519" s="1012"/>
    </row>
    <row r="520" spans="1:15" x14ac:dyDescent="0.3">
      <c r="A520" s="245" t="s">
        <v>31</v>
      </c>
      <c r="B520" s="35" t="s">
        <v>32</v>
      </c>
      <c r="C520" s="48">
        <f t="shared" ref="C520:C557" si="126">D520+E520+F520+G520+H520+I520</f>
        <v>470980.36700000009</v>
      </c>
      <c r="D520" s="41">
        <f t="shared" ref="D520:I521" si="127">D522+D540</f>
        <v>46521.216999999997</v>
      </c>
      <c r="E520" s="41">
        <f t="shared" si="127"/>
        <v>211995</v>
      </c>
      <c r="F520" s="41">
        <f t="shared" si="127"/>
        <v>42624.58</v>
      </c>
      <c r="G520" s="41">
        <f t="shared" si="127"/>
        <v>28661.34</v>
      </c>
      <c r="H520" s="41">
        <f t="shared" si="127"/>
        <v>0</v>
      </c>
      <c r="I520" s="41">
        <f t="shared" si="127"/>
        <v>141178.23000000001</v>
      </c>
    </row>
    <row r="521" spans="1:15" ht="12.9" thickBot="1" x14ac:dyDescent="0.35">
      <c r="A521" s="246"/>
      <c r="B521" s="247" t="s">
        <v>33</v>
      </c>
      <c r="C521" s="48">
        <f t="shared" si="126"/>
        <v>470980.36700000009</v>
      </c>
      <c r="D521" s="41">
        <f t="shared" si="127"/>
        <v>46521.216999999997</v>
      </c>
      <c r="E521" s="41">
        <f t="shared" si="127"/>
        <v>211995</v>
      </c>
      <c r="F521" s="41">
        <f t="shared" si="127"/>
        <v>42624.58</v>
      </c>
      <c r="G521" s="41">
        <f t="shared" si="127"/>
        <v>28661.34</v>
      </c>
      <c r="H521" s="41">
        <f t="shared" si="127"/>
        <v>0</v>
      </c>
      <c r="I521" s="41">
        <f t="shared" si="127"/>
        <v>141178.23000000001</v>
      </c>
    </row>
    <row r="522" spans="1:15" x14ac:dyDescent="0.3">
      <c r="A522" s="34" t="s">
        <v>34</v>
      </c>
      <c r="B522" s="35" t="s">
        <v>32</v>
      </c>
      <c r="C522" s="48">
        <f t="shared" si="126"/>
        <v>363072.18</v>
      </c>
      <c r="D522" s="48">
        <f>D528+D524+D526</f>
        <v>12648.349999999999</v>
      </c>
      <c r="E522" s="48">
        <f t="shared" ref="E522:I523" si="128">E528+E524+E526</f>
        <v>145691.5</v>
      </c>
      <c r="F522" s="48">
        <f t="shared" si="128"/>
        <v>41994.58</v>
      </c>
      <c r="G522" s="48">
        <f t="shared" si="128"/>
        <v>28661.34</v>
      </c>
      <c r="H522" s="48">
        <f t="shared" si="128"/>
        <v>0</v>
      </c>
      <c r="I522" s="48">
        <f t="shared" si="128"/>
        <v>134076.41</v>
      </c>
    </row>
    <row r="523" spans="1:15" x14ac:dyDescent="0.3">
      <c r="A523" s="37" t="s">
        <v>35</v>
      </c>
      <c r="B523" s="38" t="s">
        <v>33</v>
      </c>
      <c r="C523" s="48">
        <f t="shared" si="126"/>
        <v>363072.18</v>
      </c>
      <c r="D523" s="48">
        <f>D529+D525+D527</f>
        <v>12648.349999999999</v>
      </c>
      <c r="E523" s="48">
        <f t="shared" si="128"/>
        <v>145691.5</v>
      </c>
      <c r="F523" s="48">
        <f t="shared" si="128"/>
        <v>41994.58</v>
      </c>
      <c r="G523" s="48">
        <f t="shared" si="128"/>
        <v>28661.34</v>
      </c>
      <c r="H523" s="48">
        <f t="shared" si="128"/>
        <v>0</v>
      </c>
      <c r="I523" s="48">
        <f t="shared" si="128"/>
        <v>134076.41</v>
      </c>
    </row>
    <row r="524" spans="1:15" ht="25.75" x14ac:dyDescent="0.35">
      <c r="A524" s="62" t="s">
        <v>52</v>
      </c>
      <c r="B524" s="151" t="s">
        <v>32</v>
      </c>
      <c r="C524" s="48">
        <f>D524+E524+F524+G524+H524+I524</f>
        <v>4751.3</v>
      </c>
      <c r="D524" s="48">
        <f t="shared" ref="D524:I525" si="129">D610+D1463</f>
        <v>2645.3</v>
      </c>
      <c r="E524" s="48">
        <f t="shared" si="129"/>
        <v>267</v>
      </c>
      <c r="F524" s="48">
        <f t="shared" si="129"/>
        <v>249</v>
      </c>
      <c r="G524" s="48">
        <f t="shared" si="129"/>
        <v>1550</v>
      </c>
      <c r="H524" s="48">
        <f t="shared" si="129"/>
        <v>0</v>
      </c>
      <c r="I524" s="48">
        <f t="shared" si="129"/>
        <v>40</v>
      </c>
    </row>
    <row r="525" spans="1:15" ht="12.9" x14ac:dyDescent="0.35">
      <c r="A525" s="43"/>
      <c r="B525" s="44" t="s">
        <v>33</v>
      </c>
      <c r="C525" s="48">
        <f>D525+E525+F525+G525+H525+I525</f>
        <v>4751.3</v>
      </c>
      <c r="D525" s="48">
        <f t="shared" si="129"/>
        <v>2645.3</v>
      </c>
      <c r="E525" s="48">
        <f t="shared" si="129"/>
        <v>267</v>
      </c>
      <c r="F525" s="48">
        <f t="shared" si="129"/>
        <v>249</v>
      </c>
      <c r="G525" s="48">
        <f t="shared" si="129"/>
        <v>1550</v>
      </c>
      <c r="H525" s="48">
        <f t="shared" si="129"/>
        <v>0</v>
      </c>
      <c r="I525" s="48">
        <f t="shared" si="129"/>
        <v>40</v>
      </c>
    </row>
    <row r="526" spans="1:15" s="68" customFormat="1" ht="25.75" x14ac:dyDescent="0.35">
      <c r="A526" s="46" t="s">
        <v>39</v>
      </c>
      <c r="B526" s="66" t="s">
        <v>32</v>
      </c>
      <c r="C526" s="67">
        <f>D526+E526+F526+G526+H526+I526</f>
        <v>38865</v>
      </c>
      <c r="D526" s="67">
        <f>D612</f>
        <v>0</v>
      </c>
      <c r="E526" s="67">
        <f t="shared" ref="E526:I527" si="130">E612</f>
        <v>38865</v>
      </c>
      <c r="F526" s="67">
        <f t="shared" si="130"/>
        <v>0</v>
      </c>
      <c r="G526" s="67">
        <f t="shared" si="130"/>
        <v>0</v>
      </c>
      <c r="H526" s="67">
        <f t="shared" si="130"/>
        <v>0</v>
      </c>
      <c r="I526" s="67">
        <f t="shared" si="130"/>
        <v>0</v>
      </c>
    </row>
    <row r="527" spans="1:15" s="68" customFormat="1" ht="12.9" x14ac:dyDescent="0.35">
      <c r="A527" s="69"/>
      <c r="B527" s="70" t="s">
        <v>33</v>
      </c>
      <c r="C527" s="67">
        <f>D527+E527+F527+G527+H527+I527</f>
        <v>38865</v>
      </c>
      <c r="D527" s="67">
        <f>D613</f>
        <v>0</v>
      </c>
      <c r="E527" s="67">
        <f t="shared" si="130"/>
        <v>38865</v>
      </c>
      <c r="F527" s="67">
        <f t="shared" si="130"/>
        <v>0</v>
      </c>
      <c r="G527" s="67">
        <f t="shared" si="130"/>
        <v>0</v>
      </c>
      <c r="H527" s="67">
        <f t="shared" si="130"/>
        <v>0</v>
      </c>
      <c r="I527" s="67">
        <f t="shared" si="130"/>
        <v>0</v>
      </c>
    </row>
    <row r="528" spans="1:15" s="42" customFormat="1" ht="12.9" x14ac:dyDescent="0.35">
      <c r="A528" s="54" t="s">
        <v>40</v>
      </c>
      <c r="B528" s="151" t="s">
        <v>32</v>
      </c>
      <c r="C528" s="41">
        <f t="shared" si="126"/>
        <v>319455.88</v>
      </c>
      <c r="D528" s="41">
        <f>D530+D538</f>
        <v>10003.049999999999</v>
      </c>
      <c r="E528" s="41">
        <f t="shared" ref="E528:I529" si="131">E530+E538</f>
        <v>106559.5</v>
      </c>
      <c r="F528" s="41">
        <f t="shared" si="131"/>
        <v>41745.58</v>
      </c>
      <c r="G528" s="41">
        <f t="shared" si="131"/>
        <v>27111.34</v>
      </c>
      <c r="H528" s="41">
        <f t="shared" si="131"/>
        <v>0</v>
      </c>
      <c r="I528" s="41">
        <f t="shared" si="131"/>
        <v>134036.41</v>
      </c>
    </row>
    <row r="529" spans="1:9" s="42" customFormat="1" ht="12.9" x14ac:dyDescent="0.35">
      <c r="A529" s="43"/>
      <c r="B529" s="44" t="s">
        <v>33</v>
      </c>
      <c r="C529" s="41">
        <f t="shared" si="126"/>
        <v>319455.88</v>
      </c>
      <c r="D529" s="41">
        <f>D531+D539</f>
        <v>10003.049999999999</v>
      </c>
      <c r="E529" s="41">
        <f>E531+E539</f>
        <v>106559.5</v>
      </c>
      <c r="F529" s="41">
        <f t="shared" si="131"/>
        <v>41745.58</v>
      </c>
      <c r="G529" s="41">
        <f t="shared" si="131"/>
        <v>27111.34</v>
      </c>
      <c r="H529" s="41">
        <f t="shared" si="131"/>
        <v>0</v>
      </c>
      <c r="I529" s="41">
        <f t="shared" si="131"/>
        <v>134036.41</v>
      </c>
    </row>
    <row r="530" spans="1:9" s="42" customFormat="1" ht="12.9" x14ac:dyDescent="0.35">
      <c r="A530" s="55" t="s">
        <v>41</v>
      </c>
      <c r="B530" s="40" t="s">
        <v>32</v>
      </c>
      <c r="C530" s="41">
        <f t="shared" si="126"/>
        <v>54882.2</v>
      </c>
      <c r="D530" s="41">
        <f>D532+D534+D536</f>
        <v>8781.2599999999984</v>
      </c>
      <c r="E530" s="41">
        <f t="shared" ref="E530:I531" si="132">E532+E534+E536</f>
        <v>25972.5</v>
      </c>
      <c r="F530" s="41">
        <f t="shared" si="132"/>
        <v>19378</v>
      </c>
      <c r="G530" s="41">
        <f t="shared" si="132"/>
        <v>0</v>
      </c>
      <c r="H530" s="41">
        <f t="shared" si="132"/>
        <v>0</v>
      </c>
      <c r="I530" s="41">
        <f t="shared" si="132"/>
        <v>750.44</v>
      </c>
    </row>
    <row r="531" spans="1:9" s="42" customFormat="1" ht="12.9" x14ac:dyDescent="0.35">
      <c r="A531" s="57"/>
      <c r="B531" s="44" t="s">
        <v>33</v>
      </c>
      <c r="C531" s="41">
        <f t="shared" si="126"/>
        <v>54882.2</v>
      </c>
      <c r="D531" s="41">
        <f>D533+D535+D537</f>
        <v>8781.2599999999984</v>
      </c>
      <c r="E531" s="41">
        <f t="shared" si="132"/>
        <v>25972.5</v>
      </c>
      <c r="F531" s="41">
        <f t="shared" si="132"/>
        <v>19378</v>
      </c>
      <c r="G531" s="41">
        <f t="shared" si="132"/>
        <v>0</v>
      </c>
      <c r="H531" s="41">
        <f t="shared" si="132"/>
        <v>0</v>
      </c>
      <c r="I531" s="41">
        <f t="shared" si="132"/>
        <v>750.44</v>
      </c>
    </row>
    <row r="532" spans="1:9" s="42" customFormat="1" ht="12.9" x14ac:dyDescent="0.35">
      <c r="A532" s="55" t="s">
        <v>43</v>
      </c>
      <c r="B532" s="40" t="s">
        <v>32</v>
      </c>
      <c r="C532" s="41">
        <f t="shared" si="126"/>
        <v>29864.799999999999</v>
      </c>
      <c r="D532" s="41">
        <f>D618</f>
        <v>2266.8000000000002</v>
      </c>
      <c r="E532" s="41">
        <f t="shared" ref="E532:I535" si="133">E618</f>
        <v>9950</v>
      </c>
      <c r="F532" s="41">
        <f t="shared" si="133"/>
        <v>17648</v>
      </c>
      <c r="G532" s="41">
        <f t="shared" si="133"/>
        <v>0</v>
      </c>
      <c r="H532" s="41">
        <f t="shared" si="133"/>
        <v>0</v>
      </c>
      <c r="I532" s="41">
        <f t="shared" si="133"/>
        <v>0</v>
      </c>
    </row>
    <row r="533" spans="1:9" s="42" customFormat="1" ht="12.9" x14ac:dyDescent="0.35">
      <c r="A533" s="57"/>
      <c r="B533" s="44" t="s">
        <v>33</v>
      </c>
      <c r="C533" s="41">
        <f t="shared" si="126"/>
        <v>29864.799999999999</v>
      </c>
      <c r="D533" s="41">
        <f>D619</f>
        <v>2266.8000000000002</v>
      </c>
      <c r="E533" s="41">
        <f t="shared" si="133"/>
        <v>9950</v>
      </c>
      <c r="F533" s="41">
        <f t="shared" si="133"/>
        <v>17648</v>
      </c>
      <c r="G533" s="41">
        <f t="shared" si="133"/>
        <v>0</v>
      </c>
      <c r="H533" s="41">
        <f t="shared" si="133"/>
        <v>0</v>
      </c>
      <c r="I533" s="41">
        <f t="shared" si="133"/>
        <v>0</v>
      </c>
    </row>
    <row r="534" spans="1:9" s="42" customFormat="1" ht="12.9" x14ac:dyDescent="0.35">
      <c r="A534" s="55" t="s">
        <v>44</v>
      </c>
      <c r="B534" s="40" t="s">
        <v>32</v>
      </c>
      <c r="C534" s="41">
        <f t="shared" si="126"/>
        <v>1307.5</v>
      </c>
      <c r="D534" s="41">
        <f>D620</f>
        <v>18.5</v>
      </c>
      <c r="E534" s="41">
        <f t="shared" si="133"/>
        <v>1289</v>
      </c>
      <c r="F534" s="41">
        <f t="shared" si="133"/>
        <v>0</v>
      </c>
      <c r="G534" s="41">
        <f t="shared" si="133"/>
        <v>0</v>
      </c>
      <c r="H534" s="41">
        <f t="shared" si="133"/>
        <v>0</v>
      </c>
      <c r="I534" s="41">
        <f t="shared" si="133"/>
        <v>0</v>
      </c>
    </row>
    <row r="535" spans="1:9" s="42" customFormat="1" ht="12.9" x14ac:dyDescent="0.35">
      <c r="A535" s="57"/>
      <c r="B535" s="44" t="s">
        <v>33</v>
      </c>
      <c r="C535" s="41">
        <f t="shared" si="126"/>
        <v>1307.5</v>
      </c>
      <c r="D535" s="41">
        <f>D621</f>
        <v>18.5</v>
      </c>
      <c r="E535" s="41">
        <f t="shared" si="133"/>
        <v>1289</v>
      </c>
      <c r="F535" s="41">
        <f t="shared" si="133"/>
        <v>0</v>
      </c>
      <c r="G535" s="41">
        <f t="shared" si="133"/>
        <v>0</v>
      </c>
      <c r="H535" s="41">
        <f t="shared" si="133"/>
        <v>0</v>
      </c>
      <c r="I535" s="41">
        <f t="shared" si="133"/>
        <v>0</v>
      </c>
    </row>
    <row r="536" spans="1:9" s="42" customFormat="1" ht="12.9" x14ac:dyDescent="0.35">
      <c r="A536" s="55" t="s">
        <v>45</v>
      </c>
      <c r="B536" s="40" t="s">
        <v>32</v>
      </c>
      <c r="C536" s="41">
        <f t="shared" si="126"/>
        <v>23709.899999999998</v>
      </c>
      <c r="D536" s="41">
        <f t="shared" ref="D536:I537" si="134">D568+D622+D1469+D2170</f>
        <v>6495.9599999999991</v>
      </c>
      <c r="E536" s="41">
        <f t="shared" si="134"/>
        <v>14733.5</v>
      </c>
      <c r="F536" s="41">
        <f t="shared" si="134"/>
        <v>1730</v>
      </c>
      <c r="G536" s="41">
        <f t="shared" si="134"/>
        <v>0</v>
      </c>
      <c r="H536" s="41">
        <f t="shared" si="134"/>
        <v>0</v>
      </c>
      <c r="I536" s="41">
        <f t="shared" si="134"/>
        <v>750.44</v>
      </c>
    </row>
    <row r="537" spans="1:9" s="42" customFormat="1" ht="12.9" x14ac:dyDescent="0.35">
      <c r="A537" s="57"/>
      <c r="B537" s="44" t="s">
        <v>33</v>
      </c>
      <c r="C537" s="41">
        <f t="shared" si="126"/>
        <v>23709.899999999998</v>
      </c>
      <c r="D537" s="41">
        <f t="shared" si="134"/>
        <v>6495.9599999999991</v>
      </c>
      <c r="E537" s="41">
        <f t="shared" si="134"/>
        <v>14733.5</v>
      </c>
      <c r="F537" s="41">
        <f t="shared" si="134"/>
        <v>1730</v>
      </c>
      <c r="G537" s="41">
        <f t="shared" si="134"/>
        <v>0</v>
      </c>
      <c r="H537" s="41">
        <f t="shared" si="134"/>
        <v>0</v>
      </c>
      <c r="I537" s="41">
        <f t="shared" si="134"/>
        <v>750.44</v>
      </c>
    </row>
    <row r="538" spans="1:9" s="78" customFormat="1" ht="12.9" x14ac:dyDescent="0.35">
      <c r="A538" s="248" t="s">
        <v>46</v>
      </c>
      <c r="B538" s="110" t="s">
        <v>32</v>
      </c>
      <c r="C538" s="108">
        <f t="shared" si="126"/>
        <v>264573.68</v>
      </c>
      <c r="D538" s="108">
        <f t="shared" ref="D538:I539" si="135">D2172+D2145</f>
        <v>1221.79</v>
      </c>
      <c r="E538" s="108">
        <f t="shared" si="135"/>
        <v>80587</v>
      </c>
      <c r="F538" s="108">
        <f t="shared" si="135"/>
        <v>22367.58</v>
      </c>
      <c r="G538" s="108">
        <f t="shared" si="135"/>
        <v>27111.34</v>
      </c>
      <c r="H538" s="108">
        <f t="shared" si="135"/>
        <v>0</v>
      </c>
      <c r="I538" s="108">
        <f t="shared" si="135"/>
        <v>133285.97</v>
      </c>
    </row>
    <row r="539" spans="1:9" s="78" customFormat="1" ht="12.9" x14ac:dyDescent="0.35">
      <c r="A539" s="249"/>
      <c r="B539" s="70" t="s">
        <v>33</v>
      </c>
      <c r="C539" s="108">
        <f t="shared" si="126"/>
        <v>264573.68</v>
      </c>
      <c r="D539" s="108">
        <f t="shared" si="135"/>
        <v>1221.79</v>
      </c>
      <c r="E539" s="108">
        <f t="shared" si="135"/>
        <v>80587</v>
      </c>
      <c r="F539" s="108">
        <f t="shared" si="135"/>
        <v>22367.58</v>
      </c>
      <c r="G539" s="108">
        <f t="shared" si="135"/>
        <v>27111.34</v>
      </c>
      <c r="H539" s="108">
        <f t="shared" si="135"/>
        <v>0</v>
      </c>
      <c r="I539" s="108">
        <f t="shared" si="135"/>
        <v>133285.97</v>
      </c>
    </row>
    <row r="540" spans="1:9" s="42" customFormat="1" x14ac:dyDescent="0.3">
      <c r="A540" s="34" t="s">
        <v>50</v>
      </c>
      <c r="B540" s="40" t="s">
        <v>32</v>
      </c>
      <c r="C540" s="41">
        <f t="shared" si="126"/>
        <v>107908.18700000001</v>
      </c>
      <c r="D540" s="48">
        <f>D542+D544+D546</f>
        <v>33872.866999999998</v>
      </c>
      <c r="E540" s="48">
        <f t="shared" ref="E540:I541" si="136">E542+E544+E546</f>
        <v>66303.5</v>
      </c>
      <c r="F540" s="48">
        <f t="shared" si="136"/>
        <v>630</v>
      </c>
      <c r="G540" s="48">
        <f t="shared" si="136"/>
        <v>0</v>
      </c>
      <c r="H540" s="48">
        <f t="shared" si="136"/>
        <v>0</v>
      </c>
      <c r="I540" s="48">
        <f t="shared" si="136"/>
        <v>7101.82</v>
      </c>
    </row>
    <row r="541" spans="1:9" x14ac:dyDescent="0.3">
      <c r="A541" s="63" t="s">
        <v>51</v>
      </c>
      <c r="B541" s="38" t="s">
        <v>33</v>
      </c>
      <c r="C541" s="48">
        <f t="shared" si="126"/>
        <v>107908.18700000001</v>
      </c>
      <c r="D541" s="48">
        <f>D543+D545+D547</f>
        <v>33872.866999999998</v>
      </c>
      <c r="E541" s="48">
        <f t="shared" si="136"/>
        <v>66303.5</v>
      </c>
      <c r="F541" s="48">
        <f t="shared" si="136"/>
        <v>630</v>
      </c>
      <c r="G541" s="48">
        <f t="shared" si="136"/>
        <v>0</v>
      </c>
      <c r="H541" s="48">
        <f t="shared" si="136"/>
        <v>0</v>
      </c>
      <c r="I541" s="48">
        <f t="shared" si="136"/>
        <v>7101.82</v>
      </c>
    </row>
    <row r="542" spans="1:9" ht="25.75" x14ac:dyDescent="0.35">
      <c r="A542" s="64" t="s">
        <v>52</v>
      </c>
      <c r="B542" s="40" t="s">
        <v>32</v>
      </c>
      <c r="C542" s="48">
        <f>D542+E542+F542+G542+H542+I542</f>
        <v>28092.950000000004</v>
      </c>
      <c r="D542" s="48">
        <f t="shared" ref="D542:I545" si="137">D626</f>
        <v>26244.370000000003</v>
      </c>
      <c r="E542" s="48">
        <f t="shared" si="137"/>
        <v>0</v>
      </c>
      <c r="F542" s="48">
        <f t="shared" si="137"/>
        <v>0</v>
      </c>
      <c r="G542" s="48">
        <f t="shared" si="137"/>
        <v>0</v>
      </c>
      <c r="H542" s="48">
        <f t="shared" si="137"/>
        <v>0</v>
      </c>
      <c r="I542" s="48">
        <f t="shared" si="137"/>
        <v>1848.58</v>
      </c>
    </row>
    <row r="543" spans="1:9" ht="12.9" x14ac:dyDescent="0.35">
      <c r="A543" s="43"/>
      <c r="B543" s="44" t="s">
        <v>33</v>
      </c>
      <c r="C543" s="48">
        <f>D543+E543+F543+G543+H543+I543</f>
        <v>28092.950000000004</v>
      </c>
      <c r="D543" s="48">
        <f t="shared" si="137"/>
        <v>26244.370000000003</v>
      </c>
      <c r="E543" s="48">
        <f t="shared" si="137"/>
        <v>0</v>
      </c>
      <c r="F543" s="48">
        <f t="shared" si="137"/>
        <v>0</v>
      </c>
      <c r="G543" s="48">
        <f t="shared" si="137"/>
        <v>0</v>
      </c>
      <c r="H543" s="48">
        <f t="shared" si="137"/>
        <v>0</v>
      </c>
      <c r="I543" s="48">
        <f t="shared" si="137"/>
        <v>1848.58</v>
      </c>
    </row>
    <row r="544" spans="1:9" s="68" customFormat="1" ht="25.75" x14ac:dyDescent="0.35">
      <c r="A544" s="46" t="s">
        <v>39</v>
      </c>
      <c r="B544" s="66" t="s">
        <v>32</v>
      </c>
      <c r="C544" s="67">
        <f>D544+E544+F544+G544+H544+I544</f>
        <v>19691</v>
      </c>
      <c r="D544" s="67">
        <f>D628</f>
        <v>0</v>
      </c>
      <c r="E544" s="67">
        <f t="shared" si="137"/>
        <v>19691</v>
      </c>
      <c r="F544" s="67">
        <f t="shared" si="137"/>
        <v>0</v>
      </c>
      <c r="G544" s="67">
        <f t="shared" si="137"/>
        <v>0</v>
      </c>
      <c r="H544" s="67">
        <f t="shared" si="137"/>
        <v>0</v>
      </c>
      <c r="I544" s="67">
        <f t="shared" si="137"/>
        <v>0</v>
      </c>
    </row>
    <row r="545" spans="1:9" s="68" customFormat="1" ht="12.9" x14ac:dyDescent="0.35">
      <c r="A545" s="69"/>
      <c r="B545" s="70" t="s">
        <v>33</v>
      </c>
      <c r="C545" s="67">
        <f>D545+E545+F545+G545+H545+I545</f>
        <v>19691</v>
      </c>
      <c r="D545" s="67">
        <f>D629</f>
        <v>0</v>
      </c>
      <c r="E545" s="67">
        <f t="shared" si="137"/>
        <v>19691</v>
      </c>
      <c r="F545" s="67">
        <f t="shared" si="137"/>
        <v>0</v>
      </c>
      <c r="G545" s="67">
        <f t="shared" si="137"/>
        <v>0</v>
      </c>
      <c r="H545" s="67">
        <f t="shared" si="137"/>
        <v>0</v>
      </c>
      <c r="I545" s="67">
        <f t="shared" si="137"/>
        <v>0</v>
      </c>
    </row>
    <row r="546" spans="1:9" ht="12.9" x14ac:dyDescent="0.35">
      <c r="A546" s="54" t="s">
        <v>40</v>
      </c>
      <c r="B546" s="35" t="s">
        <v>32</v>
      </c>
      <c r="C546" s="48">
        <f t="shared" si="126"/>
        <v>60124.237000000001</v>
      </c>
      <c r="D546" s="48">
        <f>D548+D556</f>
        <v>7628.4969999999994</v>
      </c>
      <c r="E546" s="48">
        <f t="shared" ref="E546:I547" si="138">E548+E556</f>
        <v>46612.5</v>
      </c>
      <c r="F546" s="48">
        <f t="shared" si="138"/>
        <v>630</v>
      </c>
      <c r="G546" s="48">
        <f t="shared" si="138"/>
        <v>0</v>
      </c>
      <c r="H546" s="48">
        <f t="shared" si="138"/>
        <v>0</v>
      </c>
      <c r="I546" s="48">
        <f t="shared" si="138"/>
        <v>5253.24</v>
      </c>
    </row>
    <row r="547" spans="1:9" ht="12.9" x14ac:dyDescent="0.35">
      <c r="A547" s="43"/>
      <c r="B547" s="38" t="s">
        <v>33</v>
      </c>
      <c r="C547" s="48">
        <f t="shared" si="126"/>
        <v>60124.237000000001</v>
      </c>
      <c r="D547" s="48">
        <f>D549+D557</f>
        <v>7628.4969999999994</v>
      </c>
      <c r="E547" s="48">
        <f>E549+E557</f>
        <v>46612.5</v>
      </c>
      <c r="F547" s="48">
        <f t="shared" si="138"/>
        <v>630</v>
      </c>
      <c r="G547" s="48">
        <f t="shared" si="138"/>
        <v>0</v>
      </c>
      <c r="H547" s="48">
        <f t="shared" si="138"/>
        <v>0</v>
      </c>
      <c r="I547" s="48">
        <f t="shared" si="138"/>
        <v>5253.24</v>
      </c>
    </row>
    <row r="548" spans="1:9" ht="12.9" x14ac:dyDescent="0.35">
      <c r="A548" s="54" t="s">
        <v>53</v>
      </c>
      <c r="B548" s="56" t="s">
        <v>32</v>
      </c>
      <c r="C548" s="48">
        <f t="shared" si="126"/>
        <v>51088.826999999997</v>
      </c>
      <c r="D548" s="48">
        <f>D550+D552+D554</f>
        <v>6805.0869999999995</v>
      </c>
      <c r="E548" s="48">
        <f t="shared" ref="E548:I549" si="139">E550+E552+E554</f>
        <v>38446.5</v>
      </c>
      <c r="F548" s="48">
        <f t="shared" si="139"/>
        <v>630</v>
      </c>
      <c r="G548" s="48">
        <f t="shared" si="139"/>
        <v>0</v>
      </c>
      <c r="H548" s="48">
        <f t="shared" si="139"/>
        <v>0</v>
      </c>
      <c r="I548" s="48">
        <f t="shared" si="139"/>
        <v>5207.24</v>
      </c>
    </row>
    <row r="549" spans="1:9" x14ac:dyDescent="0.3">
      <c r="A549" s="37"/>
      <c r="B549" s="38" t="s">
        <v>33</v>
      </c>
      <c r="C549" s="48">
        <f t="shared" si="126"/>
        <v>51088.826999999997</v>
      </c>
      <c r="D549" s="48">
        <f>D551+D553+D555</f>
        <v>6805.0869999999995</v>
      </c>
      <c r="E549" s="48">
        <f>E551+E553+E555</f>
        <v>38446.5</v>
      </c>
      <c r="F549" s="48">
        <f t="shared" si="139"/>
        <v>630</v>
      </c>
      <c r="G549" s="48">
        <f t="shared" si="139"/>
        <v>0</v>
      </c>
      <c r="H549" s="48">
        <f t="shared" si="139"/>
        <v>0</v>
      </c>
      <c r="I549" s="48">
        <f t="shared" si="139"/>
        <v>5207.24</v>
      </c>
    </row>
    <row r="550" spans="1:9" x14ac:dyDescent="0.3">
      <c r="A550" s="71" t="s">
        <v>43</v>
      </c>
      <c r="B550" s="56" t="s">
        <v>32</v>
      </c>
      <c r="C550" s="48">
        <f t="shared" si="126"/>
        <v>32431.32</v>
      </c>
      <c r="D550" s="48">
        <f>D634</f>
        <v>1586.82</v>
      </c>
      <c r="E550" s="48">
        <f t="shared" ref="E550:I553" si="140">E634</f>
        <v>30844.5</v>
      </c>
      <c r="F550" s="48">
        <f t="shared" si="140"/>
        <v>0</v>
      </c>
      <c r="G550" s="48">
        <f t="shared" si="140"/>
        <v>0</v>
      </c>
      <c r="H550" s="48">
        <f t="shared" si="140"/>
        <v>0</v>
      </c>
      <c r="I550" s="48">
        <f t="shared" si="140"/>
        <v>0</v>
      </c>
    </row>
    <row r="551" spans="1:9" x14ac:dyDescent="0.3">
      <c r="A551" s="37"/>
      <c r="B551" s="38" t="s">
        <v>33</v>
      </c>
      <c r="C551" s="48">
        <f t="shared" si="126"/>
        <v>32431.32</v>
      </c>
      <c r="D551" s="48">
        <f>D635</f>
        <v>1586.82</v>
      </c>
      <c r="E551" s="48">
        <f t="shared" si="140"/>
        <v>30844.5</v>
      </c>
      <c r="F551" s="48">
        <f t="shared" si="140"/>
        <v>0</v>
      </c>
      <c r="G551" s="48">
        <f t="shared" si="140"/>
        <v>0</v>
      </c>
      <c r="H551" s="48">
        <f t="shared" si="140"/>
        <v>0</v>
      </c>
      <c r="I551" s="48">
        <f t="shared" si="140"/>
        <v>0</v>
      </c>
    </row>
    <row r="552" spans="1:9" x14ac:dyDescent="0.3">
      <c r="A552" s="72" t="s">
        <v>44</v>
      </c>
      <c r="B552" s="56" t="s">
        <v>32</v>
      </c>
      <c r="C552" s="48">
        <f t="shared" si="126"/>
        <v>65</v>
      </c>
      <c r="D552" s="48">
        <f>D636</f>
        <v>65</v>
      </c>
      <c r="E552" s="48">
        <f t="shared" si="140"/>
        <v>0</v>
      </c>
      <c r="F552" s="48">
        <f t="shared" si="140"/>
        <v>0</v>
      </c>
      <c r="G552" s="48">
        <f t="shared" si="140"/>
        <v>0</v>
      </c>
      <c r="H552" s="48">
        <f t="shared" si="140"/>
        <v>0</v>
      </c>
      <c r="I552" s="48">
        <f t="shared" si="140"/>
        <v>0</v>
      </c>
    </row>
    <row r="553" spans="1:9" x14ac:dyDescent="0.3">
      <c r="A553" s="37"/>
      <c r="B553" s="38" t="s">
        <v>33</v>
      </c>
      <c r="C553" s="48">
        <f t="shared" si="126"/>
        <v>65</v>
      </c>
      <c r="D553" s="48">
        <f>D637</f>
        <v>65</v>
      </c>
      <c r="E553" s="48">
        <f t="shared" si="140"/>
        <v>0</v>
      </c>
      <c r="F553" s="48">
        <f t="shared" si="140"/>
        <v>0</v>
      </c>
      <c r="G553" s="48">
        <f t="shared" si="140"/>
        <v>0</v>
      </c>
      <c r="H553" s="48">
        <f t="shared" si="140"/>
        <v>0</v>
      </c>
      <c r="I553" s="48">
        <f t="shared" si="140"/>
        <v>0</v>
      </c>
    </row>
    <row r="554" spans="1:9" ht="12.9" x14ac:dyDescent="0.35">
      <c r="A554" s="73" t="s">
        <v>54</v>
      </c>
      <c r="B554" s="47" t="s">
        <v>32</v>
      </c>
      <c r="C554" s="48">
        <f t="shared" si="126"/>
        <v>18592.506999999998</v>
      </c>
      <c r="D554" s="48">
        <f t="shared" ref="D554:I555" si="141">D638+D1477+D2180</f>
        <v>5153.2669999999998</v>
      </c>
      <c r="E554" s="48">
        <f t="shared" si="141"/>
        <v>7602</v>
      </c>
      <c r="F554" s="48">
        <f t="shared" si="141"/>
        <v>630</v>
      </c>
      <c r="G554" s="48">
        <f t="shared" si="141"/>
        <v>0</v>
      </c>
      <c r="H554" s="48">
        <f t="shared" si="141"/>
        <v>0</v>
      </c>
      <c r="I554" s="48">
        <f t="shared" si="141"/>
        <v>5207.24</v>
      </c>
    </row>
    <row r="555" spans="1:9" x14ac:dyDescent="0.3">
      <c r="A555" s="63"/>
      <c r="B555" s="53" t="s">
        <v>33</v>
      </c>
      <c r="C555" s="48">
        <f t="shared" si="126"/>
        <v>18592.506999999998</v>
      </c>
      <c r="D555" s="48">
        <f t="shared" si="141"/>
        <v>5153.2669999999998</v>
      </c>
      <c r="E555" s="48">
        <f t="shared" si="141"/>
        <v>7602</v>
      </c>
      <c r="F555" s="48">
        <f t="shared" si="141"/>
        <v>630</v>
      </c>
      <c r="G555" s="48">
        <f t="shared" si="141"/>
        <v>0</v>
      </c>
      <c r="H555" s="48">
        <f t="shared" si="141"/>
        <v>0</v>
      </c>
      <c r="I555" s="48">
        <f t="shared" si="141"/>
        <v>5207.24</v>
      </c>
    </row>
    <row r="556" spans="1:9" ht="12.9" x14ac:dyDescent="0.35">
      <c r="A556" s="54" t="s">
        <v>55</v>
      </c>
      <c r="B556" s="47" t="s">
        <v>32</v>
      </c>
      <c r="C556" s="48">
        <f t="shared" si="126"/>
        <v>9035.41</v>
      </c>
      <c r="D556" s="48">
        <f>D2182</f>
        <v>823.41000000000008</v>
      </c>
      <c r="E556" s="48">
        <f t="shared" ref="E556:I557" si="142">E2182</f>
        <v>8166</v>
      </c>
      <c r="F556" s="48">
        <f t="shared" si="142"/>
        <v>0</v>
      </c>
      <c r="G556" s="48">
        <f t="shared" si="142"/>
        <v>0</v>
      </c>
      <c r="H556" s="48">
        <f t="shared" si="142"/>
        <v>0</v>
      </c>
      <c r="I556" s="48">
        <f t="shared" si="142"/>
        <v>46</v>
      </c>
    </row>
    <row r="557" spans="1:9" x14ac:dyDescent="0.3">
      <c r="A557" s="63"/>
      <c r="B557" s="53" t="s">
        <v>33</v>
      </c>
      <c r="C557" s="48">
        <f t="shared" si="126"/>
        <v>9035.41</v>
      </c>
      <c r="D557" s="48">
        <f>D2183</f>
        <v>823.41000000000008</v>
      </c>
      <c r="E557" s="48">
        <f t="shared" si="142"/>
        <v>8166</v>
      </c>
      <c r="F557" s="48">
        <f t="shared" si="142"/>
        <v>0</v>
      </c>
      <c r="G557" s="48">
        <f t="shared" si="142"/>
        <v>0</v>
      </c>
      <c r="H557" s="48">
        <f t="shared" si="142"/>
        <v>0</v>
      </c>
      <c r="I557" s="48">
        <f t="shared" si="142"/>
        <v>46</v>
      </c>
    </row>
    <row r="558" spans="1:9" x14ac:dyDescent="0.3">
      <c r="A558" s="1069" t="s">
        <v>245</v>
      </c>
      <c r="B558" s="1070"/>
      <c r="C558" s="1070"/>
      <c r="D558" s="1070"/>
      <c r="E558" s="1070"/>
      <c r="F558" s="1070"/>
      <c r="G558" s="1070"/>
      <c r="H558" s="1070"/>
      <c r="I558" s="1071"/>
    </row>
    <row r="559" spans="1:9" x14ac:dyDescent="0.3">
      <c r="A559" s="1010" t="s">
        <v>57</v>
      </c>
      <c r="B559" s="1011"/>
      <c r="C559" s="1011"/>
      <c r="D559" s="1011"/>
      <c r="E559" s="1011"/>
      <c r="F559" s="1011"/>
      <c r="G559" s="1011"/>
      <c r="H559" s="1011"/>
      <c r="I559" s="1012"/>
    </row>
    <row r="560" spans="1:9" x14ac:dyDescent="0.3">
      <c r="A560" s="245" t="s">
        <v>31</v>
      </c>
      <c r="B560" s="35" t="s">
        <v>32</v>
      </c>
      <c r="C560" s="36">
        <f>D560+E560+F560+G560+H560+I560</f>
        <v>6170.2</v>
      </c>
      <c r="D560" s="36">
        <f t="shared" ref="D560:I567" si="143">D562</f>
        <v>3704</v>
      </c>
      <c r="E560" s="36">
        <f t="shared" si="143"/>
        <v>710.2</v>
      </c>
      <c r="F560" s="36">
        <f t="shared" si="143"/>
        <v>1730</v>
      </c>
      <c r="G560" s="36">
        <f t="shared" si="143"/>
        <v>0</v>
      </c>
      <c r="H560" s="36">
        <f t="shared" si="143"/>
        <v>0</v>
      </c>
      <c r="I560" s="36">
        <f t="shared" si="143"/>
        <v>26</v>
      </c>
    </row>
    <row r="561" spans="1:9" x14ac:dyDescent="0.3">
      <c r="A561" s="245"/>
      <c r="B561" s="38" t="s">
        <v>33</v>
      </c>
      <c r="C561" s="36">
        <f>D561+E561+F561+G561+H561+I561</f>
        <v>6170.2</v>
      </c>
      <c r="D561" s="36">
        <f t="shared" si="143"/>
        <v>3704</v>
      </c>
      <c r="E561" s="36">
        <f t="shared" si="143"/>
        <v>710.2</v>
      </c>
      <c r="F561" s="36">
        <f t="shared" si="143"/>
        <v>1730</v>
      </c>
      <c r="G561" s="36">
        <f t="shared" si="143"/>
        <v>0</v>
      </c>
      <c r="H561" s="36">
        <f t="shared" si="143"/>
        <v>0</v>
      </c>
      <c r="I561" s="36">
        <f t="shared" si="143"/>
        <v>26</v>
      </c>
    </row>
    <row r="562" spans="1:9" x14ac:dyDescent="0.3">
      <c r="A562" s="149" t="s">
        <v>246</v>
      </c>
      <c r="B562" s="35" t="s">
        <v>32</v>
      </c>
      <c r="C562" s="48">
        <f t="shared" ref="C562:C563" si="144">D562+E562+F562+G562+H562+I562</f>
        <v>6170.2</v>
      </c>
      <c r="D562" s="48">
        <f t="shared" si="143"/>
        <v>3704</v>
      </c>
      <c r="E562" s="48">
        <f t="shared" si="143"/>
        <v>710.2</v>
      </c>
      <c r="F562" s="48">
        <f t="shared" si="143"/>
        <v>1730</v>
      </c>
      <c r="G562" s="48">
        <f t="shared" si="143"/>
        <v>0</v>
      </c>
      <c r="H562" s="48">
        <f t="shared" si="143"/>
        <v>0</v>
      </c>
      <c r="I562" s="48">
        <f t="shared" si="143"/>
        <v>26</v>
      </c>
    </row>
    <row r="563" spans="1:9" x14ac:dyDescent="0.3">
      <c r="A563" s="37" t="s">
        <v>35</v>
      </c>
      <c r="B563" s="38" t="s">
        <v>33</v>
      </c>
      <c r="C563" s="48">
        <f t="shared" si="144"/>
        <v>6170.2</v>
      </c>
      <c r="D563" s="48">
        <f t="shared" si="143"/>
        <v>3704</v>
      </c>
      <c r="E563" s="48">
        <f t="shared" si="143"/>
        <v>710.2</v>
      </c>
      <c r="F563" s="48">
        <f t="shared" si="143"/>
        <v>1730</v>
      </c>
      <c r="G563" s="48">
        <f t="shared" si="143"/>
        <v>0</v>
      </c>
      <c r="H563" s="48">
        <f t="shared" si="143"/>
        <v>0</v>
      </c>
      <c r="I563" s="48">
        <f t="shared" si="143"/>
        <v>26</v>
      </c>
    </row>
    <row r="564" spans="1:9" ht="12.9" x14ac:dyDescent="0.35">
      <c r="A564" s="54" t="s">
        <v>40</v>
      </c>
      <c r="B564" s="56" t="s">
        <v>32</v>
      </c>
      <c r="C564" s="48">
        <f>C566</f>
        <v>180</v>
      </c>
      <c r="D564" s="48">
        <f t="shared" si="143"/>
        <v>3704</v>
      </c>
      <c r="E564" s="48">
        <f t="shared" si="143"/>
        <v>710.2</v>
      </c>
      <c r="F564" s="48">
        <f t="shared" si="143"/>
        <v>1730</v>
      </c>
      <c r="G564" s="48">
        <f t="shared" si="143"/>
        <v>0</v>
      </c>
      <c r="H564" s="48">
        <f t="shared" si="143"/>
        <v>0</v>
      </c>
      <c r="I564" s="48">
        <f t="shared" si="143"/>
        <v>26</v>
      </c>
    </row>
    <row r="565" spans="1:9" x14ac:dyDescent="0.3">
      <c r="A565" s="37"/>
      <c r="B565" s="38" t="s">
        <v>33</v>
      </c>
      <c r="C565" s="48">
        <f>C567</f>
        <v>180</v>
      </c>
      <c r="D565" s="48">
        <f t="shared" si="143"/>
        <v>3704</v>
      </c>
      <c r="E565" s="48">
        <f t="shared" si="143"/>
        <v>710.2</v>
      </c>
      <c r="F565" s="48">
        <f t="shared" si="143"/>
        <v>1730</v>
      </c>
      <c r="G565" s="48">
        <f t="shared" si="143"/>
        <v>0</v>
      </c>
      <c r="H565" s="48">
        <f t="shared" si="143"/>
        <v>0</v>
      </c>
      <c r="I565" s="48">
        <f t="shared" si="143"/>
        <v>26</v>
      </c>
    </row>
    <row r="566" spans="1:9" ht="12.9" x14ac:dyDescent="0.35">
      <c r="A566" s="55" t="s">
        <v>41</v>
      </c>
      <c r="B566" s="56" t="s">
        <v>32</v>
      </c>
      <c r="C566" s="48">
        <f>C568</f>
        <v>180</v>
      </c>
      <c r="D566" s="48">
        <f t="shared" si="143"/>
        <v>3704</v>
      </c>
      <c r="E566" s="48">
        <f t="shared" si="143"/>
        <v>710.2</v>
      </c>
      <c r="F566" s="48">
        <f t="shared" si="143"/>
        <v>1730</v>
      </c>
      <c r="G566" s="48">
        <f t="shared" si="143"/>
        <v>0</v>
      </c>
      <c r="H566" s="48">
        <f t="shared" si="143"/>
        <v>0</v>
      </c>
      <c r="I566" s="48">
        <f t="shared" si="143"/>
        <v>26</v>
      </c>
    </row>
    <row r="567" spans="1:9" x14ac:dyDescent="0.3">
      <c r="A567" s="37"/>
      <c r="B567" s="38" t="s">
        <v>33</v>
      </c>
      <c r="C567" s="48">
        <f>C569</f>
        <v>180</v>
      </c>
      <c r="D567" s="48">
        <f t="shared" si="143"/>
        <v>3704</v>
      </c>
      <c r="E567" s="48">
        <f t="shared" si="143"/>
        <v>710.2</v>
      </c>
      <c r="F567" s="48">
        <f t="shared" si="143"/>
        <v>1730</v>
      </c>
      <c r="G567" s="48">
        <f t="shared" si="143"/>
        <v>0</v>
      </c>
      <c r="H567" s="48">
        <f t="shared" si="143"/>
        <v>0</v>
      </c>
      <c r="I567" s="48">
        <f t="shared" si="143"/>
        <v>26</v>
      </c>
    </row>
    <row r="568" spans="1:9" ht="12.9" x14ac:dyDescent="0.35">
      <c r="A568" s="250" t="s">
        <v>45</v>
      </c>
      <c r="B568" s="56" t="s">
        <v>32</v>
      </c>
      <c r="C568" s="48">
        <f>C579</f>
        <v>180</v>
      </c>
      <c r="D568" s="48">
        <f t="shared" ref="D568:I569" si="145">D579+D594</f>
        <v>3704</v>
      </c>
      <c r="E568" s="48">
        <f t="shared" si="145"/>
        <v>710.2</v>
      </c>
      <c r="F568" s="48">
        <f t="shared" si="145"/>
        <v>1730</v>
      </c>
      <c r="G568" s="48">
        <f t="shared" si="145"/>
        <v>0</v>
      </c>
      <c r="H568" s="48">
        <f t="shared" si="145"/>
        <v>0</v>
      </c>
      <c r="I568" s="48">
        <f t="shared" si="145"/>
        <v>26</v>
      </c>
    </row>
    <row r="569" spans="1:9" x14ac:dyDescent="0.3">
      <c r="A569" s="37"/>
      <c r="B569" s="38" t="s">
        <v>33</v>
      </c>
      <c r="C569" s="48">
        <f>C580</f>
        <v>180</v>
      </c>
      <c r="D569" s="48">
        <f t="shared" si="145"/>
        <v>3704</v>
      </c>
      <c r="E569" s="48">
        <f t="shared" si="145"/>
        <v>710.2</v>
      </c>
      <c r="F569" s="48">
        <f t="shared" si="145"/>
        <v>1730</v>
      </c>
      <c r="G569" s="48">
        <f t="shared" si="145"/>
        <v>0</v>
      </c>
      <c r="H569" s="48">
        <f t="shared" si="145"/>
        <v>0</v>
      </c>
      <c r="I569" s="48">
        <f t="shared" si="145"/>
        <v>26</v>
      </c>
    </row>
    <row r="570" spans="1:9" x14ac:dyDescent="0.3">
      <c r="A570" s="1041" t="s">
        <v>62</v>
      </c>
      <c r="B570" s="1043"/>
      <c r="C570" s="1043"/>
      <c r="D570" s="1043"/>
      <c r="E570" s="1043"/>
      <c r="F570" s="1043"/>
      <c r="G570" s="1043"/>
      <c r="H570" s="1043"/>
      <c r="I570" s="1044"/>
    </row>
    <row r="571" spans="1:9" ht="13.5" customHeight="1" x14ac:dyDescent="0.3">
      <c r="A571" s="251" t="s">
        <v>57</v>
      </c>
      <c r="B571" s="12" t="s">
        <v>32</v>
      </c>
      <c r="C571" s="36">
        <f t="shared" ref="C571:C584" si="146">D571+E571+F571+G571+H571+I571</f>
        <v>180</v>
      </c>
      <c r="D571" s="36">
        <f t="shared" ref="D571:I578" si="147">D573</f>
        <v>154</v>
      </c>
      <c r="E571" s="36">
        <f t="shared" si="147"/>
        <v>0</v>
      </c>
      <c r="F571" s="36">
        <f t="shared" si="147"/>
        <v>0</v>
      </c>
      <c r="G571" s="36">
        <f t="shared" si="147"/>
        <v>0</v>
      </c>
      <c r="H571" s="36">
        <f t="shared" si="147"/>
        <v>0</v>
      </c>
      <c r="I571" s="36">
        <f t="shared" si="147"/>
        <v>26</v>
      </c>
    </row>
    <row r="572" spans="1:9" x14ac:dyDescent="0.3">
      <c r="A572" s="60" t="s">
        <v>247</v>
      </c>
      <c r="B572" s="23" t="s">
        <v>33</v>
      </c>
      <c r="C572" s="36">
        <f t="shared" si="146"/>
        <v>180</v>
      </c>
      <c r="D572" s="36">
        <f t="shared" si="147"/>
        <v>154</v>
      </c>
      <c r="E572" s="36">
        <f t="shared" si="147"/>
        <v>0</v>
      </c>
      <c r="F572" s="36">
        <f t="shared" si="147"/>
        <v>0</v>
      </c>
      <c r="G572" s="36">
        <f t="shared" si="147"/>
        <v>0</v>
      </c>
      <c r="H572" s="36">
        <f t="shared" si="147"/>
        <v>0</v>
      </c>
      <c r="I572" s="36">
        <f t="shared" si="147"/>
        <v>26</v>
      </c>
    </row>
    <row r="573" spans="1:9" x14ac:dyDescent="0.3">
      <c r="A573" s="149" t="s">
        <v>246</v>
      </c>
      <c r="B573" s="56" t="s">
        <v>32</v>
      </c>
      <c r="C573" s="48">
        <f t="shared" si="146"/>
        <v>180</v>
      </c>
      <c r="D573" s="48">
        <f t="shared" si="147"/>
        <v>154</v>
      </c>
      <c r="E573" s="48">
        <f t="shared" si="147"/>
        <v>0</v>
      </c>
      <c r="F573" s="48">
        <f t="shared" si="147"/>
        <v>0</v>
      </c>
      <c r="G573" s="48">
        <f t="shared" si="147"/>
        <v>0</v>
      </c>
      <c r="H573" s="48">
        <f t="shared" si="147"/>
        <v>0</v>
      </c>
      <c r="I573" s="48">
        <f t="shared" si="147"/>
        <v>26</v>
      </c>
    </row>
    <row r="574" spans="1:9" x14ac:dyDescent="0.3">
      <c r="A574" s="37" t="s">
        <v>35</v>
      </c>
      <c r="B574" s="38" t="s">
        <v>33</v>
      </c>
      <c r="C574" s="48">
        <f t="shared" si="146"/>
        <v>180</v>
      </c>
      <c r="D574" s="48">
        <f t="shared" si="147"/>
        <v>154</v>
      </c>
      <c r="E574" s="48">
        <f t="shared" si="147"/>
        <v>0</v>
      </c>
      <c r="F574" s="48">
        <f t="shared" si="147"/>
        <v>0</v>
      </c>
      <c r="G574" s="48">
        <f t="shared" si="147"/>
        <v>0</v>
      </c>
      <c r="H574" s="48">
        <f t="shared" si="147"/>
        <v>0</v>
      </c>
      <c r="I574" s="48">
        <f t="shared" si="147"/>
        <v>26</v>
      </c>
    </row>
    <row r="575" spans="1:9" ht="12.9" x14ac:dyDescent="0.35">
      <c r="A575" s="54" t="s">
        <v>40</v>
      </c>
      <c r="B575" s="56" t="s">
        <v>32</v>
      </c>
      <c r="C575" s="48">
        <f t="shared" si="146"/>
        <v>180</v>
      </c>
      <c r="D575" s="48">
        <f t="shared" si="147"/>
        <v>154</v>
      </c>
      <c r="E575" s="48">
        <f t="shared" si="147"/>
        <v>0</v>
      </c>
      <c r="F575" s="48">
        <f t="shared" si="147"/>
        <v>0</v>
      </c>
      <c r="G575" s="48">
        <f t="shared" si="147"/>
        <v>0</v>
      </c>
      <c r="H575" s="48">
        <f t="shared" si="147"/>
        <v>0</v>
      </c>
      <c r="I575" s="48">
        <f t="shared" si="147"/>
        <v>26</v>
      </c>
    </row>
    <row r="576" spans="1:9" x14ac:dyDescent="0.3">
      <c r="A576" s="37"/>
      <c r="B576" s="38" t="s">
        <v>33</v>
      </c>
      <c r="C576" s="48">
        <f t="shared" si="146"/>
        <v>180</v>
      </c>
      <c r="D576" s="48">
        <f t="shared" si="147"/>
        <v>154</v>
      </c>
      <c r="E576" s="48">
        <f t="shared" si="147"/>
        <v>0</v>
      </c>
      <c r="F576" s="48">
        <f t="shared" si="147"/>
        <v>0</v>
      </c>
      <c r="G576" s="48">
        <f t="shared" si="147"/>
        <v>0</v>
      </c>
      <c r="H576" s="48">
        <f t="shared" si="147"/>
        <v>0</v>
      </c>
      <c r="I576" s="48">
        <f t="shared" si="147"/>
        <v>26</v>
      </c>
    </row>
    <row r="577" spans="1:9" ht="12.9" x14ac:dyDescent="0.35">
      <c r="A577" s="55" t="s">
        <v>41</v>
      </c>
      <c r="B577" s="56" t="s">
        <v>32</v>
      </c>
      <c r="C577" s="48">
        <f t="shared" si="146"/>
        <v>180</v>
      </c>
      <c r="D577" s="41">
        <f t="shared" si="147"/>
        <v>154</v>
      </c>
      <c r="E577" s="41">
        <f t="shared" si="147"/>
        <v>0</v>
      </c>
      <c r="F577" s="41">
        <f t="shared" si="147"/>
        <v>0</v>
      </c>
      <c r="G577" s="41">
        <f t="shared" si="147"/>
        <v>0</v>
      </c>
      <c r="H577" s="41">
        <f t="shared" si="147"/>
        <v>0</v>
      </c>
      <c r="I577" s="41">
        <f t="shared" si="147"/>
        <v>26</v>
      </c>
    </row>
    <row r="578" spans="1:9" x14ac:dyDescent="0.3">
      <c r="A578" s="37"/>
      <c r="B578" s="38" t="s">
        <v>33</v>
      </c>
      <c r="C578" s="48">
        <f t="shared" si="146"/>
        <v>180</v>
      </c>
      <c r="D578" s="41">
        <f t="shared" si="147"/>
        <v>154</v>
      </c>
      <c r="E578" s="41">
        <f t="shared" si="147"/>
        <v>0</v>
      </c>
      <c r="F578" s="41">
        <f t="shared" si="147"/>
        <v>0</v>
      </c>
      <c r="G578" s="41">
        <f t="shared" si="147"/>
        <v>0</v>
      </c>
      <c r="H578" s="41">
        <f t="shared" si="147"/>
        <v>0</v>
      </c>
      <c r="I578" s="41">
        <f t="shared" si="147"/>
        <v>26</v>
      </c>
    </row>
    <row r="579" spans="1:9" ht="12.9" x14ac:dyDescent="0.35">
      <c r="A579" s="250" t="s">
        <v>45</v>
      </c>
      <c r="B579" s="56" t="s">
        <v>32</v>
      </c>
      <c r="C579" s="48">
        <f t="shared" si="146"/>
        <v>180</v>
      </c>
      <c r="D579" s="48">
        <f>D581+D583</f>
        <v>154</v>
      </c>
      <c r="E579" s="48">
        <f t="shared" ref="E579:I580" si="148">E581+E583</f>
        <v>0</v>
      </c>
      <c r="F579" s="48">
        <f t="shared" si="148"/>
        <v>0</v>
      </c>
      <c r="G579" s="48">
        <f t="shared" si="148"/>
        <v>0</v>
      </c>
      <c r="H579" s="48">
        <f t="shared" si="148"/>
        <v>0</v>
      </c>
      <c r="I579" s="48">
        <f t="shared" si="148"/>
        <v>26</v>
      </c>
    </row>
    <row r="580" spans="1:9" x14ac:dyDescent="0.3">
      <c r="A580" s="37"/>
      <c r="B580" s="38" t="s">
        <v>33</v>
      </c>
      <c r="C580" s="48">
        <f t="shared" si="146"/>
        <v>180</v>
      </c>
      <c r="D580" s="48">
        <f>D582+D584</f>
        <v>154</v>
      </c>
      <c r="E580" s="48">
        <f t="shared" si="148"/>
        <v>0</v>
      </c>
      <c r="F580" s="48">
        <f t="shared" si="148"/>
        <v>0</v>
      </c>
      <c r="G580" s="48">
        <f t="shared" si="148"/>
        <v>0</v>
      </c>
      <c r="H580" s="48">
        <f t="shared" si="148"/>
        <v>0</v>
      </c>
      <c r="I580" s="48">
        <f t="shared" si="148"/>
        <v>26</v>
      </c>
    </row>
    <row r="581" spans="1:9" s="65" customFormat="1" ht="27" customHeight="1" x14ac:dyDescent="0.3">
      <c r="A581" s="109" t="s">
        <v>248</v>
      </c>
      <c r="B581" s="40" t="s">
        <v>32</v>
      </c>
      <c r="C581" s="41">
        <f t="shared" si="146"/>
        <v>100</v>
      </c>
      <c r="D581" s="41">
        <v>74</v>
      </c>
      <c r="E581" s="41">
        <v>0</v>
      </c>
      <c r="F581" s="41">
        <v>0</v>
      </c>
      <c r="G581" s="41">
        <v>0</v>
      </c>
      <c r="H581" s="41">
        <v>0</v>
      </c>
      <c r="I581" s="41">
        <f>100-74</f>
        <v>26</v>
      </c>
    </row>
    <row r="582" spans="1:9" x14ac:dyDescent="0.3">
      <c r="A582" s="63"/>
      <c r="B582" s="44" t="s">
        <v>33</v>
      </c>
      <c r="C582" s="41">
        <f t="shared" si="146"/>
        <v>100</v>
      </c>
      <c r="D582" s="41">
        <v>74</v>
      </c>
      <c r="E582" s="41">
        <v>0</v>
      </c>
      <c r="F582" s="41">
        <v>0</v>
      </c>
      <c r="G582" s="41">
        <v>0</v>
      </c>
      <c r="H582" s="41">
        <v>0</v>
      </c>
      <c r="I582" s="41">
        <f>100-74</f>
        <v>26</v>
      </c>
    </row>
    <row r="583" spans="1:9" s="65" customFormat="1" ht="27.75" customHeight="1" x14ac:dyDescent="0.3">
      <c r="A583" s="252" t="s">
        <v>249</v>
      </c>
      <c r="B583" s="40" t="s">
        <v>32</v>
      </c>
      <c r="C583" s="41">
        <f t="shared" si="146"/>
        <v>80</v>
      </c>
      <c r="D583" s="41">
        <v>80</v>
      </c>
      <c r="E583" s="41">
        <v>0</v>
      </c>
      <c r="F583" s="41">
        <v>0</v>
      </c>
      <c r="G583" s="41">
        <v>0</v>
      </c>
      <c r="H583" s="41">
        <v>0</v>
      </c>
      <c r="I583" s="41">
        <v>0</v>
      </c>
    </row>
    <row r="584" spans="1:9" x14ac:dyDescent="0.3">
      <c r="A584" s="63"/>
      <c r="B584" s="44" t="s">
        <v>33</v>
      </c>
      <c r="C584" s="41">
        <f t="shared" si="146"/>
        <v>80</v>
      </c>
      <c r="D584" s="41">
        <v>80</v>
      </c>
      <c r="E584" s="41">
        <v>0</v>
      </c>
      <c r="F584" s="41">
        <v>0</v>
      </c>
      <c r="G584" s="41">
        <v>0</v>
      </c>
      <c r="H584" s="41">
        <v>0</v>
      </c>
      <c r="I584" s="41">
        <v>0</v>
      </c>
    </row>
    <row r="585" spans="1:9" x14ac:dyDescent="0.3">
      <c r="A585" s="1045" t="s">
        <v>250</v>
      </c>
      <c r="B585" s="1120"/>
      <c r="C585" s="1120"/>
      <c r="D585" s="1120"/>
      <c r="E585" s="1120"/>
      <c r="F585" s="1120"/>
      <c r="G585" s="1120"/>
      <c r="H585" s="1120"/>
      <c r="I585" s="1121"/>
    </row>
    <row r="586" spans="1:9" ht="13.5" customHeight="1" x14ac:dyDescent="0.3">
      <c r="A586" s="251" t="s">
        <v>57</v>
      </c>
      <c r="B586" s="12" t="s">
        <v>32</v>
      </c>
      <c r="C586" s="36">
        <f t="shared" ref="C586:C603" si="149">D586+E586+F586+G586+H586+I586</f>
        <v>5990.2</v>
      </c>
      <c r="D586" s="36">
        <f t="shared" ref="D586:I595" si="150">D588</f>
        <v>3550</v>
      </c>
      <c r="E586" s="36">
        <f t="shared" si="150"/>
        <v>710.2</v>
      </c>
      <c r="F586" s="36">
        <f t="shared" si="150"/>
        <v>1730</v>
      </c>
      <c r="G586" s="36">
        <f t="shared" si="150"/>
        <v>0</v>
      </c>
      <c r="H586" s="36">
        <f t="shared" si="150"/>
        <v>0</v>
      </c>
      <c r="I586" s="36">
        <f t="shared" si="150"/>
        <v>0</v>
      </c>
    </row>
    <row r="587" spans="1:9" x14ac:dyDescent="0.3">
      <c r="A587" s="60" t="s">
        <v>247</v>
      </c>
      <c r="B587" s="23" t="s">
        <v>33</v>
      </c>
      <c r="C587" s="36">
        <f t="shared" si="149"/>
        <v>5990.2</v>
      </c>
      <c r="D587" s="36">
        <f t="shared" si="150"/>
        <v>3550</v>
      </c>
      <c r="E587" s="36">
        <f t="shared" si="150"/>
        <v>710.2</v>
      </c>
      <c r="F587" s="36">
        <f t="shared" si="150"/>
        <v>1730</v>
      </c>
      <c r="G587" s="36">
        <f t="shared" si="150"/>
        <v>0</v>
      </c>
      <c r="H587" s="36">
        <f t="shared" si="150"/>
        <v>0</v>
      </c>
      <c r="I587" s="36">
        <f t="shared" si="150"/>
        <v>0</v>
      </c>
    </row>
    <row r="588" spans="1:9" x14ac:dyDescent="0.3">
      <c r="A588" s="149" t="s">
        <v>246</v>
      </c>
      <c r="B588" s="56" t="s">
        <v>32</v>
      </c>
      <c r="C588" s="48">
        <f t="shared" si="149"/>
        <v>5990.2</v>
      </c>
      <c r="D588" s="48">
        <f t="shared" si="150"/>
        <v>3550</v>
      </c>
      <c r="E588" s="48">
        <f t="shared" si="150"/>
        <v>710.2</v>
      </c>
      <c r="F588" s="48">
        <f t="shared" si="150"/>
        <v>1730</v>
      </c>
      <c r="G588" s="48">
        <f t="shared" si="150"/>
        <v>0</v>
      </c>
      <c r="H588" s="48">
        <f t="shared" si="150"/>
        <v>0</v>
      </c>
      <c r="I588" s="48">
        <f t="shared" si="150"/>
        <v>0</v>
      </c>
    </row>
    <row r="589" spans="1:9" x14ac:dyDescent="0.3">
      <c r="A589" s="37" t="s">
        <v>35</v>
      </c>
      <c r="B589" s="38" t="s">
        <v>33</v>
      </c>
      <c r="C589" s="48">
        <f t="shared" si="149"/>
        <v>5990.2</v>
      </c>
      <c r="D589" s="48">
        <f t="shared" si="150"/>
        <v>3550</v>
      </c>
      <c r="E589" s="48">
        <f t="shared" si="150"/>
        <v>710.2</v>
      </c>
      <c r="F589" s="48">
        <f t="shared" si="150"/>
        <v>1730</v>
      </c>
      <c r="G589" s="48">
        <f t="shared" si="150"/>
        <v>0</v>
      </c>
      <c r="H589" s="48">
        <f t="shared" si="150"/>
        <v>0</v>
      </c>
      <c r="I589" s="48">
        <f t="shared" si="150"/>
        <v>0</v>
      </c>
    </row>
    <row r="590" spans="1:9" ht="12.9" x14ac:dyDescent="0.35">
      <c r="A590" s="54" t="s">
        <v>40</v>
      </c>
      <c r="B590" s="56" t="s">
        <v>32</v>
      </c>
      <c r="C590" s="48">
        <f t="shared" si="149"/>
        <v>5990.2</v>
      </c>
      <c r="D590" s="48">
        <f t="shared" si="150"/>
        <v>3550</v>
      </c>
      <c r="E590" s="48">
        <f t="shared" si="150"/>
        <v>710.2</v>
      </c>
      <c r="F590" s="48">
        <f t="shared" si="150"/>
        <v>1730</v>
      </c>
      <c r="G590" s="48">
        <f t="shared" si="150"/>
        <v>0</v>
      </c>
      <c r="H590" s="48">
        <f t="shared" si="150"/>
        <v>0</v>
      </c>
      <c r="I590" s="48">
        <f t="shared" si="150"/>
        <v>0</v>
      </c>
    </row>
    <row r="591" spans="1:9" x14ac:dyDescent="0.3">
      <c r="A591" s="37"/>
      <c r="B591" s="38" t="s">
        <v>33</v>
      </c>
      <c r="C591" s="48">
        <f t="shared" si="149"/>
        <v>5990.2</v>
      </c>
      <c r="D591" s="48">
        <f t="shared" si="150"/>
        <v>3550</v>
      </c>
      <c r="E591" s="48">
        <f t="shared" si="150"/>
        <v>710.2</v>
      </c>
      <c r="F591" s="48">
        <f t="shared" si="150"/>
        <v>1730</v>
      </c>
      <c r="G591" s="48">
        <f t="shared" si="150"/>
        <v>0</v>
      </c>
      <c r="H591" s="48">
        <f t="shared" si="150"/>
        <v>0</v>
      </c>
      <c r="I591" s="48">
        <f t="shared" si="150"/>
        <v>0</v>
      </c>
    </row>
    <row r="592" spans="1:9" ht="12.9" x14ac:dyDescent="0.35">
      <c r="A592" s="55" t="s">
        <v>41</v>
      </c>
      <c r="B592" s="56" t="s">
        <v>32</v>
      </c>
      <c r="C592" s="48">
        <f t="shared" si="149"/>
        <v>5990.2</v>
      </c>
      <c r="D592" s="41">
        <f t="shared" si="150"/>
        <v>3550</v>
      </c>
      <c r="E592" s="41">
        <f t="shared" si="150"/>
        <v>710.2</v>
      </c>
      <c r="F592" s="41">
        <f t="shared" si="150"/>
        <v>1730</v>
      </c>
      <c r="G592" s="41">
        <f t="shared" si="150"/>
        <v>0</v>
      </c>
      <c r="H592" s="41">
        <f t="shared" si="150"/>
        <v>0</v>
      </c>
      <c r="I592" s="41">
        <f t="shared" si="150"/>
        <v>0</v>
      </c>
    </row>
    <row r="593" spans="1:9" x14ac:dyDescent="0.3">
      <c r="A593" s="37"/>
      <c r="B593" s="38" t="s">
        <v>33</v>
      </c>
      <c r="C593" s="48">
        <f t="shared" si="149"/>
        <v>5990.2</v>
      </c>
      <c r="D593" s="41">
        <f t="shared" si="150"/>
        <v>3550</v>
      </c>
      <c r="E593" s="41">
        <f t="shared" si="150"/>
        <v>710.2</v>
      </c>
      <c r="F593" s="41">
        <f t="shared" si="150"/>
        <v>1730</v>
      </c>
      <c r="G593" s="41">
        <f t="shared" si="150"/>
        <v>0</v>
      </c>
      <c r="H593" s="41">
        <f t="shared" si="150"/>
        <v>0</v>
      </c>
      <c r="I593" s="41">
        <f t="shared" si="150"/>
        <v>0</v>
      </c>
    </row>
    <row r="594" spans="1:9" ht="12.9" x14ac:dyDescent="0.35">
      <c r="A594" s="250" t="s">
        <v>45</v>
      </c>
      <c r="B594" s="56" t="s">
        <v>32</v>
      </c>
      <c r="C594" s="48">
        <f t="shared" si="149"/>
        <v>5990.2</v>
      </c>
      <c r="D594" s="48">
        <f>D596</f>
        <v>3550</v>
      </c>
      <c r="E594" s="48">
        <f t="shared" si="150"/>
        <v>710.2</v>
      </c>
      <c r="F594" s="48">
        <f t="shared" si="150"/>
        <v>1730</v>
      </c>
      <c r="G594" s="48">
        <f t="shared" si="150"/>
        <v>0</v>
      </c>
      <c r="H594" s="48">
        <f t="shared" si="150"/>
        <v>0</v>
      </c>
      <c r="I594" s="48">
        <f t="shared" si="150"/>
        <v>0</v>
      </c>
    </row>
    <row r="595" spans="1:9" x14ac:dyDescent="0.3">
      <c r="A595" s="37"/>
      <c r="B595" s="38" t="s">
        <v>33</v>
      </c>
      <c r="C595" s="48">
        <f t="shared" si="149"/>
        <v>5990.2</v>
      </c>
      <c r="D595" s="48">
        <f>D597</f>
        <v>3550</v>
      </c>
      <c r="E595" s="48">
        <f t="shared" si="150"/>
        <v>710.2</v>
      </c>
      <c r="F595" s="48">
        <f t="shared" si="150"/>
        <v>1730</v>
      </c>
      <c r="G595" s="48">
        <f t="shared" si="150"/>
        <v>0</v>
      </c>
      <c r="H595" s="48">
        <f t="shared" si="150"/>
        <v>0</v>
      </c>
      <c r="I595" s="48">
        <f t="shared" si="150"/>
        <v>0</v>
      </c>
    </row>
    <row r="596" spans="1:9" s="65" customFormat="1" ht="24.9" x14ac:dyDescent="0.3">
      <c r="A596" s="253" t="s">
        <v>103</v>
      </c>
      <c r="B596" s="40" t="s">
        <v>32</v>
      </c>
      <c r="C596" s="41">
        <f t="shared" si="149"/>
        <v>5990.2</v>
      </c>
      <c r="D596" s="41">
        <f>D598+D600+D602</f>
        <v>3550</v>
      </c>
      <c r="E596" s="41">
        <f t="shared" ref="E596:I597" si="151">E598+E600+E602</f>
        <v>710.2</v>
      </c>
      <c r="F596" s="41">
        <f t="shared" si="151"/>
        <v>1730</v>
      </c>
      <c r="G596" s="41">
        <f t="shared" si="151"/>
        <v>0</v>
      </c>
      <c r="H596" s="41">
        <f t="shared" si="151"/>
        <v>0</v>
      </c>
      <c r="I596" s="41">
        <f t="shared" si="151"/>
        <v>0</v>
      </c>
    </row>
    <row r="597" spans="1:9" x14ac:dyDescent="0.3">
      <c r="A597" s="63"/>
      <c r="B597" s="44" t="s">
        <v>33</v>
      </c>
      <c r="C597" s="41">
        <f t="shared" si="149"/>
        <v>5990.2</v>
      </c>
      <c r="D597" s="41">
        <f>D599+D601+D603</f>
        <v>3550</v>
      </c>
      <c r="E597" s="41">
        <f t="shared" si="151"/>
        <v>710.2</v>
      </c>
      <c r="F597" s="41">
        <f t="shared" si="151"/>
        <v>1730</v>
      </c>
      <c r="G597" s="41">
        <f t="shared" si="151"/>
        <v>0</v>
      </c>
      <c r="H597" s="41">
        <f t="shared" si="151"/>
        <v>0</v>
      </c>
      <c r="I597" s="41">
        <f t="shared" si="151"/>
        <v>0</v>
      </c>
    </row>
    <row r="598" spans="1:9" s="65" customFormat="1" ht="14.15" x14ac:dyDescent="0.35">
      <c r="A598" s="254" t="s">
        <v>251</v>
      </c>
      <c r="B598" s="40" t="s">
        <v>32</v>
      </c>
      <c r="C598" s="41">
        <f t="shared" si="149"/>
        <v>710.2</v>
      </c>
      <c r="D598" s="41">
        <v>0</v>
      </c>
      <c r="E598" s="41">
        <v>710.2</v>
      </c>
      <c r="F598" s="41">
        <v>0</v>
      </c>
      <c r="G598" s="41">
        <v>0</v>
      </c>
      <c r="H598" s="41">
        <v>0</v>
      </c>
      <c r="I598" s="41">
        <v>0</v>
      </c>
    </row>
    <row r="599" spans="1:9" x14ac:dyDescent="0.3">
      <c r="A599" s="63"/>
      <c r="B599" s="44" t="s">
        <v>33</v>
      </c>
      <c r="C599" s="41">
        <f t="shared" si="149"/>
        <v>710.2</v>
      </c>
      <c r="D599" s="41">
        <v>0</v>
      </c>
      <c r="E599" s="41">
        <v>710.2</v>
      </c>
      <c r="F599" s="41">
        <v>0</v>
      </c>
      <c r="G599" s="41">
        <v>0</v>
      </c>
      <c r="H599" s="41">
        <v>0</v>
      </c>
      <c r="I599" s="41">
        <v>0</v>
      </c>
    </row>
    <row r="600" spans="1:9" s="65" customFormat="1" ht="14.15" x14ac:dyDescent="0.35">
      <c r="A600" s="255" t="s">
        <v>252</v>
      </c>
      <c r="B600" s="40" t="s">
        <v>32</v>
      </c>
      <c r="C600" s="41">
        <f t="shared" si="149"/>
        <v>1021</v>
      </c>
      <c r="D600" s="41">
        <v>710</v>
      </c>
      <c r="E600" s="41">
        <v>0</v>
      </c>
      <c r="F600" s="41">
        <v>311</v>
      </c>
      <c r="G600" s="41">
        <v>0</v>
      </c>
      <c r="H600" s="41">
        <v>0</v>
      </c>
      <c r="I600" s="41">
        <v>0</v>
      </c>
    </row>
    <row r="601" spans="1:9" x14ac:dyDescent="0.3">
      <c r="A601" s="63"/>
      <c r="B601" s="44" t="s">
        <v>33</v>
      </c>
      <c r="C601" s="41">
        <f t="shared" si="149"/>
        <v>1021</v>
      </c>
      <c r="D601" s="41">
        <v>710</v>
      </c>
      <c r="E601" s="41">
        <v>0</v>
      </c>
      <c r="F601" s="41">
        <v>311</v>
      </c>
      <c r="G601" s="41">
        <v>0</v>
      </c>
      <c r="H601" s="41">
        <v>0</v>
      </c>
      <c r="I601" s="41">
        <v>0</v>
      </c>
    </row>
    <row r="602" spans="1:9" s="65" customFormat="1" ht="14.15" x14ac:dyDescent="0.35">
      <c r="A602" s="255" t="s">
        <v>253</v>
      </c>
      <c r="B602" s="40" t="s">
        <v>32</v>
      </c>
      <c r="C602" s="41">
        <f t="shared" si="149"/>
        <v>4259</v>
      </c>
      <c r="D602" s="41">
        <v>2840</v>
      </c>
      <c r="E602" s="41">
        <v>0</v>
      </c>
      <c r="F602" s="41">
        <v>1419</v>
      </c>
      <c r="G602" s="41">
        <v>0</v>
      </c>
      <c r="H602" s="41">
        <v>0</v>
      </c>
      <c r="I602" s="41">
        <v>0</v>
      </c>
    </row>
    <row r="603" spans="1:9" x14ac:dyDescent="0.3">
      <c r="A603" s="63"/>
      <c r="B603" s="44" t="s">
        <v>33</v>
      </c>
      <c r="C603" s="41">
        <f t="shared" si="149"/>
        <v>4259</v>
      </c>
      <c r="D603" s="41">
        <v>2840</v>
      </c>
      <c r="E603" s="41">
        <v>0</v>
      </c>
      <c r="F603" s="41">
        <v>1419</v>
      </c>
      <c r="G603" s="41">
        <v>0</v>
      </c>
      <c r="H603" s="41">
        <v>0</v>
      </c>
      <c r="I603" s="41">
        <v>0</v>
      </c>
    </row>
    <row r="604" spans="1:9" x14ac:dyDescent="0.3">
      <c r="A604" s="1122" t="s">
        <v>254</v>
      </c>
      <c r="B604" s="1070"/>
      <c r="C604" s="1070"/>
      <c r="D604" s="1070"/>
      <c r="E604" s="1070"/>
      <c r="F604" s="1070"/>
      <c r="G604" s="1070"/>
      <c r="H604" s="1070"/>
      <c r="I604" s="1071"/>
    </row>
    <row r="605" spans="1:9" x14ac:dyDescent="0.3">
      <c r="A605" s="1010" t="s">
        <v>57</v>
      </c>
      <c r="B605" s="1011"/>
      <c r="C605" s="1011"/>
      <c r="D605" s="1011"/>
      <c r="E605" s="1011"/>
      <c r="F605" s="1011"/>
      <c r="G605" s="1011"/>
      <c r="H605" s="1011"/>
      <c r="I605" s="1012"/>
    </row>
    <row r="606" spans="1:9" x14ac:dyDescent="0.3">
      <c r="A606" s="245" t="s">
        <v>31</v>
      </c>
      <c r="B606" s="56" t="s">
        <v>32</v>
      </c>
      <c r="C606" s="48">
        <f t="shared" ref="C606:C639" si="152">D606+E606+F606+G606+H606+I606</f>
        <v>151226.88999999998</v>
      </c>
      <c r="D606" s="48">
        <f t="shared" ref="D606:I607" si="153">D608+D624</f>
        <v>30608.310000000005</v>
      </c>
      <c r="E606" s="48">
        <f t="shared" si="153"/>
        <v>101082</v>
      </c>
      <c r="F606" s="48">
        <f t="shared" si="153"/>
        <v>17648</v>
      </c>
      <c r="G606" s="48">
        <f t="shared" si="153"/>
        <v>0</v>
      </c>
      <c r="H606" s="48">
        <f t="shared" si="153"/>
        <v>0</v>
      </c>
      <c r="I606" s="48">
        <f t="shared" si="153"/>
        <v>1888.58</v>
      </c>
    </row>
    <row r="607" spans="1:9" x14ac:dyDescent="0.3">
      <c r="A607" s="245"/>
      <c r="B607" s="38" t="s">
        <v>33</v>
      </c>
      <c r="C607" s="48">
        <f t="shared" si="152"/>
        <v>151226.88999999998</v>
      </c>
      <c r="D607" s="48">
        <f t="shared" si="153"/>
        <v>30608.310000000005</v>
      </c>
      <c r="E607" s="48">
        <f t="shared" si="153"/>
        <v>101082</v>
      </c>
      <c r="F607" s="48">
        <f t="shared" si="153"/>
        <v>17648</v>
      </c>
      <c r="G607" s="48">
        <f t="shared" si="153"/>
        <v>0</v>
      </c>
      <c r="H607" s="48">
        <f t="shared" si="153"/>
        <v>0</v>
      </c>
      <c r="I607" s="48">
        <f t="shared" si="153"/>
        <v>1888.58</v>
      </c>
    </row>
    <row r="608" spans="1:9" x14ac:dyDescent="0.3">
      <c r="A608" s="149" t="s">
        <v>246</v>
      </c>
      <c r="B608" s="56" t="s">
        <v>32</v>
      </c>
      <c r="C608" s="48">
        <f t="shared" si="152"/>
        <v>70709.100000000006</v>
      </c>
      <c r="D608" s="48">
        <f>D614+D612+D610</f>
        <v>2552.6000000000004</v>
      </c>
      <c r="E608" s="48">
        <f t="shared" ref="E608:I609" si="154">E614+E612+E610</f>
        <v>50468.5</v>
      </c>
      <c r="F608" s="48">
        <f t="shared" si="154"/>
        <v>17648</v>
      </c>
      <c r="G608" s="48">
        <f t="shared" si="154"/>
        <v>0</v>
      </c>
      <c r="H608" s="48">
        <f t="shared" si="154"/>
        <v>0</v>
      </c>
      <c r="I608" s="48">
        <f t="shared" si="154"/>
        <v>40</v>
      </c>
    </row>
    <row r="609" spans="1:9" x14ac:dyDescent="0.3">
      <c r="A609" s="37" t="s">
        <v>35</v>
      </c>
      <c r="B609" s="38" t="s">
        <v>33</v>
      </c>
      <c r="C609" s="48">
        <f t="shared" si="152"/>
        <v>70709.100000000006</v>
      </c>
      <c r="D609" s="48">
        <f>D615+D613+D611</f>
        <v>2552.6000000000004</v>
      </c>
      <c r="E609" s="48">
        <f t="shared" si="154"/>
        <v>50468.5</v>
      </c>
      <c r="F609" s="48">
        <f t="shared" si="154"/>
        <v>17648</v>
      </c>
      <c r="G609" s="48">
        <f t="shared" si="154"/>
        <v>0</v>
      </c>
      <c r="H609" s="48">
        <f t="shared" si="154"/>
        <v>0</v>
      </c>
      <c r="I609" s="48">
        <f t="shared" si="154"/>
        <v>40</v>
      </c>
    </row>
    <row r="610" spans="1:9" s="68" customFormat="1" ht="25.75" x14ac:dyDescent="0.35">
      <c r="A610" s="256" t="s">
        <v>52</v>
      </c>
      <c r="B610" s="66" t="s">
        <v>32</v>
      </c>
      <c r="C610" s="67">
        <f>D610+E610+F610+G610+H610+I610</f>
        <v>194.3</v>
      </c>
      <c r="D610" s="67">
        <f t="shared" ref="D610:I611" si="155">D645+D1187+D1354</f>
        <v>136.30000000000001</v>
      </c>
      <c r="E610" s="67">
        <f t="shared" si="155"/>
        <v>18</v>
      </c>
      <c r="F610" s="67">
        <f t="shared" si="155"/>
        <v>0</v>
      </c>
      <c r="G610" s="67">
        <f t="shared" si="155"/>
        <v>0</v>
      </c>
      <c r="H610" s="67">
        <f t="shared" si="155"/>
        <v>0</v>
      </c>
      <c r="I610" s="67">
        <f t="shared" si="155"/>
        <v>40</v>
      </c>
    </row>
    <row r="611" spans="1:9" s="68" customFormat="1" ht="12.9" x14ac:dyDescent="0.35">
      <c r="A611" s="69"/>
      <c r="B611" s="70" t="s">
        <v>33</v>
      </c>
      <c r="C611" s="67">
        <f>D611+E611+F611+G611+H611+I611</f>
        <v>194.3</v>
      </c>
      <c r="D611" s="67">
        <f t="shared" si="155"/>
        <v>136.30000000000001</v>
      </c>
      <c r="E611" s="67">
        <f t="shared" si="155"/>
        <v>18</v>
      </c>
      <c r="F611" s="67">
        <f t="shared" si="155"/>
        <v>0</v>
      </c>
      <c r="G611" s="67">
        <f t="shared" si="155"/>
        <v>0</v>
      </c>
      <c r="H611" s="67">
        <f t="shared" si="155"/>
        <v>0</v>
      </c>
      <c r="I611" s="67">
        <f t="shared" si="155"/>
        <v>40</v>
      </c>
    </row>
    <row r="612" spans="1:9" s="68" customFormat="1" ht="25.75" x14ac:dyDescent="0.35">
      <c r="A612" s="46" t="s">
        <v>39</v>
      </c>
      <c r="B612" s="66" t="s">
        <v>32</v>
      </c>
      <c r="C612" s="67">
        <f>D612+E612+F612+G612+H612+I612</f>
        <v>38865</v>
      </c>
      <c r="D612" s="67">
        <f>D649</f>
        <v>0</v>
      </c>
      <c r="E612" s="67">
        <f t="shared" ref="E612:I613" si="156">E649</f>
        <v>38865</v>
      </c>
      <c r="F612" s="67">
        <f t="shared" si="156"/>
        <v>0</v>
      </c>
      <c r="G612" s="67">
        <f t="shared" si="156"/>
        <v>0</v>
      </c>
      <c r="H612" s="67">
        <f t="shared" si="156"/>
        <v>0</v>
      </c>
      <c r="I612" s="67">
        <f t="shared" si="156"/>
        <v>0</v>
      </c>
    </row>
    <row r="613" spans="1:9" s="68" customFormat="1" ht="12.9" x14ac:dyDescent="0.35">
      <c r="A613" s="69"/>
      <c r="B613" s="70" t="s">
        <v>33</v>
      </c>
      <c r="C613" s="67">
        <f>D613+E613+F613+G613+H613+I613</f>
        <v>38865</v>
      </c>
      <c r="D613" s="67">
        <f>D650</f>
        <v>0</v>
      </c>
      <c r="E613" s="67">
        <f t="shared" si="156"/>
        <v>38865</v>
      </c>
      <c r="F613" s="67">
        <f t="shared" si="156"/>
        <v>0</v>
      </c>
      <c r="G613" s="67">
        <f t="shared" si="156"/>
        <v>0</v>
      </c>
      <c r="H613" s="67">
        <f t="shared" si="156"/>
        <v>0</v>
      </c>
      <c r="I613" s="67">
        <f t="shared" si="156"/>
        <v>0</v>
      </c>
    </row>
    <row r="614" spans="1:9" ht="12.9" x14ac:dyDescent="0.35">
      <c r="A614" s="54" t="s">
        <v>40</v>
      </c>
      <c r="B614" s="35" t="s">
        <v>32</v>
      </c>
      <c r="C614" s="48">
        <f t="shared" si="152"/>
        <v>31649.8</v>
      </c>
      <c r="D614" s="48">
        <f>D616</f>
        <v>2416.3000000000002</v>
      </c>
      <c r="E614" s="48">
        <f t="shared" ref="E614:I615" si="157">E616</f>
        <v>11585.5</v>
      </c>
      <c r="F614" s="48">
        <f t="shared" si="157"/>
        <v>17648</v>
      </c>
      <c r="G614" s="48">
        <f t="shared" si="157"/>
        <v>0</v>
      </c>
      <c r="H614" s="48">
        <f t="shared" si="157"/>
        <v>0</v>
      </c>
      <c r="I614" s="48">
        <f t="shared" si="157"/>
        <v>0</v>
      </c>
    </row>
    <row r="615" spans="1:9" ht="12.9" x14ac:dyDescent="0.35">
      <c r="A615" s="43"/>
      <c r="B615" s="38" t="s">
        <v>33</v>
      </c>
      <c r="C615" s="48">
        <f t="shared" si="152"/>
        <v>31649.8</v>
      </c>
      <c r="D615" s="48">
        <f>D617</f>
        <v>2416.3000000000002</v>
      </c>
      <c r="E615" s="48">
        <f t="shared" si="157"/>
        <v>11585.5</v>
      </c>
      <c r="F615" s="48">
        <f t="shared" si="157"/>
        <v>17648</v>
      </c>
      <c r="G615" s="48">
        <f t="shared" si="157"/>
        <v>0</v>
      </c>
      <c r="H615" s="48">
        <f t="shared" si="157"/>
        <v>0</v>
      </c>
      <c r="I615" s="48">
        <f t="shared" si="157"/>
        <v>0</v>
      </c>
    </row>
    <row r="616" spans="1:9" x14ac:dyDescent="0.3">
      <c r="A616" s="58" t="s">
        <v>53</v>
      </c>
      <c r="B616" s="56" t="s">
        <v>32</v>
      </c>
      <c r="C616" s="48">
        <f t="shared" si="152"/>
        <v>31649.8</v>
      </c>
      <c r="D616" s="48">
        <f>D618+D620+D622</f>
        <v>2416.3000000000002</v>
      </c>
      <c r="E616" s="48">
        <f t="shared" ref="E616:I617" si="158">E618+E620+E622</f>
        <v>11585.5</v>
      </c>
      <c r="F616" s="48">
        <f t="shared" si="158"/>
        <v>17648</v>
      </c>
      <c r="G616" s="48">
        <f t="shared" si="158"/>
        <v>0</v>
      </c>
      <c r="H616" s="48">
        <f t="shared" si="158"/>
        <v>0</v>
      </c>
      <c r="I616" s="48">
        <f t="shared" si="158"/>
        <v>0</v>
      </c>
    </row>
    <row r="617" spans="1:9" x14ac:dyDescent="0.3">
      <c r="A617" s="37"/>
      <c r="B617" s="38" t="s">
        <v>33</v>
      </c>
      <c r="C617" s="48">
        <f t="shared" si="152"/>
        <v>31649.8</v>
      </c>
      <c r="D617" s="48">
        <f>D619+D621+D623</f>
        <v>2416.3000000000002</v>
      </c>
      <c r="E617" s="48">
        <f t="shared" si="158"/>
        <v>11585.5</v>
      </c>
      <c r="F617" s="48">
        <f t="shared" si="158"/>
        <v>17648</v>
      </c>
      <c r="G617" s="48">
        <f t="shared" si="158"/>
        <v>0</v>
      </c>
      <c r="H617" s="48">
        <f t="shared" si="158"/>
        <v>0</v>
      </c>
      <c r="I617" s="48">
        <f t="shared" si="158"/>
        <v>0</v>
      </c>
    </row>
    <row r="618" spans="1:9" x14ac:dyDescent="0.3">
      <c r="A618" s="257" t="s">
        <v>43</v>
      </c>
      <c r="B618" s="56" t="s">
        <v>32</v>
      </c>
      <c r="C618" s="48">
        <f t="shared" si="152"/>
        <v>29864.799999999999</v>
      </c>
      <c r="D618" s="48">
        <f t="shared" ref="D618:I619" si="159">D659+D747+D788+D855+D1364+D1451</f>
        <v>2266.8000000000002</v>
      </c>
      <c r="E618" s="48">
        <f t="shared" si="159"/>
        <v>9950</v>
      </c>
      <c r="F618" s="48">
        <f t="shared" si="159"/>
        <v>17648</v>
      </c>
      <c r="G618" s="48">
        <f t="shared" si="159"/>
        <v>0</v>
      </c>
      <c r="H618" s="48">
        <f t="shared" si="159"/>
        <v>0</v>
      </c>
      <c r="I618" s="48">
        <f t="shared" si="159"/>
        <v>0</v>
      </c>
    </row>
    <row r="619" spans="1:9" x14ac:dyDescent="0.3">
      <c r="A619" s="63"/>
      <c r="B619" s="38" t="s">
        <v>33</v>
      </c>
      <c r="C619" s="48">
        <f t="shared" si="152"/>
        <v>29864.799999999999</v>
      </c>
      <c r="D619" s="48">
        <f t="shared" si="159"/>
        <v>2266.8000000000002</v>
      </c>
      <c r="E619" s="48">
        <f t="shared" si="159"/>
        <v>9950</v>
      </c>
      <c r="F619" s="48">
        <f t="shared" si="159"/>
        <v>17648</v>
      </c>
      <c r="G619" s="48">
        <f t="shared" si="159"/>
        <v>0</v>
      </c>
      <c r="H619" s="48">
        <f t="shared" si="159"/>
        <v>0</v>
      </c>
      <c r="I619" s="48">
        <f t="shared" si="159"/>
        <v>0</v>
      </c>
    </row>
    <row r="620" spans="1:9" x14ac:dyDescent="0.3">
      <c r="A620" s="257" t="s">
        <v>44</v>
      </c>
      <c r="B620" s="56" t="s">
        <v>32</v>
      </c>
      <c r="C620" s="48">
        <f t="shared" si="152"/>
        <v>1307.5</v>
      </c>
      <c r="D620" s="48">
        <f t="shared" ref="D620:I621" si="160">D683+D757+D1197+D1386</f>
        <v>18.5</v>
      </c>
      <c r="E620" s="48">
        <f t="shared" si="160"/>
        <v>1289</v>
      </c>
      <c r="F620" s="48">
        <f t="shared" si="160"/>
        <v>0</v>
      </c>
      <c r="G620" s="48">
        <f t="shared" si="160"/>
        <v>0</v>
      </c>
      <c r="H620" s="48">
        <f t="shared" si="160"/>
        <v>0</v>
      </c>
      <c r="I620" s="48">
        <f t="shared" si="160"/>
        <v>0</v>
      </c>
    </row>
    <row r="621" spans="1:9" x14ac:dyDescent="0.3">
      <c r="A621" s="63"/>
      <c r="B621" s="38" t="s">
        <v>33</v>
      </c>
      <c r="C621" s="48">
        <f t="shared" si="152"/>
        <v>1307.5</v>
      </c>
      <c r="D621" s="48">
        <f t="shared" si="160"/>
        <v>18.5</v>
      </c>
      <c r="E621" s="48">
        <f t="shared" si="160"/>
        <v>1289</v>
      </c>
      <c r="F621" s="48">
        <f t="shared" si="160"/>
        <v>0</v>
      </c>
      <c r="G621" s="48">
        <f t="shared" si="160"/>
        <v>0</v>
      </c>
      <c r="H621" s="48">
        <f t="shared" si="160"/>
        <v>0</v>
      </c>
      <c r="I621" s="48">
        <f t="shared" si="160"/>
        <v>0</v>
      </c>
    </row>
    <row r="622" spans="1:9" ht="12.9" x14ac:dyDescent="0.35">
      <c r="A622" s="73" t="s">
        <v>45</v>
      </c>
      <c r="B622" s="56" t="s">
        <v>32</v>
      </c>
      <c r="C622" s="48">
        <f t="shared" si="152"/>
        <v>477.5</v>
      </c>
      <c r="D622" s="48">
        <f t="shared" ref="D622:I623" si="161">D689+D773+D1205+D1406</f>
        <v>131</v>
      </c>
      <c r="E622" s="48">
        <f t="shared" si="161"/>
        <v>346.5</v>
      </c>
      <c r="F622" s="48">
        <f t="shared" si="161"/>
        <v>0</v>
      </c>
      <c r="G622" s="48">
        <f t="shared" si="161"/>
        <v>0</v>
      </c>
      <c r="H622" s="48">
        <f t="shared" si="161"/>
        <v>0</v>
      </c>
      <c r="I622" s="48">
        <f t="shared" si="161"/>
        <v>0</v>
      </c>
    </row>
    <row r="623" spans="1:9" x14ac:dyDescent="0.3">
      <c r="A623" s="63"/>
      <c r="B623" s="38" t="s">
        <v>33</v>
      </c>
      <c r="C623" s="48">
        <f t="shared" si="152"/>
        <v>477.5</v>
      </c>
      <c r="D623" s="48">
        <f t="shared" si="161"/>
        <v>131</v>
      </c>
      <c r="E623" s="48">
        <f t="shared" si="161"/>
        <v>346.5</v>
      </c>
      <c r="F623" s="48">
        <f t="shared" si="161"/>
        <v>0</v>
      </c>
      <c r="G623" s="48">
        <f t="shared" si="161"/>
        <v>0</v>
      </c>
      <c r="H623" s="48">
        <f t="shared" si="161"/>
        <v>0</v>
      </c>
      <c r="I623" s="48">
        <f t="shared" si="161"/>
        <v>0</v>
      </c>
    </row>
    <row r="624" spans="1:9" x14ac:dyDescent="0.3">
      <c r="A624" s="34" t="s">
        <v>50</v>
      </c>
      <c r="B624" s="12" t="s">
        <v>32</v>
      </c>
      <c r="C624" s="36">
        <f t="shared" si="152"/>
        <v>80517.790000000008</v>
      </c>
      <c r="D624" s="36">
        <f>D626+D628+D630</f>
        <v>28055.710000000003</v>
      </c>
      <c r="E624" s="36">
        <f t="shared" ref="E624:I625" si="162">E626+E628+E630</f>
        <v>50613.5</v>
      </c>
      <c r="F624" s="36">
        <f t="shared" si="162"/>
        <v>0</v>
      </c>
      <c r="G624" s="36">
        <f t="shared" si="162"/>
        <v>0</v>
      </c>
      <c r="H624" s="36">
        <f t="shared" si="162"/>
        <v>0</v>
      </c>
      <c r="I624" s="36">
        <f t="shared" si="162"/>
        <v>1848.58</v>
      </c>
    </row>
    <row r="625" spans="1:9" x14ac:dyDescent="0.3">
      <c r="A625" s="63" t="s">
        <v>51</v>
      </c>
      <c r="B625" s="23" t="s">
        <v>33</v>
      </c>
      <c r="C625" s="36">
        <f t="shared" si="152"/>
        <v>80517.790000000008</v>
      </c>
      <c r="D625" s="36">
        <f>D627+D629+D631</f>
        <v>28055.710000000003</v>
      </c>
      <c r="E625" s="36">
        <f t="shared" si="162"/>
        <v>50613.5</v>
      </c>
      <c r="F625" s="36">
        <f t="shared" si="162"/>
        <v>0</v>
      </c>
      <c r="G625" s="36">
        <f t="shared" si="162"/>
        <v>0</v>
      </c>
      <c r="H625" s="36">
        <f t="shared" si="162"/>
        <v>0</v>
      </c>
      <c r="I625" s="36">
        <f t="shared" si="162"/>
        <v>1848.58</v>
      </c>
    </row>
    <row r="626" spans="1:9" ht="25.75" x14ac:dyDescent="0.35">
      <c r="A626" s="64" t="s">
        <v>52</v>
      </c>
      <c r="B626" s="40" t="s">
        <v>32</v>
      </c>
      <c r="C626" s="48">
        <f>D626+E626+F626+G626+H626+I626</f>
        <v>28092.950000000004</v>
      </c>
      <c r="D626" s="48">
        <f>D870</f>
        <v>26244.370000000003</v>
      </c>
      <c r="E626" s="48">
        <f t="shared" ref="E626:I627" si="163">E870</f>
        <v>0</v>
      </c>
      <c r="F626" s="48">
        <f t="shared" si="163"/>
        <v>0</v>
      </c>
      <c r="G626" s="48">
        <f t="shared" si="163"/>
        <v>0</v>
      </c>
      <c r="H626" s="48">
        <f t="shared" si="163"/>
        <v>0</v>
      </c>
      <c r="I626" s="48">
        <f t="shared" si="163"/>
        <v>1848.58</v>
      </c>
    </row>
    <row r="627" spans="1:9" ht="12.9" x14ac:dyDescent="0.35">
      <c r="A627" s="43"/>
      <c r="B627" s="44" t="s">
        <v>33</v>
      </c>
      <c r="C627" s="48">
        <f>D627+E627+F627+G627+H627+I627</f>
        <v>28092.950000000004</v>
      </c>
      <c r="D627" s="48">
        <f>D871</f>
        <v>26244.370000000003</v>
      </c>
      <c r="E627" s="48">
        <f t="shared" si="163"/>
        <v>0</v>
      </c>
      <c r="F627" s="48">
        <f t="shared" si="163"/>
        <v>0</v>
      </c>
      <c r="G627" s="48">
        <f t="shared" si="163"/>
        <v>0</v>
      </c>
      <c r="H627" s="48">
        <f t="shared" si="163"/>
        <v>0</v>
      </c>
      <c r="I627" s="48">
        <f t="shared" si="163"/>
        <v>1848.58</v>
      </c>
    </row>
    <row r="628" spans="1:9" s="68" customFormat="1" ht="25.75" x14ac:dyDescent="0.35">
      <c r="A628" s="46" t="s">
        <v>39</v>
      </c>
      <c r="B628" s="66" t="s">
        <v>32</v>
      </c>
      <c r="C628" s="67">
        <f>D628+E628+F628+G628+H628+I628</f>
        <v>19691</v>
      </c>
      <c r="D628" s="67">
        <f>D880</f>
        <v>0</v>
      </c>
      <c r="E628" s="67">
        <f t="shared" ref="E628:I629" si="164">E880</f>
        <v>19691</v>
      </c>
      <c r="F628" s="67">
        <f t="shared" si="164"/>
        <v>0</v>
      </c>
      <c r="G628" s="67">
        <f t="shared" si="164"/>
        <v>0</v>
      </c>
      <c r="H628" s="67">
        <f t="shared" si="164"/>
        <v>0</v>
      </c>
      <c r="I628" s="67">
        <f t="shared" si="164"/>
        <v>0</v>
      </c>
    </row>
    <row r="629" spans="1:9" s="68" customFormat="1" ht="12.9" x14ac:dyDescent="0.35">
      <c r="A629" s="69"/>
      <c r="B629" s="70" t="s">
        <v>33</v>
      </c>
      <c r="C629" s="67">
        <f>D629+E629+F629+G629+H629+I629</f>
        <v>19691</v>
      </c>
      <c r="D629" s="67">
        <f>D881</f>
        <v>0</v>
      </c>
      <c r="E629" s="67">
        <f t="shared" si="164"/>
        <v>19691</v>
      </c>
      <c r="F629" s="67">
        <f t="shared" si="164"/>
        <v>0</v>
      </c>
      <c r="G629" s="67">
        <f t="shared" si="164"/>
        <v>0</v>
      </c>
      <c r="H629" s="67">
        <f t="shared" si="164"/>
        <v>0</v>
      </c>
      <c r="I629" s="67">
        <f t="shared" si="164"/>
        <v>0</v>
      </c>
    </row>
    <row r="630" spans="1:9" ht="12.9" x14ac:dyDescent="0.35">
      <c r="A630" s="54" t="s">
        <v>40</v>
      </c>
      <c r="B630" s="35" t="s">
        <v>32</v>
      </c>
      <c r="C630" s="48">
        <f t="shared" si="152"/>
        <v>32733.84</v>
      </c>
      <c r="D630" s="48">
        <f>D632</f>
        <v>1811.34</v>
      </c>
      <c r="E630" s="48">
        <f t="shared" ref="E630:I631" si="165">E632</f>
        <v>30922.5</v>
      </c>
      <c r="F630" s="48">
        <f t="shared" si="165"/>
        <v>0</v>
      </c>
      <c r="G630" s="48">
        <f t="shared" si="165"/>
        <v>0</v>
      </c>
      <c r="H630" s="48">
        <f t="shared" si="165"/>
        <v>0</v>
      </c>
      <c r="I630" s="48">
        <f t="shared" si="165"/>
        <v>0</v>
      </c>
    </row>
    <row r="631" spans="1:9" ht="12.9" x14ac:dyDescent="0.35">
      <c r="A631" s="43"/>
      <c r="B631" s="38" t="s">
        <v>33</v>
      </c>
      <c r="C631" s="48">
        <f t="shared" si="152"/>
        <v>32733.84</v>
      </c>
      <c r="D631" s="48">
        <f>D633</f>
        <v>1811.34</v>
      </c>
      <c r="E631" s="48">
        <f t="shared" si="165"/>
        <v>30922.5</v>
      </c>
      <c r="F631" s="48">
        <f t="shared" si="165"/>
        <v>0</v>
      </c>
      <c r="G631" s="48">
        <f t="shared" si="165"/>
        <v>0</v>
      </c>
      <c r="H631" s="48">
        <f t="shared" si="165"/>
        <v>0</v>
      </c>
      <c r="I631" s="48">
        <f t="shared" si="165"/>
        <v>0</v>
      </c>
    </row>
    <row r="632" spans="1:9" x14ac:dyDescent="0.3">
      <c r="A632" s="58" t="s">
        <v>53</v>
      </c>
      <c r="B632" s="47" t="s">
        <v>32</v>
      </c>
      <c r="C632" s="48">
        <f t="shared" si="152"/>
        <v>32733.84</v>
      </c>
      <c r="D632" s="48">
        <f>D634+D636+D638</f>
        <v>1811.34</v>
      </c>
      <c r="E632" s="48">
        <f t="shared" ref="E632:I633" si="166">E634+E636+E638</f>
        <v>30922.5</v>
      </c>
      <c r="F632" s="48">
        <f t="shared" si="166"/>
        <v>0</v>
      </c>
      <c r="G632" s="48">
        <f t="shared" si="166"/>
        <v>0</v>
      </c>
      <c r="H632" s="48">
        <f t="shared" si="166"/>
        <v>0</v>
      </c>
      <c r="I632" s="48">
        <f t="shared" si="166"/>
        <v>0</v>
      </c>
    </row>
    <row r="633" spans="1:9" x14ac:dyDescent="0.3">
      <c r="A633" s="63"/>
      <c r="B633" s="167" t="s">
        <v>33</v>
      </c>
      <c r="C633" s="48">
        <f t="shared" si="152"/>
        <v>32733.84</v>
      </c>
      <c r="D633" s="48">
        <f>D635+D637+D639</f>
        <v>1811.34</v>
      </c>
      <c r="E633" s="48">
        <f t="shared" si="166"/>
        <v>30922.5</v>
      </c>
      <c r="F633" s="48">
        <f t="shared" si="166"/>
        <v>0</v>
      </c>
      <c r="G633" s="48">
        <f t="shared" si="166"/>
        <v>0</v>
      </c>
      <c r="H633" s="48">
        <f t="shared" si="166"/>
        <v>0</v>
      </c>
      <c r="I633" s="48">
        <f t="shared" si="166"/>
        <v>0</v>
      </c>
    </row>
    <row r="634" spans="1:9" x14ac:dyDescent="0.3">
      <c r="A634" s="71" t="s">
        <v>43</v>
      </c>
      <c r="B634" s="47" t="s">
        <v>32</v>
      </c>
      <c r="C634" s="48">
        <f t="shared" si="152"/>
        <v>32431.32</v>
      </c>
      <c r="D634" s="48">
        <f t="shared" ref="D634:I635" si="167">D724+D896+D1217+D1422</f>
        <v>1586.82</v>
      </c>
      <c r="E634" s="48">
        <f t="shared" si="167"/>
        <v>30844.5</v>
      </c>
      <c r="F634" s="48">
        <f t="shared" si="167"/>
        <v>0</v>
      </c>
      <c r="G634" s="48">
        <f t="shared" si="167"/>
        <v>0</v>
      </c>
      <c r="H634" s="48">
        <f t="shared" si="167"/>
        <v>0</v>
      </c>
      <c r="I634" s="48">
        <f t="shared" si="167"/>
        <v>0</v>
      </c>
    </row>
    <row r="635" spans="1:9" x14ac:dyDescent="0.3">
      <c r="A635" s="37"/>
      <c r="B635" s="53" t="s">
        <v>33</v>
      </c>
      <c r="C635" s="48">
        <f t="shared" si="152"/>
        <v>32431.32</v>
      </c>
      <c r="D635" s="48">
        <f t="shared" si="167"/>
        <v>1586.82</v>
      </c>
      <c r="E635" s="48">
        <f t="shared" si="167"/>
        <v>30844.5</v>
      </c>
      <c r="F635" s="48">
        <f t="shared" si="167"/>
        <v>0</v>
      </c>
      <c r="G635" s="48">
        <f t="shared" si="167"/>
        <v>0</v>
      </c>
      <c r="H635" s="48">
        <f t="shared" si="167"/>
        <v>0</v>
      </c>
      <c r="I635" s="48">
        <f t="shared" si="167"/>
        <v>0</v>
      </c>
    </row>
    <row r="636" spans="1:9" x14ac:dyDescent="0.3">
      <c r="A636" s="72" t="s">
        <v>44</v>
      </c>
      <c r="B636" s="258" t="s">
        <v>32</v>
      </c>
      <c r="C636" s="48">
        <f t="shared" si="152"/>
        <v>65</v>
      </c>
      <c r="D636" s="48">
        <f t="shared" ref="D636:I637" si="168">D1313+D1436</f>
        <v>65</v>
      </c>
      <c r="E636" s="48">
        <f t="shared" si="168"/>
        <v>0</v>
      </c>
      <c r="F636" s="48">
        <f t="shared" si="168"/>
        <v>0</v>
      </c>
      <c r="G636" s="48">
        <f t="shared" si="168"/>
        <v>0</v>
      </c>
      <c r="H636" s="48">
        <f t="shared" si="168"/>
        <v>0</v>
      </c>
      <c r="I636" s="48">
        <f t="shared" si="168"/>
        <v>0</v>
      </c>
    </row>
    <row r="637" spans="1:9" x14ac:dyDescent="0.3">
      <c r="A637" s="245"/>
      <c r="B637" s="258" t="s">
        <v>33</v>
      </c>
      <c r="C637" s="48">
        <f t="shared" si="152"/>
        <v>65</v>
      </c>
      <c r="D637" s="48">
        <f t="shared" si="168"/>
        <v>65</v>
      </c>
      <c r="E637" s="48">
        <f t="shared" si="168"/>
        <v>0</v>
      </c>
      <c r="F637" s="48">
        <f t="shared" si="168"/>
        <v>0</v>
      </c>
      <c r="G637" s="48">
        <f t="shared" si="168"/>
        <v>0</v>
      </c>
      <c r="H637" s="48">
        <f t="shared" si="168"/>
        <v>0</v>
      </c>
      <c r="I637" s="48">
        <f t="shared" si="168"/>
        <v>0</v>
      </c>
    </row>
    <row r="638" spans="1:9" ht="12.9" x14ac:dyDescent="0.35">
      <c r="A638" s="250" t="s">
        <v>54</v>
      </c>
      <c r="B638" s="47" t="s">
        <v>32</v>
      </c>
      <c r="C638" s="48">
        <f t="shared" si="152"/>
        <v>237.51999999999998</v>
      </c>
      <c r="D638" s="48">
        <f t="shared" ref="D638:I639" si="169">D732+D1156+D1327</f>
        <v>159.51999999999998</v>
      </c>
      <c r="E638" s="48">
        <f t="shared" si="169"/>
        <v>78</v>
      </c>
      <c r="F638" s="48">
        <f t="shared" si="169"/>
        <v>0</v>
      </c>
      <c r="G638" s="48">
        <f t="shared" si="169"/>
        <v>0</v>
      </c>
      <c r="H638" s="48">
        <f t="shared" si="169"/>
        <v>0</v>
      </c>
      <c r="I638" s="48">
        <f t="shared" si="169"/>
        <v>0</v>
      </c>
    </row>
    <row r="639" spans="1:9" x14ac:dyDescent="0.3">
      <c r="A639" s="37"/>
      <c r="B639" s="53" t="s">
        <v>33</v>
      </c>
      <c r="C639" s="48">
        <f t="shared" si="152"/>
        <v>237.51999999999998</v>
      </c>
      <c r="D639" s="48">
        <f t="shared" si="169"/>
        <v>159.51999999999998</v>
      </c>
      <c r="E639" s="48">
        <f t="shared" si="169"/>
        <v>78</v>
      </c>
      <c r="F639" s="48">
        <f t="shared" si="169"/>
        <v>0</v>
      </c>
      <c r="G639" s="48">
        <f t="shared" si="169"/>
        <v>0</v>
      </c>
      <c r="H639" s="48">
        <f t="shared" si="169"/>
        <v>0</v>
      </c>
      <c r="I639" s="48">
        <f t="shared" si="169"/>
        <v>0</v>
      </c>
    </row>
    <row r="640" spans="1:9" x14ac:dyDescent="0.3">
      <c r="A640" s="1041" t="s">
        <v>62</v>
      </c>
      <c r="B640" s="1042"/>
      <c r="C640" s="1042"/>
      <c r="D640" s="1042"/>
      <c r="E640" s="1042"/>
      <c r="F640" s="1042"/>
      <c r="G640" s="1042"/>
      <c r="H640" s="1042"/>
      <c r="I640" s="1086"/>
    </row>
    <row r="641" spans="1:17" s="260" customFormat="1" x14ac:dyDescent="0.3">
      <c r="A641" s="178" t="s">
        <v>57</v>
      </c>
      <c r="B641" s="259" t="s">
        <v>32</v>
      </c>
      <c r="C641" s="158">
        <f t="shared" ref="C641:C706" si="170">D641+E641+F641+G641+H641+I641</f>
        <v>64702.8</v>
      </c>
      <c r="D641" s="158">
        <f t="shared" ref="D641:I642" si="171">D643</f>
        <v>247.8</v>
      </c>
      <c r="E641" s="158">
        <f t="shared" si="171"/>
        <v>46767</v>
      </c>
      <c r="F641" s="158">
        <f t="shared" si="171"/>
        <v>17648</v>
      </c>
      <c r="G641" s="158">
        <f t="shared" si="171"/>
        <v>0</v>
      </c>
      <c r="H641" s="158">
        <f t="shared" si="171"/>
        <v>0</v>
      </c>
      <c r="I641" s="158">
        <f t="shared" si="171"/>
        <v>40</v>
      </c>
    </row>
    <row r="642" spans="1:17" s="260" customFormat="1" x14ac:dyDescent="0.3">
      <c r="A642" s="130" t="s">
        <v>87</v>
      </c>
      <c r="B642" s="177" t="s">
        <v>33</v>
      </c>
      <c r="C642" s="158">
        <f t="shared" si="170"/>
        <v>64702.8</v>
      </c>
      <c r="D642" s="158">
        <f t="shared" si="171"/>
        <v>247.8</v>
      </c>
      <c r="E642" s="158">
        <f t="shared" si="171"/>
        <v>46767</v>
      </c>
      <c r="F642" s="158">
        <f t="shared" si="171"/>
        <v>17648</v>
      </c>
      <c r="G642" s="158">
        <f t="shared" si="171"/>
        <v>0</v>
      </c>
      <c r="H642" s="158">
        <f t="shared" si="171"/>
        <v>0</v>
      </c>
      <c r="I642" s="158">
        <f t="shared" si="171"/>
        <v>40</v>
      </c>
    </row>
    <row r="643" spans="1:17" s="260" customFormat="1" x14ac:dyDescent="0.3">
      <c r="A643" s="261" t="s">
        <v>34</v>
      </c>
      <c r="B643" s="262" t="s">
        <v>32</v>
      </c>
      <c r="C643" s="179">
        <f t="shared" si="170"/>
        <v>64702.8</v>
      </c>
      <c r="D643" s="179">
        <f t="shared" ref="D643:I644" si="172">D645+D649+D655</f>
        <v>247.8</v>
      </c>
      <c r="E643" s="179">
        <f t="shared" si="172"/>
        <v>46767</v>
      </c>
      <c r="F643" s="179">
        <f t="shared" si="172"/>
        <v>17648</v>
      </c>
      <c r="G643" s="179">
        <f t="shared" si="172"/>
        <v>0</v>
      </c>
      <c r="H643" s="179">
        <f t="shared" si="172"/>
        <v>0</v>
      </c>
      <c r="I643" s="179">
        <f t="shared" si="172"/>
        <v>40</v>
      </c>
    </row>
    <row r="644" spans="1:17" s="260" customFormat="1" x14ac:dyDescent="0.3">
      <c r="A644" s="130" t="s">
        <v>35</v>
      </c>
      <c r="B644" s="263" t="s">
        <v>33</v>
      </c>
      <c r="C644" s="179">
        <f t="shared" si="170"/>
        <v>64702.8</v>
      </c>
      <c r="D644" s="179">
        <f t="shared" si="172"/>
        <v>247.8</v>
      </c>
      <c r="E644" s="179">
        <f t="shared" si="172"/>
        <v>46767</v>
      </c>
      <c r="F644" s="179">
        <f t="shared" si="172"/>
        <v>17648</v>
      </c>
      <c r="G644" s="179">
        <f t="shared" si="172"/>
        <v>0</v>
      </c>
      <c r="H644" s="179">
        <f t="shared" si="172"/>
        <v>0</v>
      </c>
      <c r="I644" s="179">
        <f t="shared" si="172"/>
        <v>40</v>
      </c>
    </row>
    <row r="645" spans="1:17" ht="25.75" x14ac:dyDescent="0.35">
      <c r="A645" s="64" t="s">
        <v>52</v>
      </c>
      <c r="B645" s="40" t="s">
        <v>32</v>
      </c>
      <c r="C645" s="48">
        <f t="shared" si="170"/>
        <v>152</v>
      </c>
      <c r="D645" s="48">
        <f t="shared" ref="D645:I646" si="173">D647</f>
        <v>112</v>
      </c>
      <c r="E645" s="48">
        <f t="shared" si="173"/>
        <v>0</v>
      </c>
      <c r="F645" s="48">
        <f t="shared" si="173"/>
        <v>0</v>
      </c>
      <c r="G645" s="48">
        <f t="shared" si="173"/>
        <v>0</v>
      </c>
      <c r="H645" s="48">
        <f t="shared" si="173"/>
        <v>0</v>
      </c>
      <c r="I645" s="48">
        <f t="shared" si="173"/>
        <v>40</v>
      </c>
    </row>
    <row r="646" spans="1:17" ht="12.9" x14ac:dyDescent="0.35">
      <c r="A646" s="43"/>
      <c r="B646" s="44" t="s">
        <v>33</v>
      </c>
      <c r="C646" s="48">
        <f t="shared" si="170"/>
        <v>152</v>
      </c>
      <c r="D646" s="48">
        <f t="shared" si="173"/>
        <v>112</v>
      </c>
      <c r="E646" s="48">
        <f t="shared" si="173"/>
        <v>0</v>
      </c>
      <c r="F646" s="48">
        <f t="shared" si="173"/>
        <v>0</v>
      </c>
      <c r="G646" s="48">
        <f t="shared" si="173"/>
        <v>0</v>
      </c>
      <c r="H646" s="48">
        <f t="shared" si="173"/>
        <v>0</v>
      </c>
      <c r="I646" s="48">
        <f t="shared" si="173"/>
        <v>40</v>
      </c>
    </row>
    <row r="647" spans="1:17" s="78" customFormat="1" ht="39.75" customHeight="1" x14ac:dyDescent="0.3">
      <c r="A647" s="114" t="s">
        <v>255</v>
      </c>
      <c r="B647" s="110" t="s">
        <v>32</v>
      </c>
      <c r="C647" s="108">
        <f t="shared" si="170"/>
        <v>152</v>
      </c>
      <c r="D647" s="108">
        <f>22+90</f>
        <v>112</v>
      </c>
      <c r="E647" s="108">
        <v>0</v>
      </c>
      <c r="F647" s="108">
        <v>0</v>
      </c>
      <c r="G647" s="108">
        <v>0</v>
      </c>
      <c r="H647" s="108">
        <v>0</v>
      </c>
      <c r="I647" s="108">
        <f>152-112</f>
        <v>40</v>
      </c>
      <c r="J647" s="1005" t="s">
        <v>256</v>
      </c>
      <c r="K647" s="1006"/>
      <c r="L647" s="1006"/>
      <c r="M647" s="1006"/>
      <c r="N647" s="1006"/>
      <c r="O647" s="1006"/>
      <c r="P647" s="1006"/>
      <c r="Q647" s="1006"/>
    </row>
    <row r="648" spans="1:17" s="147" customFormat="1" ht="12.9" x14ac:dyDescent="0.35">
      <c r="A648" s="111"/>
      <c r="B648" s="44" t="s">
        <v>33</v>
      </c>
      <c r="C648" s="143">
        <f t="shared" si="170"/>
        <v>152</v>
      </c>
      <c r="D648" s="108">
        <f>22+90</f>
        <v>112</v>
      </c>
      <c r="E648" s="143">
        <v>0</v>
      </c>
      <c r="F648" s="143">
        <v>0</v>
      </c>
      <c r="G648" s="143">
        <v>0</v>
      </c>
      <c r="H648" s="143">
        <v>0</v>
      </c>
      <c r="I648" s="108">
        <f>152-112</f>
        <v>40</v>
      </c>
      <c r="J648" s="1005"/>
      <c r="K648" s="1006"/>
      <c r="L648" s="1006"/>
      <c r="M648" s="1006"/>
      <c r="N648" s="1006"/>
      <c r="O648" s="1006"/>
      <c r="P648" s="1006"/>
      <c r="Q648" s="1006"/>
    </row>
    <row r="649" spans="1:17" ht="25.75" x14ac:dyDescent="0.35">
      <c r="A649" s="39" t="s">
        <v>39</v>
      </c>
      <c r="B649" s="40" t="s">
        <v>32</v>
      </c>
      <c r="C649" s="48">
        <f t="shared" si="170"/>
        <v>38865</v>
      </c>
      <c r="D649" s="48">
        <f>D651+D653</f>
        <v>0</v>
      </c>
      <c r="E649" s="48">
        <f t="shared" ref="E649:I650" si="174">E651+E653</f>
        <v>38865</v>
      </c>
      <c r="F649" s="48">
        <f t="shared" si="174"/>
        <v>0</v>
      </c>
      <c r="G649" s="48">
        <f t="shared" si="174"/>
        <v>0</v>
      </c>
      <c r="H649" s="48">
        <f t="shared" si="174"/>
        <v>0</v>
      </c>
      <c r="I649" s="48">
        <f t="shared" si="174"/>
        <v>0</v>
      </c>
    </row>
    <row r="650" spans="1:17" ht="12.9" x14ac:dyDescent="0.35">
      <c r="A650" s="43"/>
      <c r="B650" s="44" t="s">
        <v>33</v>
      </c>
      <c r="C650" s="48">
        <f t="shared" si="170"/>
        <v>38865</v>
      </c>
      <c r="D650" s="48">
        <f>D652+D654</f>
        <v>0</v>
      </c>
      <c r="E650" s="48">
        <f t="shared" si="174"/>
        <v>38865</v>
      </c>
      <c r="F650" s="48">
        <f t="shared" si="174"/>
        <v>0</v>
      </c>
      <c r="G650" s="48">
        <f t="shared" si="174"/>
        <v>0</v>
      </c>
      <c r="H650" s="48">
        <f t="shared" si="174"/>
        <v>0</v>
      </c>
      <c r="I650" s="48">
        <f t="shared" si="174"/>
        <v>0</v>
      </c>
    </row>
    <row r="651" spans="1:17" s="105" customFormat="1" ht="52.5" customHeight="1" x14ac:dyDescent="0.3">
      <c r="A651" s="264" t="s">
        <v>257</v>
      </c>
      <c r="B651" s="110" t="s">
        <v>32</v>
      </c>
      <c r="C651" s="108">
        <f t="shared" si="170"/>
        <v>2960</v>
      </c>
      <c r="D651" s="108">
        <v>0</v>
      </c>
      <c r="E651" s="108">
        <v>2960</v>
      </c>
      <c r="F651" s="108">
        <v>0</v>
      </c>
      <c r="G651" s="108">
        <v>0</v>
      </c>
      <c r="H651" s="108">
        <v>0</v>
      </c>
      <c r="I651" s="108">
        <v>0</v>
      </c>
      <c r="J651" s="1005"/>
      <c r="K651" s="1006"/>
      <c r="L651" s="1006"/>
      <c r="M651" s="1006"/>
      <c r="N651" s="1006"/>
      <c r="O651" s="1006"/>
      <c r="P651" s="1006"/>
      <c r="Q651" s="1006"/>
    </row>
    <row r="652" spans="1:17" s="147" customFormat="1" ht="12.9" x14ac:dyDescent="0.35">
      <c r="A652" s="111"/>
      <c r="B652" s="44" t="s">
        <v>33</v>
      </c>
      <c r="C652" s="143">
        <f t="shared" si="170"/>
        <v>2960</v>
      </c>
      <c r="D652" s="108">
        <v>0</v>
      </c>
      <c r="E652" s="143">
        <v>2960</v>
      </c>
      <c r="F652" s="143">
        <v>0</v>
      </c>
      <c r="G652" s="143">
        <v>0</v>
      </c>
      <c r="H652" s="143">
        <v>0</v>
      </c>
      <c r="I652" s="108">
        <v>0</v>
      </c>
      <c r="J652" s="1005"/>
      <c r="K652" s="1006"/>
      <c r="L652" s="1006"/>
      <c r="M652" s="1006"/>
      <c r="N652" s="1006"/>
      <c r="O652" s="1006"/>
      <c r="P652" s="1006"/>
      <c r="Q652" s="1006"/>
    </row>
    <row r="653" spans="1:17" s="105" customFormat="1" ht="27.75" customHeight="1" x14ac:dyDescent="0.3">
      <c r="A653" s="211" t="s">
        <v>258</v>
      </c>
      <c r="B653" s="110" t="s">
        <v>32</v>
      </c>
      <c r="C653" s="108">
        <f t="shared" si="170"/>
        <v>35905</v>
      </c>
      <c r="D653" s="108">
        <v>0</v>
      </c>
      <c r="E653" s="108">
        <v>35905</v>
      </c>
      <c r="F653" s="108">
        <v>0</v>
      </c>
      <c r="G653" s="108">
        <v>0</v>
      </c>
      <c r="H653" s="108">
        <v>0</v>
      </c>
      <c r="I653" s="108">
        <v>0</v>
      </c>
      <c r="J653" s="1005"/>
      <c r="K653" s="1006"/>
      <c r="L653" s="1006"/>
      <c r="M653" s="1006"/>
      <c r="N653" s="1006"/>
      <c r="O653" s="1006"/>
      <c r="P653" s="1006"/>
      <c r="Q653" s="1006"/>
    </row>
    <row r="654" spans="1:17" s="147" customFormat="1" ht="12.9" x14ac:dyDescent="0.35">
      <c r="A654" s="111"/>
      <c r="B654" s="44" t="s">
        <v>33</v>
      </c>
      <c r="C654" s="143">
        <f t="shared" si="170"/>
        <v>35905</v>
      </c>
      <c r="D654" s="108">
        <v>0</v>
      </c>
      <c r="E654" s="108">
        <v>35905</v>
      </c>
      <c r="F654" s="143">
        <v>0</v>
      </c>
      <c r="G654" s="143">
        <v>0</v>
      </c>
      <c r="H654" s="143">
        <v>0</v>
      </c>
      <c r="I654" s="108">
        <v>0</v>
      </c>
      <c r="J654" s="1005"/>
      <c r="K654" s="1006"/>
      <c r="L654" s="1006"/>
      <c r="M654" s="1006"/>
      <c r="N654" s="1006"/>
      <c r="O654" s="1006"/>
      <c r="P654" s="1006"/>
      <c r="Q654" s="1006"/>
    </row>
    <row r="655" spans="1:17" s="260" customFormat="1" ht="12.9" x14ac:dyDescent="0.35">
      <c r="A655" s="265" t="s">
        <v>40</v>
      </c>
      <c r="B655" s="203" t="s">
        <v>32</v>
      </c>
      <c r="C655" s="179">
        <f t="shared" si="170"/>
        <v>25685.8</v>
      </c>
      <c r="D655" s="179">
        <f t="shared" ref="D655:I656" si="175">D657</f>
        <v>135.80000000000001</v>
      </c>
      <c r="E655" s="179">
        <f t="shared" si="175"/>
        <v>7902</v>
      </c>
      <c r="F655" s="179">
        <f t="shared" si="175"/>
        <v>17648</v>
      </c>
      <c r="G655" s="179">
        <f t="shared" si="175"/>
        <v>0</v>
      </c>
      <c r="H655" s="179">
        <f t="shared" si="175"/>
        <v>0</v>
      </c>
      <c r="I655" s="179">
        <f t="shared" si="175"/>
        <v>0</v>
      </c>
    </row>
    <row r="656" spans="1:17" s="260" customFormat="1" ht="12.9" x14ac:dyDescent="0.35">
      <c r="A656" s="266"/>
      <c r="B656" s="263" t="s">
        <v>33</v>
      </c>
      <c r="C656" s="179">
        <f t="shared" si="170"/>
        <v>25685.8</v>
      </c>
      <c r="D656" s="179">
        <f t="shared" si="175"/>
        <v>135.80000000000001</v>
      </c>
      <c r="E656" s="179">
        <f t="shared" si="175"/>
        <v>7902</v>
      </c>
      <c r="F656" s="179">
        <f t="shared" si="175"/>
        <v>17648</v>
      </c>
      <c r="G656" s="179">
        <f t="shared" si="175"/>
        <v>0</v>
      </c>
      <c r="H656" s="179">
        <f t="shared" si="175"/>
        <v>0</v>
      </c>
      <c r="I656" s="179">
        <f t="shared" si="175"/>
        <v>0</v>
      </c>
    </row>
    <row r="657" spans="1:14" s="260" customFormat="1" x14ac:dyDescent="0.3">
      <c r="A657" s="267" t="s">
        <v>53</v>
      </c>
      <c r="B657" s="262" t="s">
        <v>32</v>
      </c>
      <c r="C657" s="179">
        <f t="shared" si="170"/>
        <v>25685.8</v>
      </c>
      <c r="D657" s="179">
        <f t="shared" ref="D657:I658" si="176">D659+D683+D689</f>
        <v>135.80000000000001</v>
      </c>
      <c r="E657" s="179">
        <f t="shared" si="176"/>
        <v>7902</v>
      </c>
      <c r="F657" s="179">
        <f t="shared" si="176"/>
        <v>17648</v>
      </c>
      <c r="G657" s="179">
        <f t="shared" si="176"/>
        <v>0</v>
      </c>
      <c r="H657" s="179">
        <f t="shared" si="176"/>
        <v>0</v>
      </c>
      <c r="I657" s="179">
        <f t="shared" si="176"/>
        <v>0</v>
      </c>
    </row>
    <row r="658" spans="1:14" s="260" customFormat="1" x14ac:dyDescent="0.3">
      <c r="A658" s="268"/>
      <c r="B658" s="263" t="s">
        <v>33</v>
      </c>
      <c r="C658" s="179">
        <f t="shared" si="170"/>
        <v>25685.8</v>
      </c>
      <c r="D658" s="179">
        <f t="shared" si="176"/>
        <v>135.80000000000001</v>
      </c>
      <c r="E658" s="179">
        <f t="shared" si="176"/>
        <v>7902</v>
      </c>
      <c r="F658" s="179">
        <f t="shared" si="176"/>
        <v>17648</v>
      </c>
      <c r="G658" s="179">
        <f t="shared" si="176"/>
        <v>0</v>
      </c>
      <c r="H658" s="179">
        <f t="shared" si="176"/>
        <v>0</v>
      </c>
      <c r="I658" s="179">
        <f t="shared" si="176"/>
        <v>0</v>
      </c>
    </row>
    <row r="659" spans="1:14" s="126" customFormat="1" x14ac:dyDescent="0.3">
      <c r="A659" s="269" t="s">
        <v>43</v>
      </c>
      <c r="B659" s="124" t="s">
        <v>32</v>
      </c>
      <c r="C659" s="122">
        <f t="shared" si="170"/>
        <v>25267.8</v>
      </c>
      <c r="D659" s="122">
        <f>D661+D663+D665+D667+D669+D671+D673+D675+D677+D679+D681</f>
        <v>63.8</v>
      </c>
      <c r="E659" s="122">
        <f t="shared" ref="E659:I660" si="177">E661+E663+E665+E667+E669+E671+E673+E675+E677+E679+E681</f>
        <v>7556</v>
      </c>
      <c r="F659" s="122">
        <f t="shared" si="177"/>
        <v>17648</v>
      </c>
      <c r="G659" s="122">
        <f t="shared" si="177"/>
        <v>0</v>
      </c>
      <c r="H659" s="122">
        <f t="shared" si="177"/>
        <v>0</v>
      </c>
      <c r="I659" s="122">
        <f t="shared" si="177"/>
        <v>0</v>
      </c>
    </row>
    <row r="660" spans="1:14" s="126" customFormat="1" x14ac:dyDescent="0.3">
      <c r="A660" s="127"/>
      <c r="B660" s="128" t="s">
        <v>33</v>
      </c>
      <c r="C660" s="122">
        <f t="shared" si="170"/>
        <v>25267.8</v>
      </c>
      <c r="D660" s="122">
        <f>D662+D664+D666+D668+D670+D672+D674+D676+D678+D680+D682</f>
        <v>63.8</v>
      </c>
      <c r="E660" s="122">
        <f t="shared" si="177"/>
        <v>7556</v>
      </c>
      <c r="F660" s="122">
        <f t="shared" si="177"/>
        <v>17648</v>
      </c>
      <c r="G660" s="122">
        <f t="shared" si="177"/>
        <v>0</v>
      </c>
      <c r="H660" s="122">
        <f t="shared" si="177"/>
        <v>0</v>
      </c>
      <c r="I660" s="122">
        <f t="shared" si="177"/>
        <v>0</v>
      </c>
    </row>
    <row r="661" spans="1:14" s="65" customFormat="1" ht="14.15" x14ac:dyDescent="0.35">
      <c r="A661" s="270" t="s">
        <v>259</v>
      </c>
      <c r="B661" s="40" t="s">
        <v>32</v>
      </c>
      <c r="C661" s="41">
        <f t="shared" si="170"/>
        <v>6</v>
      </c>
      <c r="D661" s="41">
        <v>6</v>
      </c>
      <c r="E661" s="49">
        <v>0</v>
      </c>
      <c r="F661" s="41">
        <v>0</v>
      </c>
      <c r="G661" s="41">
        <v>0</v>
      </c>
      <c r="H661" s="41">
        <v>0</v>
      </c>
      <c r="I661" s="41">
        <v>0</v>
      </c>
    </row>
    <row r="662" spans="1:14" s="168" customFormat="1" x14ac:dyDescent="0.3">
      <c r="A662" s="60"/>
      <c r="B662" s="53" t="s">
        <v>33</v>
      </c>
      <c r="C662" s="49">
        <f t="shared" si="170"/>
        <v>6</v>
      </c>
      <c r="D662" s="49">
        <v>6</v>
      </c>
      <c r="E662" s="49">
        <v>0</v>
      </c>
      <c r="F662" s="49">
        <v>0</v>
      </c>
      <c r="G662" s="49">
        <v>0</v>
      </c>
      <c r="H662" s="49">
        <v>0</v>
      </c>
      <c r="I662" s="49">
        <v>0</v>
      </c>
    </row>
    <row r="663" spans="1:14" s="65" customFormat="1" ht="14.15" x14ac:dyDescent="0.35">
      <c r="A663" s="271" t="s">
        <v>260</v>
      </c>
      <c r="B663" s="40" t="s">
        <v>32</v>
      </c>
      <c r="C663" s="41">
        <f t="shared" si="170"/>
        <v>48</v>
      </c>
      <c r="D663" s="41">
        <v>48</v>
      </c>
      <c r="E663" s="49">
        <v>0</v>
      </c>
      <c r="F663" s="41">
        <v>0</v>
      </c>
      <c r="G663" s="41">
        <v>0</v>
      </c>
      <c r="H663" s="41">
        <v>0</v>
      </c>
      <c r="I663" s="41">
        <v>0</v>
      </c>
    </row>
    <row r="664" spans="1:14" s="168" customFormat="1" x14ac:dyDescent="0.3">
      <c r="A664" s="60"/>
      <c r="B664" s="53" t="s">
        <v>33</v>
      </c>
      <c r="C664" s="49">
        <f t="shared" si="170"/>
        <v>48</v>
      </c>
      <c r="D664" s="49">
        <v>48</v>
      </c>
      <c r="E664" s="49">
        <v>0</v>
      </c>
      <c r="F664" s="49">
        <v>0</v>
      </c>
      <c r="G664" s="49">
        <v>0</v>
      </c>
      <c r="H664" s="49">
        <v>0</v>
      </c>
      <c r="I664" s="49">
        <v>0</v>
      </c>
    </row>
    <row r="665" spans="1:14" s="65" customFormat="1" ht="14.15" x14ac:dyDescent="0.35">
      <c r="A665" s="270" t="s">
        <v>261</v>
      </c>
      <c r="B665" s="40" t="s">
        <v>32</v>
      </c>
      <c r="C665" s="41">
        <f t="shared" si="170"/>
        <v>9.8000000000000007</v>
      </c>
      <c r="D665" s="41">
        <v>9.8000000000000007</v>
      </c>
      <c r="E665" s="49">
        <v>0</v>
      </c>
      <c r="F665" s="41">
        <v>0</v>
      </c>
      <c r="G665" s="41">
        <v>0</v>
      </c>
      <c r="H665" s="41">
        <v>0</v>
      </c>
      <c r="I665" s="41">
        <v>0</v>
      </c>
    </row>
    <row r="666" spans="1:14" s="168" customFormat="1" x14ac:dyDescent="0.3">
      <c r="A666" s="60"/>
      <c r="B666" s="53" t="s">
        <v>33</v>
      </c>
      <c r="C666" s="49">
        <f t="shared" si="170"/>
        <v>9.8000000000000007</v>
      </c>
      <c r="D666" s="49">
        <v>9.8000000000000007</v>
      </c>
      <c r="E666" s="49">
        <v>0</v>
      </c>
      <c r="F666" s="49">
        <v>0</v>
      </c>
      <c r="G666" s="49">
        <v>0</v>
      </c>
      <c r="H666" s="49">
        <v>0</v>
      </c>
      <c r="I666" s="49">
        <v>0</v>
      </c>
    </row>
    <row r="667" spans="1:14" s="65" customFormat="1" ht="14.15" x14ac:dyDescent="0.3">
      <c r="A667" s="272" t="s">
        <v>262</v>
      </c>
      <c r="B667" s="40" t="s">
        <v>32</v>
      </c>
      <c r="C667" s="41">
        <f t="shared" si="170"/>
        <v>58</v>
      </c>
      <c r="D667" s="41">
        <v>0</v>
      </c>
      <c r="E667" s="49">
        <v>58</v>
      </c>
      <c r="F667" s="41">
        <v>0</v>
      </c>
      <c r="G667" s="41">
        <v>0</v>
      </c>
      <c r="H667" s="41">
        <v>0</v>
      </c>
      <c r="I667" s="41">
        <v>0</v>
      </c>
    </row>
    <row r="668" spans="1:14" s="168" customFormat="1" x14ac:dyDescent="0.3">
      <c r="A668" s="60"/>
      <c r="B668" s="53" t="s">
        <v>33</v>
      </c>
      <c r="C668" s="49">
        <f t="shared" si="170"/>
        <v>58</v>
      </c>
      <c r="D668" s="49">
        <v>0</v>
      </c>
      <c r="E668" s="49">
        <v>58</v>
      </c>
      <c r="F668" s="49">
        <v>0</v>
      </c>
      <c r="G668" s="49">
        <v>0</v>
      </c>
      <c r="H668" s="49">
        <v>0</v>
      </c>
      <c r="I668" s="49">
        <v>0</v>
      </c>
    </row>
    <row r="669" spans="1:14" s="65" customFormat="1" ht="14.15" x14ac:dyDescent="0.35">
      <c r="A669" s="270" t="s">
        <v>263</v>
      </c>
      <c r="B669" s="40" t="s">
        <v>32</v>
      </c>
      <c r="C669" s="41">
        <f t="shared" si="170"/>
        <v>8</v>
      </c>
      <c r="D669" s="41">
        <v>0</v>
      </c>
      <c r="E669" s="49">
        <v>8</v>
      </c>
      <c r="F669" s="41">
        <v>0</v>
      </c>
      <c r="G669" s="41">
        <v>0</v>
      </c>
      <c r="H669" s="41">
        <v>0</v>
      </c>
      <c r="I669" s="41">
        <v>0</v>
      </c>
    </row>
    <row r="670" spans="1:14" s="168" customFormat="1" x14ac:dyDescent="0.3">
      <c r="A670" s="60"/>
      <c r="B670" s="53" t="s">
        <v>33</v>
      </c>
      <c r="C670" s="49">
        <f t="shared" si="170"/>
        <v>8</v>
      </c>
      <c r="D670" s="49">
        <v>0</v>
      </c>
      <c r="E670" s="49">
        <v>8</v>
      </c>
      <c r="F670" s="49">
        <v>0</v>
      </c>
      <c r="G670" s="49">
        <v>0</v>
      </c>
      <c r="H670" s="49">
        <v>0</v>
      </c>
      <c r="I670" s="49">
        <v>0</v>
      </c>
    </row>
    <row r="671" spans="1:14" s="236" customFormat="1" ht="26.25" customHeight="1" x14ac:dyDescent="0.3">
      <c r="A671" s="273" t="s">
        <v>264</v>
      </c>
      <c r="B671" s="234" t="s">
        <v>32</v>
      </c>
      <c r="C671" s="103">
        <f t="shared" si="170"/>
        <v>25000</v>
      </c>
      <c r="D671" s="103">
        <f>D672</f>
        <v>0</v>
      </c>
      <c r="E671" s="103">
        <f t="shared" ref="E671:I671" si="178">E672</f>
        <v>7352</v>
      </c>
      <c r="F671" s="103">
        <f t="shared" si="178"/>
        <v>17648</v>
      </c>
      <c r="G671" s="103">
        <f t="shared" si="178"/>
        <v>0</v>
      </c>
      <c r="H671" s="103">
        <f t="shared" si="178"/>
        <v>0</v>
      </c>
      <c r="I671" s="103">
        <f t="shared" si="178"/>
        <v>0</v>
      </c>
      <c r="J671" s="1118" t="s">
        <v>265</v>
      </c>
      <c r="K671" s="1119"/>
      <c r="L671" s="1119"/>
      <c r="M671" s="1119"/>
      <c r="N671" s="1119"/>
    </row>
    <row r="672" spans="1:14" s="168" customFormat="1" x14ac:dyDescent="0.3">
      <c r="A672" s="60"/>
      <c r="B672" s="53" t="s">
        <v>33</v>
      </c>
      <c r="C672" s="49">
        <f t="shared" si="170"/>
        <v>25000</v>
      </c>
      <c r="D672" s="49">
        <v>0</v>
      </c>
      <c r="E672" s="49">
        <v>7352</v>
      </c>
      <c r="F672" s="49">
        <v>17648</v>
      </c>
      <c r="G672" s="49">
        <v>0</v>
      </c>
      <c r="H672" s="49">
        <v>0</v>
      </c>
      <c r="I672" s="49">
        <v>0</v>
      </c>
    </row>
    <row r="673" spans="1:9" s="65" customFormat="1" ht="14.15" x14ac:dyDescent="0.35">
      <c r="A673" s="274" t="s">
        <v>266</v>
      </c>
      <c r="B673" s="40" t="s">
        <v>32</v>
      </c>
      <c r="C673" s="41">
        <f t="shared" si="170"/>
        <v>4</v>
      </c>
      <c r="D673" s="41">
        <v>0</v>
      </c>
      <c r="E673" s="49">
        <v>4</v>
      </c>
      <c r="F673" s="41">
        <v>0</v>
      </c>
      <c r="G673" s="41">
        <v>0</v>
      </c>
      <c r="H673" s="41">
        <v>0</v>
      </c>
      <c r="I673" s="41">
        <v>0</v>
      </c>
    </row>
    <row r="674" spans="1:9" s="168" customFormat="1" x14ac:dyDescent="0.3">
      <c r="A674" s="60"/>
      <c r="B674" s="53" t="s">
        <v>33</v>
      </c>
      <c r="C674" s="49">
        <f t="shared" si="170"/>
        <v>4</v>
      </c>
      <c r="D674" s="49">
        <v>0</v>
      </c>
      <c r="E674" s="49">
        <v>4</v>
      </c>
      <c r="F674" s="49">
        <v>0</v>
      </c>
      <c r="G674" s="49">
        <v>0</v>
      </c>
      <c r="H674" s="49">
        <v>0</v>
      </c>
      <c r="I674" s="49">
        <v>0</v>
      </c>
    </row>
    <row r="675" spans="1:9" s="65" customFormat="1" ht="14.15" x14ac:dyDescent="0.3">
      <c r="A675" s="275" t="s">
        <v>267</v>
      </c>
      <c r="B675" s="40" t="s">
        <v>32</v>
      </c>
      <c r="C675" s="41">
        <f t="shared" si="170"/>
        <v>57</v>
      </c>
      <c r="D675" s="41">
        <v>0</v>
      </c>
      <c r="E675" s="49">
        <f>9+16+8+24</f>
        <v>57</v>
      </c>
      <c r="F675" s="41">
        <v>0</v>
      </c>
      <c r="G675" s="41">
        <v>0</v>
      </c>
      <c r="H675" s="41">
        <v>0</v>
      </c>
      <c r="I675" s="41">
        <v>0</v>
      </c>
    </row>
    <row r="676" spans="1:9" s="168" customFormat="1" x14ac:dyDescent="0.3">
      <c r="A676" s="60"/>
      <c r="B676" s="53" t="s">
        <v>33</v>
      </c>
      <c r="C676" s="49">
        <f t="shared" si="170"/>
        <v>57</v>
      </c>
      <c r="D676" s="49">
        <v>0</v>
      </c>
      <c r="E676" s="49">
        <f>9+16+8+24</f>
        <v>57</v>
      </c>
      <c r="F676" s="49">
        <v>0</v>
      </c>
      <c r="G676" s="49">
        <v>0</v>
      </c>
      <c r="H676" s="49">
        <v>0</v>
      </c>
      <c r="I676" s="49">
        <v>0</v>
      </c>
    </row>
    <row r="677" spans="1:9" s="65" customFormat="1" ht="14.15" x14ac:dyDescent="0.35">
      <c r="A677" s="276" t="s">
        <v>268</v>
      </c>
      <c r="B677" s="40" t="s">
        <v>32</v>
      </c>
      <c r="C677" s="41">
        <f t="shared" si="170"/>
        <v>38</v>
      </c>
      <c r="D677" s="41">
        <v>0</v>
      </c>
      <c r="E677" s="49">
        <f>7+7+24</f>
        <v>38</v>
      </c>
      <c r="F677" s="41">
        <v>0</v>
      </c>
      <c r="G677" s="41">
        <v>0</v>
      </c>
      <c r="H677" s="41">
        <v>0</v>
      </c>
      <c r="I677" s="41">
        <v>0</v>
      </c>
    </row>
    <row r="678" spans="1:9" s="168" customFormat="1" x14ac:dyDescent="0.3">
      <c r="A678" s="60"/>
      <c r="B678" s="53" t="s">
        <v>33</v>
      </c>
      <c r="C678" s="49">
        <f t="shared" si="170"/>
        <v>38</v>
      </c>
      <c r="D678" s="49">
        <v>0</v>
      </c>
      <c r="E678" s="49">
        <f>7+7+24</f>
        <v>38</v>
      </c>
      <c r="F678" s="49">
        <v>0</v>
      </c>
      <c r="G678" s="49">
        <v>0</v>
      </c>
      <c r="H678" s="49">
        <v>0</v>
      </c>
      <c r="I678" s="49">
        <v>0</v>
      </c>
    </row>
    <row r="679" spans="1:9" s="65" customFormat="1" ht="14.15" x14ac:dyDescent="0.3">
      <c r="A679" s="275" t="s">
        <v>269</v>
      </c>
      <c r="B679" s="40" t="s">
        <v>32</v>
      </c>
      <c r="C679" s="41">
        <f t="shared" si="170"/>
        <v>30</v>
      </c>
      <c r="D679" s="41">
        <v>0</v>
      </c>
      <c r="E679" s="49">
        <v>30</v>
      </c>
      <c r="F679" s="41">
        <v>0</v>
      </c>
      <c r="G679" s="41">
        <v>0</v>
      </c>
      <c r="H679" s="41">
        <v>0</v>
      </c>
      <c r="I679" s="41">
        <v>0</v>
      </c>
    </row>
    <row r="680" spans="1:9" s="168" customFormat="1" x14ac:dyDescent="0.3">
      <c r="A680" s="60"/>
      <c r="B680" s="53" t="s">
        <v>33</v>
      </c>
      <c r="C680" s="49">
        <f t="shared" si="170"/>
        <v>30</v>
      </c>
      <c r="D680" s="49">
        <v>0</v>
      </c>
      <c r="E680" s="49">
        <v>30</v>
      </c>
      <c r="F680" s="49">
        <v>0</v>
      </c>
      <c r="G680" s="49">
        <v>0</v>
      </c>
      <c r="H680" s="49">
        <v>0</v>
      </c>
      <c r="I680" s="49">
        <v>0</v>
      </c>
    </row>
    <row r="681" spans="1:9" s="65" customFormat="1" ht="14.15" x14ac:dyDescent="0.3">
      <c r="A681" s="275" t="s">
        <v>270</v>
      </c>
      <c r="B681" s="40" t="s">
        <v>32</v>
      </c>
      <c r="C681" s="41">
        <f t="shared" si="170"/>
        <v>9</v>
      </c>
      <c r="D681" s="41">
        <v>0</v>
      </c>
      <c r="E681" s="49">
        <v>9</v>
      </c>
      <c r="F681" s="41">
        <v>0</v>
      </c>
      <c r="G681" s="41">
        <v>0</v>
      </c>
      <c r="H681" s="41">
        <v>0</v>
      </c>
      <c r="I681" s="41">
        <v>0</v>
      </c>
    </row>
    <row r="682" spans="1:9" s="168" customFormat="1" x14ac:dyDescent="0.3">
      <c r="A682" s="60"/>
      <c r="B682" s="53" t="s">
        <v>33</v>
      </c>
      <c r="C682" s="49">
        <f t="shared" si="170"/>
        <v>9</v>
      </c>
      <c r="D682" s="49">
        <v>0</v>
      </c>
      <c r="E682" s="49">
        <v>9</v>
      </c>
      <c r="F682" s="49">
        <v>0</v>
      </c>
      <c r="G682" s="49">
        <v>0</v>
      </c>
      <c r="H682" s="49">
        <v>0</v>
      </c>
      <c r="I682" s="49">
        <v>0</v>
      </c>
    </row>
    <row r="683" spans="1:9" s="126" customFormat="1" x14ac:dyDescent="0.3">
      <c r="A683" s="34" t="s">
        <v>44</v>
      </c>
      <c r="B683" s="124" t="s">
        <v>32</v>
      </c>
      <c r="C683" s="122">
        <f t="shared" si="170"/>
        <v>8</v>
      </c>
      <c r="D683" s="122">
        <f>D685+D687</f>
        <v>0</v>
      </c>
      <c r="E683" s="122">
        <f t="shared" ref="E683:I684" si="179">E685+E687</f>
        <v>8</v>
      </c>
      <c r="F683" s="122">
        <f t="shared" si="179"/>
        <v>0</v>
      </c>
      <c r="G683" s="122">
        <f t="shared" si="179"/>
        <v>0</v>
      </c>
      <c r="H683" s="122">
        <f t="shared" si="179"/>
        <v>0</v>
      </c>
      <c r="I683" s="122">
        <f t="shared" si="179"/>
        <v>0</v>
      </c>
    </row>
    <row r="684" spans="1:9" s="126" customFormat="1" x14ac:dyDescent="0.3">
      <c r="A684" s="127"/>
      <c r="B684" s="128" t="s">
        <v>33</v>
      </c>
      <c r="C684" s="122">
        <f t="shared" si="170"/>
        <v>8</v>
      </c>
      <c r="D684" s="122">
        <f>D686+D688</f>
        <v>0</v>
      </c>
      <c r="E684" s="122">
        <f t="shared" si="179"/>
        <v>8</v>
      </c>
      <c r="F684" s="122">
        <f t="shared" si="179"/>
        <v>0</v>
      </c>
      <c r="G684" s="122">
        <f t="shared" si="179"/>
        <v>0</v>
      </c>
      <c r="H684" s="122">
        <f t="shared" si="179"/>
        <v>0</v>
      </c>
      <c r="I684" s="122">
        <f t="shared" si="179"/>
        <v>0</v>
      </c>
    </row>
    <row r="685" spans="1:9" s="65" customFormat="1" ht="14.15" x14ac:dyDescent="0.3">
      <c r="A685" s="275" t="s">
        <v>271</v>
      </c>
      <c r="B685" s="40" t="s">
        <v>32</v>
      </c>
      <c r="C685" s="41">
        <f t="shared" si="170"/>
        <v>4</v>
      </c>
      <c r="D685" s="41">
        <v>0</v>
      </c>
      <c r="E685" s="49">
        <v>4</v>
      </c>
      <c r="F685" s="41">
        <v>0</v>
      </c>
      <c r="G685" s="41">
        <v>0</v>
      </c>
      <c r="H685" s="41">
        <v>0</v>
      </c>
      <c r="I685" s="41">
        <v>0</v>
      </c>
    </row>
    <row r="686" spans="1:9" s="168" customFormat="1" x14ac:dyDescent="0.3">
      <c r="A686" s="60"/>
      <c r="B686" s="53" t="s">
        <v>33</v>
      </c>
      <c r="C686" s="49">
        <f t="shared" si="170"/>
        <v>4</v>
      </c>
      <c r="D686" s="49">
        <v>0</v>
      </c>
      <c r="E686" s="49">
        <v>4</v>
      </c>
      <c r="F686" s="49">
        <v>0</v>
      </c>
      <c r="G686" s="49">
        <v>0</v>
      </c>
      <c r="H686" s="49">
        <v>0</v>
      </c>
      <c r="I686" s="49">
        <v>0</v>
      </c>
    </row>
    <row r="687" spans="1:9" s="65" customFormat="1" ht="14.15" x14ac:dyDescent="0.3">
      <c r="A687" s="277" t="s">
        <v>272</v>
      </c>
      <c r="B687" s="40" t="s">
        <v>32</v>
      </c>
      <c r="C687" s="41">
        <f t="shared" si="170"/>
        <v>4</v>
      </c>
      <c r="D687" s="41">
        <v>0</v>
      </c>
      <c r="E687" s="49">
        <v>4</v>
      </c>
      <c r="F687" s="41">
        <v>0</v>
      </c>
      <c r="G687" s="41">
        <v>0</v>
      </c>
      <c r="H687" s="41">
        <v>0</v>
      </c>
      <c r="I687" s="41">
        <v>0</v>
      </c>
    </row>
    <row r="688" spans="1:9" s="168" customFormat="1" x14ac:dyDescent="0.3">
      <c r="A688" s="60"/>
      <c r="B688" s="53" t="s">
        <v>33</v>
      </c>
      <c r="C688" s="49">
        <f t="shared" si="170"/>
        <v>4</v>
      </c>
      <c r="D688" s="49">
        <v>0</v>
      </c>
      <c r="E688" s="49">
        <v>4</v>
      </c>
      <c r="F688" s="49">
        <v>0</v>
      </c>
      <c r="G688" s="49">
        <v>0</v>
      </c>
      <c r="H688" s="49">
        <v>0</v>
      </c>
      <c r="I688" s="49">
        <v>0</v>
      </c>
    </row>
    <row r="689" spans="1:9" s="126" customFormat="1" x14ac:dyDescent="0.3">
      <c r="A689" s="269" t="s">
        <v>45</v>
      </c>
      <c r="B689" s="124" t="s">
        <v>32</v>
      </c>
      <c r="C689" s="122">
        <f t="shared" si="170"/>
        <v>410</v>
      </c>
      <c r="D689" s="122">
        <f>D691+D693+D695+D697+D699+D701+D703+D705+D707+D709+D711+D713</f>
        <v>72</v>
      </c>
      <c r="E689" s="122">
        <f t="shared" ref="E689:I690" si="180">E691+E693+E695+E697+E699+E701+E703+E705+E707+E709+E711+E713</f>
        <v>338</v>
      </c>
      <c r="F689" s="122">
        <f t="shared" si="180"/>
        <v>0</v>
      </c>
      <c r="G689" s="122">
        <f t="shared" si="180"/>
        <v>0</v>
      </c>
      <c r="H689" s="122">
        <f t="shared" si="180"/>
        <v>0</v>
      </c>
      <c r="I689" s="122">
        <f t="shared" si="180"/>
        <v>0</v>
      </c>
    </row>
    <row r="690" spans="1:9" s="126" customFormat="1" x14ac:dyDescent="0.3">
      <c r="A690" s="127"/>
      <c r="B690" s="128" t="s">
        <v>33</v>
      </c>
      <c r="C690" s="122">
        <f t="shared" si="170"/>
        <v>410</v>
      </c>
      <c r="D690" s="122">
        <f>D692+D694+D696+D698+D700+D702+D704+D706+D708+D710+D712+D714</f>
        <v>72</v>
      </c>
      <c r="E690" s="122">
        <f t="shared" si="180"/>
        <v>338</v>
      </c>
      <c r="F690" s="122">
        <f t="shared" si="180"/>
        <v>0</v>
      </c>
      <c r="G690" s="122">
        <f t="shared" si="180"/>
        <v>0</v>
      </c>
      <c r="H690" s="122">
        <f t="shared" si="180"/>
        <v>0</v>
      </c>
      <c r="I690" s="122">
        <f t="shared" si="180"/>
        <v>0</v>
      </c>
    </row>
    <row r="691" spans="1:9" s="65" customFormat="1" ht="29.25" customHeight="1" x14ac:dyDescent="0.35">
      <c r="A691" s="278" t="s">
        <v>273</v>
      </c>
      <c r="B691" s="40" t="s">
        <v>32</v>
      </c>
      <c r="C691" s="41">
        <f t="shared" si="170"/>
        <v>29</v>
      </c>
      <c r="D691" s="41">
        <v>29</v>
      </c>
      <c r="E691" s="41">
        <v>0</v>
      </c>
      <c r="F691" s="41">
        <v>0</v>
      </c>
      <c r="G691" s="41">
        <v>0</v>
      </c>
      <c r="H691" s="41">
        <v>0</v>
      </c>
      <c r="I691" s="41">
        <v>0</v>
      </c>
    </row>
    <row r="692" spans="1:9" s="1" customFormat="1" x14ac:dyDescent="0.3">
      <c r="A692" s="60"/>
      <c r="B692" s="53" t="s">
        <v>33</v>
      </c>
      <c r="C692" s="49">
        <f t="shared" si="170"/>
        <v>29</v>
      </c>
      <c r="D692" s="49">
        <v>29</v>
      </c>
      <c r="E692" s="49">
        <v>0</v>
      </c>
      <c r="F692" s="49">
        <v>0</v>
      </c>
      <c r="G692" s="49">
        <v>0</v>
      </c>
      <c r="H692" s="49">
        <v>0</v>
      </c>
      <c r="I692" s="49">
        <v>0</v>
      </c>
    </row>
    <row r="693" spans="1:9" s="65" customFormat="1" ht="29.25" customHeight="1" x14ac:dyDescent="0.35">
      <c r="A693" s="278" t="s">
        <v>274</v>
      </c>
      <c r="B693" s="40" t="s">
        <v>32</v>
      </c>
      <c r="C693" s="41">
        <f t="shared" si="170"/>
        <v>43</v>
      </c>
      <c r="D693" s="41">
        <v>43</v>
      </c>
      <c r="E693" s="41">
        <v>0</v>
      </c>
      <c r="F693" s="41">
        <v>0</v>
      </c>
      <c r="G693" s="41">
        <v>0</v>
      </c>
      <c r="H693" s="41">
        <v>0</v>
      </c>
      <c r="I693" s="41">
        <v>0</v>
      </c>
    </row>
    <row r="694" spans="1:9" s="1" customFormat="1" x14ac:dyDescent="0.3">
      <c r="A694" s="60"/>
      <c r="B694" s="53" t="s">
        <v>33</v>
      </c>
      <c r="C694" s="49">
        <f t="shared" si="170"/>
        <v>43</v>
      </c>
      <c r="D694" s="49">
        <v>43</v>
      </c>
      <c r="E694" s="49">
        <v>0</v>
      </c>
      <c r="F694" s="49">
        <v>0</v>
      </c>
      <c r="G694" s="49">
        <v>0</v>
      </c>
      <c r="H694" s="49">
        <v>0</v>
      </c>
      <c r="I694" s="49">
        <v>0</v>
      </c>
    </row>
    <row r="695" spans="1:9" s="65" customFormat="1" ht="29.25" customHeight="1" x14ac:dyDescent="0.3">
      <c r="A695" s="272" t="s">
        <v>275</v>
      </c>
      <c r="B695" s="40" t="s">
        <v>32</v>
      </c>
      <c r="C695" s="41">
        <f t="shared" si="170"/>
        <v>11</v>
      </c>
      <c r="D695" s="41">
        <v>0</v>
      </c>
      <c r="E695" s="41">
        <v>11</v>
      </c>
      <c r="F695" s="41">
        <v>0</v>
      </c>
      <c r="G695" s="41">
        <v>0</v>
      </c>
      <c r="H695" s="41">
        <v>0</v>
      </c>
      <c r="I695" s="41">
        <v>0</v>
      </c>
    </row>
    <row r="696" spans="1:9" s="1" customFormat="1" x14ac:dyDescent="0.3">
      <c r="A696" s="60"/>
      <c r="B696" s="53" t="s">
        <v>33</v>
      </c>
      <c r="C696" s="49">
        <f t="shared" si="170"/>
        <v>11</v>
      </c>
      <c r="D696" s="49">
        <v>0</v>
      </c>
      <c r="E696" s="49">
        <v>11</v>
      </c>
      <c r="F696" s="49">
        <v>0</v>
      </c>
      <c r="G696" s="49">
        <v>0</v>
      </c>
      <c r="H696" s="49">
        <v>0</v>
      </c>
      <c r="I696" s="49">
        <v>0</v>
      </c>
    </row>
    <row r="697" spans="1:9" s="65" customFormat="1" ht="16.5" customHeight="1" x14ac:dyDescent="0.3">
      <c r="A697" s="272" t="s">
        <v>276</v>
      </c>
      <c r="B697" s="40" t="s">
        <v>32</v>
      </c>
      <c r="C697" s="41">
        <f t="shared" si="170"/>
        <v>1</v>
      </c>
      <c r="D697" s="41">
        <v>0</v>
      </c>
      <c r="E697" s="41">
        <v>1</v>
      </c>
      <c r="F697" s="41">
        <v>0</v>
      </c>
      <c r="G697" s="41">
        <v>0</v>
      </c>
      <c r="H697" s="41">
        <v>0</v>
      </c>
      <c r="I697" s="41">
        <v>0</v>
      </c>
    </row>
    <row r="698" spans="1:9" s="1" customFormat="1" x14ac:dyDescent="0.3">
      <c r="A698" s="60"/>
      <c r="B698" s="53" t="s">
        <v>33</v>
      </c>
      <c r="C698" s="49">
        <f t="shared" si="170"/>
        <v>1</v>
      </c>
      <c r="D698" s="49">
        <v>0</v>
      </c>
      <c r="E698" s="49">
        <v>1</v>
      </c>
      <c r="F698" s="49">
        <v>0</v>
      </c>
      <c r="G698" s="49">
        <v>0</v>
      </c>
      <c r="H698" s="49">
        <v>0</v>
      </c>
      <c r="I698" s="49">
        <v>0</v>
      </c>
    </row>
    <row r="699" spans="1:9" s="65" customFormat="1" ht="16.5" customHeight="1" x14ac:dyDescent="0.3">
      <c r="A699" s="279" t="s">
        <v>277</v>
      </c>
      <c r="B699" s="40" t="s">
        <v>32</v>
      </c>
      <c r="C699" s="41">
        <f t="shared" si="170"/>
        <v>6</v>
      </c>
      <c r="D699" s="41">
        <v>0</v>
      </c>
      <c r="E699" s="49">
        <f>1+2+1+2</f>
        <v>6</v>
      </c>
      <c r="F699" s="41">
        <v>0</v>
      </c>
      <c r="G699" s="41">
        <v>0</v>
      </c>
      <c r="H699" s="41">
        <v>0</v>
      </c>
      <c r="I699" s="41">
        <v>0</v>
      </c>
    </row>
    <row r="700" spans="1:9" s="1" customFormat="1" x14ac:dyDescent="0.3">
      <c r="A700" s="60"/>
      <c r="B700" s="53" t="s">
        <v>33</v>
      </c>
      <c r="C700" s="49">
        <f t="shared" si="170"/>
        <v>6</v>
      </c>
      <c r="D700" s="49">
        <v>0</v>
      </c>
      <c r="E700" s="49">
        <f>1+2+1+2</f>
        <v>6</v>
      </c>
      <c r="F700" s="49">
        <v>0</v>
      </c>
      <c r="G700" s="49">
        <v>0</v>
      </c>
      <c r="H700" s="49">
        <v>0</v>
      </c>
      <c r="I700" s="49">
        <v>0</v>
      </c>
    </row>
    <row r="701" spans="1:9" s="65" customFormat="1" ht="16.5" customHeight="1" x14ac:dyDescent="0.3">
      <c r="A701" s="280" t="s">
        <v>278</v>
      </c>
      <c r="B701" s="40" t="s">
        <v>32</v>
      </c>
      <c r="C701" s="41">
        <f t="shared" si="170"/>
        <v>10</v>
      </c>
      <c r="D701" s="41">
        <v>0</v>
      </c>
      <c r="E701" s="49">
        <f>2+4+4</f>
        <v>10</v>
      </c>
      <c r="F701" s="41">
        <v>0</v>
      </c>
      <c r="G701" s="41">
        <v>0</v>
      </c>
      <c r="H701" s="41">
        <v>0</v>
      </c>
      <c r="I701" s="41">
        <v>0</v>
      </c>
    </row>
    <row r="702" spans="1:9" s="1" customFormat="1" x14ac:dyDescent="0.3">
      <c r="A702" s="60"/>
      <c r="B702" s="53" t="s">
        <v>33</v>
      </c>
      <c r="C702" s="49">
        <f t="shared" si="170"/>
        <v>10</v>
      </c>
      <c r="D702" s="49">
        <v>0</v>
      </c>
      <c r="E702" s="49">
        <f>2+4+4</f>
        <v>10</v>
      </c>
      <c r="F702" s="49">
        <v>0</v>
      </c>
      <c r="G702" s="49">
        <v>0</v>
      </c>
      <c r="H702" s="49">
        <v>0</v>
      </c>
      <c r="I702" s="49">
        <v>0</v>
      </c>
    </row>
    <row r="703" spans="1:9" s="65" customFormat="1" ht="16.5" customHeight="1" x14ac:dyDescent="0.3">
      <c r="A703" s="272" t="s">
        <v>279</v>
      </c>
      <c r="B703" s="40" t="s">
        <v>32</v>
      </c>
      <c r="C703" s="41">
        <f t="shared" si="170"/>
        <v>2</v>
      </c>
      <c r="D703" s="41">
        <v>0</v>
      </c>
      <c r="E703" s="41">
        <v>2</v>
      </c>
      <c r="F703" s="41">
        <v>0</v>
      </c>
      <c r="G703" s="41">
        <v>0</v>
      </c>
      <c r="H703" s="41">
        <v>0</v>
      </c>
      <c r="I703" s="41">
        <v>0</v>
      </c>
    </row>
    <row r="704" spans="1:9" s="1" customFormat="1" x14ac:dyDescent="0.3">
      <c r="A704" s="60"/>
      <c r="B704" s="53" t="s">
        <v>33</v>
      </c>
      <c r="C704" s="49">
        <f t="shared" si="170"/>
        <v>2</v>
      </c>
      <c r="D704" s="49">
        <v>0</v>
      </c>
      <c r="E704" s="49">
        <v>2</v>
      </c>
      <c r="F704" s="49">
        <v>0</v>
      </c>
      <c r="G704" s="49">
        <v>0</v>
      </c>
      <c r="H704" s="49">
        <v>0</v>
      </c>
      <c r="I704" s="49">
        <v>0</v>
      </c>
    </row>
    <row r="705" spans="1:9" s="65" customFormat="1" ht="16.5" customHeight="1" x14ac:dyDescent="0.3">
      <c r="A705" s="280" t="s">
        <v>280</v>
      </c>
      <c r="B705" s="40" t="s">
        <v>32</v>
      </c>
      <c r="C705" s="41">
        <f t="shared" si="170"/>
        <v>3</v>
      </c>
      <c r="D705" s="41">
        <v>0</v>
      </c>
      <c r="E705" s="49">
        <v>3</v>
      </c>
      <c r="F705" s="41">
        <v>0</v>
      </c>
      <c r="G705" s="41">
        <v>0</v>
      </c>
      <c r="H705" s="41">
        <v>0</v>
      </c>
      <c r="I705" s="41">
        <v>0</v>
      </c>
    </row>
    <row r="706" spans="1:9" s="1" customFormat="1" x14ac:dyDescent="0.3">
      <c r="A706" s="60"/>
      <c r="B706" s="53" t="s">
        <v>33</v>
      </c>
      <c r="C706" s="49">
        <f t="shared" si="170"/>
        <v>3</v>
      </c>
      <c r="D706" s="49">
        <v>0</v>
      </c>
      <c r="E706" s="49">
        <v>3</v>
      </c>
      <c r="F706" s="49">
        <v>0</v>
      </c>
      <c r="G706" s="49">
        <v>0</v>
      </c>
      <c r="H706" s="49">
        <v>0</v>
      </c>
      <c r="I706" s="49">
        <v>0</v>
      </c>
    </row>
    <row r="707" spans="1:9" s="65" customFormat="1" ht="16.5" customHeight="1" x14ac:dyDescent="0.3">
      <c r="A707" s="275" t="s">
        <v>281</v>
      </c>
      <c r="B707" s="40" t="s">
        <v>32</v>
      </c>
      <c r="C707" s="41">
        <f t="shared" ref="C707:C714" si="181">D707+E707+F707+G707+H707+I707</f>
        <v>26</v>
      </c>
      <c r="D707" s="41">
        <v>0</v>
      </c>
      <c r="E707" s="49">
        <v>26</v>
      </c>
      <c r="F707" s="41">
        <v>0</v>
      </c>
      <c r="G707" s="41">
        <v>0</v>
      </c>
      <c r="H707" s="41">
        <v>0</v>
      </c>
      <c r="I707" s="41">
        <v>0</v>
      </c>
    </row>
    <row r="708" spans="1:9" s="1" customFormat="1" x14ac:dyDescent="0.3">
      <c r="A708" s="60"/>
      <c r="B708" s="53" t="s">
        <v>33</v>
      </c>
      <c r="C708" s="49">
        <f t="shared" si="181"/>
        <v>26</v>
      </c>
      <c r="D708" s="49">
        <v>0</v>
      </c>
      <c r="E708" s="49">
        <v>26</v>
      </c>
      <c r="F708" s="49">
        <v>0</v>
      </c>
      <c r="G708" s="49">
        <v>0</v>
      </c>
      <c r="H708" s="49">
        <v>0</v>
      </c>
      <c r="I708" s="49">
        <v>0</v>
      </c>
    </row>
    <row r="709" spans="1:9" s="65" customFormat="1" ht="16.5" customHeight="1" x14ac:dyDescent="0.3">
      <c r="A709" s="275" t="s">
        <v>277</v>
      </c>
      <c r="B709" s="40" t="s">
        <v>32</v>
      </c>
      <c r="C709" s="41">
        <f t="shared" si="181"/>
        <v>4</v>
      </c>
      <c r="D709" s="41">
        <v>0</v>
      </c>
      <c r="E709" s="49">
        <f>3+1</f>
        <v>4</v>
      </c>
      <c r="F709" s="41">
        <v>0</v>
      </c>
      <c r="G709" s="41">
        <v>0</v>
      </c>
      <c r="H709" s="41">
        <v>0</v>
      </c>
      <c r="I709" s="41">
        <v>0</v>
      </c>
    </row>
    <row r="710" spans="1:9" s="1" customFormat="1" x14ac:dyDescent="0.3">
      <c r="A710" s="60"/>
      <c r="B710" s="53" t="s">
        <v>33</v>
      </c>
      <c r="C710" s="49">
        <f t="shared" si="181"/>
        <v>4</v>
      </c>
      <c r="D710" s="49">
        <v>0</v>
      </c>
      <c r="E710" s="49">
        <f>3+1</f>
        <v>4</v>
      </c>
      <c r="F710" s="49">
        <v>0</v>
      </c>
      <c r="G710" s="49">
        <v>0</v>
      </c>
      <c r="H710" s="49">
        <v>0</v>
      </c>
      <c r="I710" s="49">
        <v>0</v>
      </c>
    </row>
    <row r="711" spans="1:9" s="65" customFormat="1" ht="16.5" customHeight="1" x14ac:dyDescent="0.3">
      <c r="A711" s="275" t="s">
        <v>267</v>
      </c>
      <c r="B711" s="40" t="s">
        <v>32</v>
      </c>
      <c r="C711" s="41">
        <f t="shared" si="181"/>
        <v>0</v>
      </c>
      <c r="D711" s="41">
        <v>0</v>
      </c>
      <c r="E711" s="49">
        <f>24-24</f>
        <v>0</v>
      </c>
      <c r="F711" s="41">
        <v>0</v>
      </c>
      <c r="G711" s="41">
        <v>0</v>
      </c>
      <c r="H711" s="41">
        <v>0</v>
      </c>
      <c r="I711" s="41">
        <v>0</v>
      </c>
    </row>
    <row r="712" spans="1:9" s="1" customFormat="1" x14ac:dyDescent="0.3">
      <c r="A712" s="60"/>
      <c r="B712" s="53" t="s">
        <v>33</v>
      </c>
      <c r="C712" s="49">
        <f t="shared" si="181"/>
        <v>0</v>
      </c>
      <c r="D712" s="49">
        <v>0</v>
      </c>
      <c r="E712" s="49">
        <f>24-24</f>
        <v>0</v>
      </c>
      <c r="F712" s="49">
        <v>0</v>
      </c>
      <c r="G712" s="49">
        <v>0</v>
      </c>
      <c r="H712" s="49">
        <v>0</v>
      </c>
      <c r="I712" s="49">
        <v>0</v>
      </c>
    </row>
    <row r="713" spans="1:9" s="65" customFormat="1" ht="16.5" customHeight="1" x14ac:dyDescent="0.35">
      <c r="A713" s="276" t="s">
        <v>282</v>
      </c>
      <c r="B713" s="40" t="s">
        <v>32</v>
      </c>
      <c r="C713" s="41">
        <f t="shared" si="181"/>
        <v>275</v>
      </c>
      <c r="D713" s="41">
        <v>0</v>
      </c>
      <c r="E713" s="49">
        <v>275</v>
      </c>
      <c r="F713" s="41">
        <v>0</v>
      </c>
      <c r="G713" s="41">
        <v>0</v>
      </c>
      <c r="H713" s="41">
        <v>0</v>
      </c>
      <c r="I713" s="41">
        <v>0</v>
      </c>
    </row>
    <row r="714" spans="1:9" s="1" customFormat="1" x14ac:dyDescent="0.3">
      <c r="A714" s="60"/>
      <c r="B714" s="53" t="s">
        <v>33</v>
      </c>
      <c r="C714" s="49">
        <f t="shared" si="181"/>
        <v>275</v>
      </c>
      <c r="D714" s="49">
        <v>0</v>
      </c>
      <c r="E714" s="49">
        <v>275</v>
      </c>
      <c r="F714" s="49">
        <v>0</v>
      </c>
      <c r="G714" s="49">
        <v>0</v>
      </c>
      <c r="H714" s="49">
        <v>0</v>
      </c>
      <c r="I714" s="49">
        <v>0</v>
      </c>
    </row>
    <row r="715" spans="1:9" x14ac:dyDescent="0.3">
      <c r="A715" s="1019" t="s">
        <v>283</v>
      </c>
      <c r="B715" s="1017"/>
      <c r="C715" s="1017"/>
      <c r="D715" s="1017"/>
      <c r="E715" s="1017"/>
      <c r="F715" s="1017"/>
      <c r="G715" s="1017"/>
      <c r="H715" s="1017"/>
      <c r="I715" s="1018"/>
    </row>
    <row r="716" spans="1:9" x14ac:dyDescent="0.3">
      <c r="A716" s="71" t="s">
        <v>57</v>
      </c>
      <c r="B716" s="281" t="s">
        <v>32</v>
      </c>
      <c r="C716" s="165">
        <f t="shared" ref="C716:C737" si="182">D716+E716+F716+G716+H716+I716</f>
        <v>61</v>
      </c>
      <c r="D716" s="165">
        <f t="shared" ref="D716:I721" si="183">D718</f>
        <v>0</v>
      </c>
      <c r="E716" s="165">
        <f t="shared" si="183"/>
        <v>61</v>
      </c>
      <c r="F716" s="165">
        <f t="shared" si="183"/>
        <v>0</v>
      </c>
      <c r="G716" s="165">
        <f t="shared" si="183"/>
        <v>0</v>
      </c>
      <c r="H716" s="165">
        <f t="shared" si="183"/>
        <v>0</v>
      </c>
      <c r="I716" s="165">
        <f t="shared" si="183"/>
        <v>0</v>
      </c>
    </row>
    <row r="717" spans="1:9" x14ac:dyDescent="0.3">
      <c r="A717" s="60" t="s">
        <v>87</v>
      </c>
      <c r="B717" s="282" t="s">
        <v>33</v>
      </c>
      <c r="C717" s="165">
        <f t="shared" si="182"/>
        <v>61</v>
      </c>
      <c r="D717" s="165">
        <f t="shared" si="183"/>
        <v>0</v>
      </c>
      <c r="E717" s="165">
        <f t="shared" si="183"/>
        <v>61</v>
      </c>
      <c r="F717" s="165">
        <f t="shared" si="183"/>
        <v>0</v>
      </c>
      <c r="G717" s="165">
        <f t="shared" si="183"/>
        <v>0</v>
      </c>
      <c r="H717" s="165">
        <f t="shared" si="183"/>
        <v>0</v>
      </c>
      <c r="I717" s="165">
        <f t="shared" si="183"/>
        <v>0</v>
      </c>
    </row>
    <row r="718" spans="1:9" x14ac:dyDescent="0.3">
      <c r="A718" s="34" t="s">
        <v>50</v>
      </c>
      <c r="B718" s="56" t="s">
        <v>32</v>
      </c>
      <c r="C718" s="48">
        <f t="shared" si="182"/>
        <v>61</v>
      </c>
      <c r="D718" s="48">
        <f t="shared" si="183"/>
        <v>0</v>
      </c>
      <c r="E718" s="48">
        <f t="shared" si="183"/>
        <v>61</v>
      </c>
      <c r="F718" s="48">
        <f t="shared" si="183"/>
        <v>0</v>
      </c>
      <c r="G718" s="48">
        <f t="shared" si="183"/>
        <v>0</v>
      </c>
      <c r="H718" s="48">
        <f t="shared" si="183"/>
        <v>0</v>
      </c>
      <c r="I718" s="48">
        <f t="shared" si="183"/>
        <v>0</v>
      </c>
    </row>
    <row r="719" spans="1:9" x14ac:dyDescent="0.3">
      <c r="A719" s="60" t="s">
        <v>89</v>
      </c>
      <c r="B719" s="38" t="s">
        <v>33</v>
      </c>
      <c r="C719" s="48">
        <f t="shared" si="182"/>
        <v>61</v>
      </c>
      <c r="D719" s="48">
        <f t="shared" si="183"/>
        <v>0</v>
      </c>
      <c r="E719" s="48">
        <f t="shared" si="183"/>
        <v>61</v>
      </c>
      <c r="F719" s="48">
        <f t="shared" si="183"/>
        <v>0</v>
      </c>
      <c r="G719" s="48">
        <f t="shared" si="183"/>
        <v>0</v>
      </c>
      <c r="H719" s="48">
        <f t="shared" si="183"/>
        <v>0</v>
      </c>
      <c r="I719" s="48">
        <f t="shared" si="183"/>
        <v>0</v>
      </c>
    </row>
    <row r="720" spans="1:9" ht="12.9" x14ac:dyDescent="0.35">
      <c r="A720" s="54" t="s">
        <v>40</v>
      </c>
      <c r="B720" s="35" t="s">
        <v>32</v>
      </c>
      <c r="C720" s="48">
        <f t="shared" si="182"/>
        <v>61</v>
      </c>
      <c r="D720" s="48">
        <f t="shared" si="183"/>
        <v>0</v>
      </c>
      <c r="E720" s="48">
        <f t="shared" si="183"/>
        <v>61</v>
      </c>
      <c r="F720" s="48">
        <f t="shared" si="183"/>
        <v>0</v>
      </c>
      <c r="G720" s="48">
        <f t="shared" si="183"/>
        <v>0</v>
      </c>
      <c r="H720" s="48">
        <f t="shared" si="183"/>
        <v>0</v>
      </c>
      <c r="I720" s="48">
        <f t="shared" si="183"/>
        <v>0</v>
      </c>
    </row>
    <row r="721" spans="1:15" ht="12.9" x14ac:dyDescent="0.35">
      <c r="A721" s="43"/>
      <c r="B721" s="38" t="s">
        <v>33</v>
      </c>
      <c r="C721" s="48">
        <f t="shared" si="182"/>
        <v>61</v>
      </c>
      <c r="D721" s="48">
        <f t="shared" si="183"/>
        <v>0</v>
      </c>
      <c r="E721" s="48">
        <f t="shared" si="183"/>
        <v>61</v>
      </c>
      <c r="F721" s="48">
        <f t="shared" si="183"/>
        <v>0</v>
      </c>
      <c r="G721" s="48">
        <f t="shared" si="183"/>
        <v>0</v>
      </c>
      <c r="H721" s="48">
        <f t="shared" si="183"/>
        <v>0</v>
      </c>
      <c r="I721" s="48">
        <f t="shared" si="183"/>
        <v>0</v>
      </c>
    </row>
    <row r="722" spans="1:15" x14ac:dyDescent="0.3">
      <c r="A722" s="72" t="s">
        <v>53</v>
      </c>
      <c r="B722" s="56" t="s">
        <v>32</v>
      </c>
      <c r="C722" s="48">
        <f t="shared" si="182"/>
        <v>61</v>
      </c>
      <c r="D722" s="48">
        <f>D724+D732</f>
        <v>0</v>
      </c>
      <c r="E722" s="48">
        <f t="shared" ref="E722:I723" si="184">E724+E732</f>
        <v>61</v>
      </c>
      <c r="F722" s="48">
        <f t="shared" si="184"/>
        <v>0</v>
      </c>
      <c r="G722" s="48">
        <f t="shared" si="184"/>
        <v>0</v>
      </c>
      <c r="H722" s="48">
        <f t="shared" si="184"/>
        <v>0</v>
      </c>
      <c r="I722" s="48">
        <f t="shared" si="184"/>
        <v>0</v>
      </c>
    </row>
    <row r="723" spans="1:15" x14ac:dyDescent="0.3">
      <c r="A723" s="63"/>
      <c r="B723" s="38" t="s">
        <v>33</v>
      </c>
      <c r="C723" s="48">
        <f t="shared" si="182"/>
        <v>61</v>
      </c>
      <c r="D723" s="48">
        <f>D725+D733</f>
        <v>0</v>
      </c>
      <c r="E723" s="48">
        <f t="shared" si="184"/>
        <v>61</v>
      </c>
      <c r="F723" s="48">
        <f t="shared" si="184"/>
        <v>0</v>
      </c>
      <c r="G723" s="48">
        <f t="shared" si="184"/>
        <v>0</v>
      </c>
      <c r="H723" s="48">
        <f t="shared" si="184"/>
        <v>0</v>
      </c>
      <c r="I723" s="48">
        <f t="shared" si="184"/>
        <v>0</v>
      </c>
    </row>
    <row r="724" spans="1:15" s="14" customFormat="1" x14ac:dyDescent="0.3">
      <c r="A724" s="15" t="s">
        <v>43</v>
      </c>
      <c r="B724" s="12" t="s">
        <v>32</v>
      </c>
      <c r="C724" s="36">
        <f t="shared" si="182"/>
        <v>59</v>
      </c>
      <c r="D724" s="36">
        <f t="shared" ref="D724:I725" si="185">D726</f>
        <v>0</v>
      </c>
      <c r="E724" s="36">
        <f t="shared" si="185"/>
        <v>59</v>
      </c>
      <c r="F724" s="36">
        <f t="shared" si="185"/>
        <v>0</v>
      </c>
      <c r="G724" s="36">
        <f t="shared" si="185"/>
        <v>0</v>
      </c>
      <c r="H724" s="36">
        <f t="shared" si="185"/>
        <v>0</v>
      </c>
      <c r="I724" s="36">
        <f t="shared" si="185"/>
        <v>0</v>
      </c>
    </row>
    <row r="725" spans="1:15" s="14" customFormat="1" x14ac:dyDescent="0.3">
      <c r="A725" s="19"/>
      <c r="B725" s="23" t="s">
        <v>33</v>
      </c>
      <c r="C725" s="36">
        <f t="shared" si="182"/>
        <v>59</v>
      </c>
      <c r="D725" s="36">
        <f t="shared" si="185"/>
        <v>0</v>
      </c>
      <c r="E725" s="122">
        <f t="shared" si="185"/>
        <v>59</v>
      </c>
      <c r="F725" s="36">
        <f t="shared" si="185"/>
        <v>0</v>
      </c>
      <c r="G725" s="36">
        <f t="shared" si="185"/>
        <v>0</v>
      </c>
      <c r="H725" s="36">
        <f t="shared" si="185"/>
        <v>0</v>
      </c>
      <c r="I725" s="36">
        <f t="shared" si="185"/>
        <v>0</v>
      </c>
    </row>
    <row r="726" spans="1:15" s="157" customFormat="1" x14ac:dyDescent="0.3">
      <c r="A726" s="283" t="s">
        <v>284</v>
      </c>
      <c r="B726" s="40" t="s">
        <v>32</v>
      </c>
      <c r="C726" s="143">
        <f t="shared" si="182"/>
        <v>59</v>
      </c>
      <c r="D726" s="143">
        <f>D728+D730</f>
        <v>0</v>
      </c>
      <c r="E726" s="143">
        <f t="shared" ref="E726:I727" si="186">E728+E730</f>
        <v>59</v>
      </c>
      <c r="F726" s="143">
        <f t="shared" si="186"/>
        <v>0</v>
      </c>
      <c r="G726" s="143">
        <f t="shared" si="186"/>
        <v>0</v>
      </c>
      <c r="H726" s="143">
        <f t="shared" si="186"/>
        <v>0</v>
      </c>
      <c r="I726" s="143">
        <f t="shared" si="186"/>
        <v>0</v>
      </c>
    </row>
    <row r="727" spans="1:15" s="157" customFormat="1" x14ac:dyDescent="0.3">
      <c r="A727" s="63"/>
      <c r="B727" s="44" t="s">
        <v>33</v>
      </c>
      <c r="C727" s="143">
        <f t="shared" si="182"/>
        <v>59</v>
      </c>
      <c r="D727" s="143">
        <f>D729+D731</f>
        <v>0</v>
      </c>
      <c r="E727" s="143">
        <f t="shared" si="186"/>
        <v>59</v>
      </c>
      <c r="F727" s="143">
        <f t="shared" si="186"/>
        <v>0</v>
      </c>
      <c r="G727" s="143">
        <f t="shared" si="186"/>
        <v>0</v>
      </c>
      <c r="H727" s="143">
        <f t="shared" si="186"/>
        <v>0</v>
      </c>
      <c r="I727" s="143">
        <f t="shared" si="186"/>
        <v>0</v>
      </c>
    </row>
    <row r="728" spans="1:15" s="131" customFormat="1" ht="14.15" x14ac:dyDescent="0.3">
      <c r="A728" s="284" t="s">
        <v>263</v>
      </c>
      <c r="B728" s="40" t="s">
        <v>32</v>
      </c>
      <c r="C728" s="143">
        <f t="shared" si="182"/>
        <v>4</v>
      </c>
      <c r="D728" s="143">
        <v>0</v>
      </c>
      <c r="E728" s="41">
        <v>4</v>
      </c>
      <c r="F728" s="143">
        <v>0</v>
      </c>
      <c r="G728" s="143">
        <v>0</v>
      </c>
      <c r="H728" s="143">
        <v>0</v>
      </c>
      <c r="I728" s="143">
        <v>0</v>
      </c>
      <c r="J728" s="1036"/>
      <c r="K728" s="1114"/>
      <c r="L728" s="1114"/>
      <c r="M728" s="1114"/>
      <c r="N728" s="1114"/>
      <c r="O728" s="1114"/>
    </row>
    <row r="729" spans="1:15" s="131" customFormat="1" x14ac:dyDescent="0.3">
      <c r="A729" s="63"/>
      <c r="B729" s="44" t="s">
        <v>33</v>
      </c>
      <c r="C729" s="143">
        <f t="shared" si="182"/>
        <v>4</v>
      </c>
      <c r="D729" s="143">
        <v>0</v>
      </c>
      <c r="E729" s="41">
        <v>4</v>
      </c>
      <c r="F729" s="143">
        <v>0</v>
      </c>
      <c r="G729" s="143">
        <v>0</v>
      </c>
      <c r="H729" s="143">
        <v>0</v>
      </c>
      <c r="I729" s="143">
        <v>0</v>
      </c>
      <c r="J729" s="1036"/>
      <c r="K729" s="1114"/>
      <c r="L729" s="1114"/>
      <c r="M729" s="1114"/>
      <c r="N729" s="1114"/>
      <c r="O729" s="1114"/>
    </row>
    <row r="730" spans="1:15" s="131" customFormat="1" ht="14.15" x14ac:dyDescent="0.3">
      <c r="A730" s="272" t="s">
        <v>262</v>
      </c>
      <c r="B730" s="40" t="s">
        <v>32</v>
      </c>
      <c r="C730" s="143">
        <f t="shared" si="182"/>
        <v>55</v>
      </c>
      <c r="D730" s="143">
        <v>0</v>
      </c>
      <c r="E730" s="41">
        <v>55</v>
      </c>
      <c r="F730" s="143">
        <v>0</v>
      </c>
      <c r="G730" s="143">
        <v>0</v>
      </c>
      <c r="H730" s="143">
        <v>0</v>
      </c>
      <c r="I730" s="143">
        <v>0</v>
      </c>
      <c r="J730" s="1036"/>
      <c r="K730" s="1114"/>
      <c r="L730" s="1114"/>
      <c r="M730" s="1114"/>
      <c r="N730" s="1114"/>
      <c r="O730" s="1114"/>
    </row>
    <row r="731" spans="1:15" s="131" customFormat="1" x14ac:dyDescent="0.3">
      <c r="A731" s="63"/>
      <c r="B731" s="44" t="s">
        <v>33</v>
      </c>
      <c r="C731" s="143">
        <f t="shared" si="182"/>
        <v>55</v>
      </c>
      <c r="D731" s="143">
        <v>0</v>
      </c>
      <c r="E731" s="41">
        <v>55</v>
      </c>
      <c r="F731" s="143">
        <v>0</v>
      </c>
      <c r="G731" s="143">
        <v>0</v>
      </c>
      <c r="H731" s="143">
        <v>0</v>
      </c>
      <c r="I731" s="143">
        <v>0</v>
      </c>
      <c r="J731" s="1036"/>
      <c r="K731" s="1114"/>
      <c r="L731" s="1114"/>
      <c r="M731" s="1114"/>
      <c r="N731" s="1114"/>
      <c r="O731" s="1114"/>
    </row>
    <row r="732" spans="1:15" s="126" customFormat="1" x14ac:dyDescent="0.3">
      <c r="A732" s="285" t="s">
        <v>45</v>
      </c>
      <c r="B732" s="124" t="s">
        <v>32</v>
      </c>
      <c r="C732" s="122">
        <f t="shared" si="182"/>
        <v>2</v>
      </c>
      <c r="D732" s="122">
        <f>D734</f>
        <v>0</v>
      </c>
      <c r="E732" s="122">
        <f t="shared" ref="E732:I735" si="187">E734</f>
        <v>2</v>
      </c>
      <c r="F732" s="122">
        <f t="shared" si="187"/>
        <v>0</v>
      </c>
      <c r="G732" s="122">
        <f t="shared" si="187"/>
        <v>0</v>
      </c>
      <c r="H732" s="122">
        <f t="shared" si="187"/>
        <v>0</v>
      </c>
      <c r="I732" s="122">
        <f t="shared" si="187"/>
        <v>0</v>
      </c>
    </row>
    <row r="733" spans="1:15" s="126" customFormat="1" x14ac:dyDescent="0.3">
      <c r="A733" s="127"/>
      <c r="B733" s="128" t="s">
        <v>33</v>
      </c>
      <c r="C733" s="122">
        <f t="shared" si="182"/>
        <v>2</v>
      </c>
      <c r="D733" s="122">
        <f>D735</f>
        <v>0</v>
      </c>
      <c r="E733" s="122">
        <f t="shared" si="187"/>
        <v>2</v>
      </c>
      <c r="F733" s="122">
        <f t="shared" si="187"/>
        <v>0</v>
      </c>
      <c r="G733" s="122">
        <f t="shared" si="187"/>
        <v>0</v>
      </c>
      <c r="H733" s="122">
        <f t="shared" si="187"/>
        <v>0</v>
      </c>
      <c r="I733" s="122">
        <f t="shared" si="187"/>
        <v>0</v>
      </c>
    </row>
    <row r="734" spans="1:15" s="157" customFormat="1" x14ac:dyDescent="0.3">
      <c r="A734" s="283" t="s">
        <v>284</v>
      </c>
      <c r="B734" s="40" t="s">
        <v>32</v>
      </c>
      <c r="C734" s="143">
        <f t="shared" si="182"/>
        <v>2</v>
      </c>
      <c r="D734" s="143">
        <f>D736</f>
        <v>0</v>
      </c>
      <c r="E734" s="143">
        <f t="shared" si="187"/>
        <v>2</v>
      </c>
      <c r="F734" s="143">
        <f t="shared" si="187"/>
        <v>0</v>
      </c>
      <c r="G734" s="143">
        <f t="shared" si="187"/>
        <v>0</v>
      </c>
      <c r="H734" s="143">
        <f t="shared" si="187"/>
        <v>0</v>
      </c>
      <c r="I734" s="143">
        <f t="shared" si="187"/>
        <v>0</v>
      </c>
    </row>
    <row r="735" spans="1:15" s="157" customFormat="1" x14ac:dyDescent="0.3">
      <c r="A735" s="63"/>
      <c r="B735" s="44" t="s">
        <v>33</v>
      </c>
      <c r="C735" s="143">
        <f t="shared" si="182"/>
        <v>2</v>
      </c>
      <c r="D735" s="143">
        <f>D737</f>
        <v>0</v>
      </c>
      <c r="E735" s="143">
        <f t="shared" si="187"/>
        <v>2</v>
      </c>
      <c r="F735" s="143">
        <f t="shared" si="187"/>
        <v>0</v>
      </c>
      <c r="G735" s="143">
        <f t="shared" si="187"/>
        <v>0</v>
      </c>
      <c r="H735" s="143">
        <f t="shared" si="187"/>
        <v>0</v>
      </c>
      <c r="I735" s="143">
        <f t="shared" si="187"/>
        <v>0</v>
      </c>
    </row>
    <row r="736" spans="1:15" s="65" customFormat="1" ht="15" customHeight="1" x14ac:dyDescent="0.3">
      <c r="A736" s="275" t="s">
        <v>285</v>
      </c>
      <c r="B736" s="40" t="s">
        <v>32</v>
      </c>
      <c r="C736" s="41">
        <f t="shared" si="182"/>
        <v>2</v>
      </c>
      <c r="D736" s="41">
        <v>0</v>
      </c>
      <c r="E736" s="41">
        <v>2</v>
      </c>
      <c r="F736" s="41">
        <v>0</v>
      </c>
      <c r="G736" s="41">
        <v>0</v>
      </c>
      <c r="H736" s="41">
        <v>0</v>
      </c>
      <c r="I736" s="41">
        <v>0</v>
      </c>
    </row>
    <row r="737" spans="1:9" s="1" customFormat="1" x14ac:dyDescent="0.3">
      <c r="A737" s="60"/>
      <c r="B737" s="53" t="s">
        <v>33</v>
      </c>
      <c r="C737" s="49">
        <f t="shared" si="182"/>
        <v>2</v>
      </c>
      <c r="D737" s="49">
        <v>0</v>
      </c>
      <c r="E737" s="49">
        <v>2</v>
      </c>
      <c r="F737" s="49">
        <v>0</v>
      </c>
      <c r="G737" s="49">
        <v>0</v>
      </c>
      <c r="H737" s="49">
        <v>0</v>
      </c>
      <c r="I737" s="49">
        <v>0</v>
      </c>
    </row>
    <row r="738" spans="1:9" x14ac:dyDescent="0.3">
      <c r="A738" s="1115" t="s">
        <v>286</v>
      </c>
      <c r="B738" s="1116"/>
      <c r="C738" s="1116"/>
      <c r="D738" s="1116"/>
      <c r="E738" s="1116"/>
      <c r="F738" s="1116"/>
      <c r="G738" s="1116"/>
      <c r="H738" s="1116"/>
      <c r="I738" s="1117"/>
    </row>
    <row r="739" spans="1:9" x14ac:dyDescent="0.3">
      <c r="A739" s="71" t="s">
        <v>57</v>
      </c>
      <c r="B739" s="281" t="s">
        <v>32</v>
      </c>
      <c r="C739" s="165">
        <f t="shared" ref="C739:C745" si="188">D739+E739+F739+G739+H739+I739</f>
        <v>45</v>
      </c>
      <c r="D739" s="165">
        <f t="shared" ref="D739:I748" si="189">D741</f>
        <v>0</v>
      </c>
      <c r="E739" s="165">
        <f t="shared" si="189"/>
        <v>45</v>
      </c>
      <c r="F739" s="165">
        <f t="shared" si="189"/>
        <v>0</v>
      </c>
      <c r="G739" s="165">
        <f t="shared" si="189"/>
        <v>0</v>
      </c>
      <c r="H739" s="165">
        <f t="shared" si="189"/>
        <v>0</v>
      </c>
      <c r="I739" s="165">
        <f t="shared" si="189"/>
        <v>0</v>
      </c>
    </row>
    <row r="740" spans="1:9" x14ac:dyDescent="0.3">
      <c r="A740" s="60" t="s">
        <v>87</v>
      </c>
      <c r="B740" s="282" t="s">
        <v>33</v>
      </c>
      <c r="C740" s="165">
        <f t="shared" si="188"/>
        <v>45</v>
      </c>
      <c r="D740" s="165">
        <f t="shared" si="189"/>
        <v>0</v>
      </c>
      <c r="E740" s="165">
        <f t="shared" si="189"/>
        <v>45</v>
      </c>
      <c r="F740" s="165">
        <f t="shared" si="189"/>
        <v>0</v>
      </c>
      <c r="G740" s="165">
        <f t="shared" si="189"/>
        <v>0</v>
      </c>
      <c r="H740" s="165">
        <f t="shared" si="189"/>
        <v>0</v>
      </c>
      <c r="I740" s="165">
        <f t="shared" si="189"/>
        <v>0</v>
      </c>
    </row>
    <row r="741" spans="1:9" x14ac:dyDescent="0.3">
      <c r="A741" s="15" t="s">
        <v>34</v>
      </c>
      <c r="B741" s="56" t="s">
        <v>32</v>
      </c>
      <c r="C741" s="48">
        <f t="shared" si="188"/>
        <v>45</v>
      </c>
      <c r="D741" s="48">
        <f t="shared" si="189"/>
        <v>0</v>
      </c>
      <c r="E741" s="48">
        <f t="shared" si="189"/>
        <v>45</v>
      </c>
      <c r="F741" s="48">
        <f t="shared" si="189"/>
        <v>0</v>
      </c>
      <c r="G741" s="48">
        <f t="shared" si="189"/>
        <v>0</v>
      </c>
      <c r="H741" s="48">
        <f t="shared" si="189"/>
        <v>0</v>
      </c>
      <c r="I741" s="48">
        <f t="shared" si="189"/>
        <v>0</v>
      </c>
    </row>
    <row r="742" spans="1:9" x14ac:dyDescent="0.3">
      <c r="A742" s="60" t="s">
        <v>89</v>
      </c>
      <c r="B742" s="38" t="s">
        <v>33</v>
      </c>
      <c r="C742" s="48">
        <f t="shared" si="188"/>
        <v>45</v>
      </c>
      <c r="D742" s="48">
        <f t="shared" si="189"/>
        <v>0</v>
      </c>
      <c r="E742" s="48">
        <f t="shared" si="189"/>
        <v>45</v>
      </c>
      <c r="F742" s="48">
        <f t="shared" si="189"/>
        <v>0</v>
      </c>
      <c r="G742" s="48">
        <f t="shared" si="189"/>
        <v>0</v>
      </c>
      <c r="H742" s="48">
        <f t="shared" si="189"/>
        <v>0</v>
      </c>
      <c r="I742" s="48">
        <f t="shared" si="189"/>
        <v>0</v>
      </c>
    </row>
    <row r="743" spans="1:9" ht="12.9" x14ac:dyDescent="0.35">
      <c r="A743" s="54" t="s">
        <v>40</v>
      </c>
      <c r="B743" s="35" t="s">
        <v>32</v>
      </c>
      <c r="C743" s="48">
        <f t="shared" si="188"/>
        <v>45</v>
      </c>
      <c r="D743" s="48">
        <f t="shared" si="189"/>
        <v>0</v>
      </c>
      <c r="E743" s="48">
        <f t="shared" si="189"/>
        <v>45</v>
      </c>
      <c r="F743" s="48">
        <f t="shared" si="189"/>
        <v>0</v>
      </c>
      <c r="G743" s="48">
        <f t="shared" si="189"/>
        <v>0</v>
      </c>
      <c r="H743" s="48">
        <f t="shared" si="189"/>
        <v>0</v>
      </c>
      <c r="I743" s="48">
        <f t="shared" si="189"/>
        <v>0</v>
      </c>
    </row>
    <row r="744" spans="1:9" ht="12.9" x14ac:dyDescent="0.35">
      <c r="A744" s="43"/>
      <c r="B744" s="38" t="s">
        <v>33</v>
      </c>
      <c r="C744" s="48">
        <f t="shared" si="188"/>
        <v>45</v>
      </c>
      <c r="D744" s="48">
        <f t="shared" si="189"/>
        <v>0</v>
      </c>
      <c r="E744" s="48">
        <f t="shared" si="189"/>
        <v>45</v>
      </c>
      <c r="F744" s="48">
        <f t="shared" si="189"/>
        <v>0</v>
      </c>
      <c r="G744" s="48">
        <f t="shared" si="189"/>
        <v>0</v>
      </c>
      <c r="H744" s="48">
        <f t="shared" si="189"/>
        <v>0</v>
      </c>
      <c r="I744" s="48">
        <f t="shared" si="189"/>
        <v>0</v>
      </c>
    </row>
    <row r="745" spans="1:9" x14ac:dyDescent="0.3">
      <c r="A745" s="72" t="s">
        <v>53</v>
      </c>
      <c r="B745" s="56" t="s">
        <v>32</v>
      </c>
      <c r="C745" s="48">
        <f t="shared" si="188"/>
        <v>45</v>
      </c>
      <c r="D745" s="48">
        <f t="shared" ref="D745:I746" si="190">D747+D757+D773</f>
        <v>0</v>
      </c>
      <c r="E745" s="48">
        <f t="shared" si="190"/>
        <v>45</v>
      </c>
      <c r="F745" s="48">
        <f t="shared" si="190"/>
        <v>0</v>
      </c>
      <c r="G745" s="48">
        <f t="shared" si="190"/>
        <v>0</v>
      </c>
      <c r="H745" s="48">
        <f t="shared" si="190"/>
        <v>0</v>
      </c>
      <c r="I745" s="48">
        <f t="shared" si="190"/>
        <v>0</v>
      </c>
    </row>
    <row r="746" spans="1:9" x14ac:dyDescent="0.3">
      <c r="A746" s="63"/>
      <c r="B746" s="38" t="s">
        <v>33</v>
      </c>
      <c r="C746" s="48">
        <f>D746+E746+F746+G746+H746+I746</f>
        <v>45</v>
      </c>
      <c r="D746" s="48">
        <f t="shared" si="190"/>
        <v>0</v>
      </c>
      <c r="E746" s="48">
        <f t="shared" si="190"/>
        <v>45</v>
      </c>
      <c r="F746" s="48">
        <f t="shared" si="190"/>
        <v>0</v>
      </c>
      <c r="G746" s="48">
        <f t="shared" si="190"/>
        <v>0</v>
      </c>
      <c r="H746" s="48">
        <f t="shared" si="190"/>
        <v>0</v>
      </c>
      <c r="I746" s="48">
        <f t="shared" si="190"/>
        <v>0</v>
      </c>
    </row>
    <row r="747" spans="1:9" s="14" customFormat="1" x14ac:dyDescent="0.3">
      <c r="A747" s="15" t="s">
        <v>43</v>
      </c>
      <c r="B747" s="12" t="s">
        <v>32</v>
      </c>
      <c r="C747" s="36">
        <f t="shared" ref="C747:C749" si="191">D747+E747+F747+G747+H747+I747</f>
        <v>16</v>
      </c>
      <c r="D747" s="36">
        <f>D749</f>
        <v>0</v>
      </c>
      <c r="E747" s="36">
        <f t="shared" si="189"/>
        <v>16</v>
      </c>
      <c r="F747" s="36">
        <f t="shared" si="189"/>
        <v>0</v>
      </c>
      <c r="G747" s="36">
        <f t="shared" si="189"/>
        <v>0</v>
      </c>
      <c r="H747" s="36">
        <f t="shared" si="189"/>
        <v>0</v>
      </c>
      <c r="I747" s="36">
        <f t="shared" si="189"/>
        <v>0</v>
      </c>
    </row>
    <row r="748" spans="1:9" s="14" customFormat="1" x14ac:dyDescent="0.3">
      <c r="A748" s="19"/>
      <c r="B748" s="23" t="s">
        <v>33</v>
      </c>
      <c r="C748" s="36">
        <f t="shared" si="191"/>
        <v>16</v>
      </c>
      <c r="D748" s="36">
        <f>D750</f>
        <v>0</v>
      </c>
      <c r="E748" s="36">
        <f t="shared" si="189"/>
        <v>16</v>
      </c>
      <c r="F748" s="36">
        <f t="shared" si="189"/>
        <v>0</v>
      </c>
      <c r="G748" s="36">
        <f t="shared" si="189"/>
        <v>0</v>
      </c>
      <c r="H748" s="36">
        <f t="shared" si="189"/>
        <v>0</v>
      </c>
      <c r="I748" s="36">
        <f t="shared" si="189"/>
        <v>0</v>
      </c>
    </row>
    <row r="749" spans="1:9" x14ac:dyDescent="0.3">
      <c r="A749" s="289" t="s">
        <v>287</v>
      </c>
      <c r="B749" s="56" t="s">
        <v>32</v>
      </c>
      <c r="C749" s="48">
        <f t="shared" si="191"/>
        <v>16</v>
      </c>
      <c r="D749" s="48">
        <f>D751+D753+D755</f>
        <v>0</v>
      </c>
      <c r="E749" s="48">
        <f t="shared" ref="E749:I750" si="192">E751+E753+E755</f>
        <v>16</v>
      </c>
      <c r="F749" s="48">
        <f t="shared" si="192"/>
        <v>0</v>
      </c>
      <c r="G749" s="48">
        <f t="shared" si="192"/>
        <v>0</v>
      </c>
      <c r="H749" s="48">
        <f t="shared" si="192"/>
        <v>0</v>
      </c>
      <c r="I749" s="48">
        <f t="shared" si="192"/>
        <v>0</v>
      </c>
    </row>
    <row r="750" spans="1:9" x14ac:dyDescent="0.3">
      <c r="A750" s="63"/>
      <c r="B750" s="38" t="s">
        <v>33</v>
      </c>
      <c r="C750" s="48">
        <f>D750+E750+F750+G750+H750+I750</f>
        <v>16</v>
      </c>
      <c r="D750" s="48">
        <f>D752+D754+D756</f>
        <v>0</v>
      </c>
      <c r="E750" s="48">
        <f t="shared" si="192"/>
        <v>16</v>
      </c>
      <c r="F750" s="48">
        <f t="shared" si="192"/>
        <v>0</v>
      </c>
      <c r="G750" s="48">
        <f t="shared" si="192"/>
        <v>0</v>
      </c>
      <c r="H750" s="48">
        <f t="shared" si="192"/>
        <v>0</v>
      </c>
      <c r="I750" s="48">
        <f t="shared" si="192"/>
        <v>0</v>
      </c>
    </row>
    <row r="751" spans="1:9" s="65" customFormat="1" ht="14.15" x14ac:dyDescent="0.35">
      <c r="A751" s="276" t="s">
        <v>288</v>
      </c>
      <c r="B751" s="40" t="s">
        <v>32</v>
      </c>
      <c r="C751" s="41">
        <f t="shared" ref="C751" si="193">D751+E751+F751+G751+H751+I751</f>
        <v>5</v>
      </c>
      <c r="D751" s="41">
        <v>0</v>
      </c>
      <c r="E751" s="41">
        <v>5</v>
      </c>
      <c r="F751" s="41">
        <v>0</v>
      </c>
      <c r="G751" s="41">
        <v>0</v>
      </c>
      <c r="H751" s="41">
        <v>0</v>
      </c>
      <c r="I751" s="41">
        <v>0</v>
      </c>
    </row>
    <row r="752" spans="1:9" s="42" customFormat="1" ht="14.15" x14ac:dyDescent="0.35">
      <c r="A752" s="290"/>
      <c r="B752" s="44" t="s">
        <v>33</v>
      </c>
      <c r="C752" s="41">
        <f>D752+E752+F752+G752+H752+I752</f>
        <v>5</v>
      </c>
      <c r="D752" s="41">
        <v>0</v>
      </c>
      <c r="E752" s="41">
        <v>5</v>
      </c>
      <c r="F752" s="41">
        <v>0</v>
      </c>
      <c r="G752" s="41">
        <v>0</v>
      </c>
      <c r="H752" s="41">
        <v>0</v>
      </c>
      <c r="I752" s="41">
        <v>0</v>
      </c>
    </row>
    <row r="753" spans="1:9" s="65" customFormat="1" ht="14.15" x14ac:dyDescent="0.35">
      <c r="A753" s="276" t="s">
        <v>289</v>
      </c>
      <c r="B753" s="40" t="s">
        <v>32</v>
      </c>
      <c r="C753" s="41">
        <f t="shared" ref="C753" si="194">D753+E753+F753+G753+H753+I753</f>
        <v>5</v>
      </c>
      <c r="D753" s="41">
        <v>0</v>
      </c>
      <c r="E753" s="41">
        <v>5</v>
      </c>
      <c r="F753" s="41">
        <v>0</v>
      </c>
      <c r="G753" s="41">
        <v>0</v>
      </c>
      <c r="H753" s="41">
        <v>0</v>
      </c>
      <c r="I753" s="41">
        <v>0</v>
      </c>
    </row>
    <row r="754" spans="1:9" s="42" customFormat="1" x14ac:dyDescent="0.3">
      <c r="A754" s="63"/>
      <c r="B754" s="44" t="s">
        <v>33</v>
      </c>
      <c r="C754" s="41">
        <f>D754+E754+F754+G754+H754+I754</f>
        <v>5</v>
      </c>
      <c r="D754" s="41">
        <v>0</v>
      </c>
      <c r="E754" s="41">
        <v>5</v>
      </c>
      <c r="F754" s="41">
        <v>0</v>
      </c>
      <c r="G754" s="41">
        <v>0</v>
      </c>
      <c r="H754" s="41">
        <v>0</v>
      </c>
      <c r="I754" s="41">
        <v>0</v>
      </c>
    </row>
    <row r="755" spans="1:9" s="65" customFormat="1" ht="14.15" x14ac:dyDescent="0.35">
      <c r="A755" s="274" t="s">
        <v>290</v>
      </c>
      <c r="B755" s="40" t="s">
        <v>32</v>
      </c>
      <c r="C755" s="41">
        <f t="shared" ref="C755" si="195">D755+E755+F755+G755+H755+I755</f>
        <v>6</v>
      </c>
      <c r="D755" s="41">
        <v>0</v>
      </c>
      <c r="E755" s="41">
        <v>6</v>
      </c>
      <c r="F755" s="41">
        <v>0</v>
      </c>
      <c r="G755" s="41">
        <v>0</v>
      </c>
      <c r="H755" s="41">
        <v>0</v>
      </c>
      <c r="I755" s="41">
        <v>0</v>
      </c>
    </row>
    <row r="756" spans="1:9" s="42" customFormat="1" x14ac:dyDescent="0.3">
      <c r="A756" s="63"/>
      <c r="B756" s="44" t="s">
        <v>33</v>
      </c>
      <c r="C756" s="41">
        <f>D756+E756+F756+G756+H756+I756</f>
        <v>6</v>
      </c>
      <c r="D756" s="41">
        <v>0</v>
      </c>
      <c r="E756" s="41">
        <v>6</v>
      </c>
      <c r="F756" s="41">
        <v>0</v>
      </c>
      <c r="G756" s="41">
        <v>0</v>
      </c>
      <c r="H756" s="41">
        <v>0</v>
      </c>
      <c r="I756" s="41">
        <v>0</v>
      </c>
    </row>
    <row r="757" spans="1:9" s="14" customFormat="1" x14ac:dyDescent="0.3">
      <c r="A757" s="15" t="s">
        <v>44</v>
      </c>
      <c r="B757" s="12" t="s">
        <v>32</v>
      </c>
      <c r="C757" s="36">
        <f t="shared" ref="C757:C759" si="196">D757+E757+F757+G757+H757+I757</f>
        <v>28</v>
      </c>
      <c r="D757" s="36">
        <f>D759+D767</f>
        <v>0</v>
      </c>
      <c r="E757" s="36">
        <f t="shared" ref="E757:I758" si="197">E759+E767</f>
        <v>28</v>
      </c>
      <c r="F757" s="36">
        <f t="shared" si="197"/>
        <v>0</v>
      </c>
      <c r="G757" s="36">
        <f t="shared" si="197"/>
        <v>0</v>
      </c>
      <c r="H757" s="36">
        <f t="shared" si="197"/>
        <v>0</v>
      </c>
      <c r="I757" s="36">
        <f t="shared" si="197"/>
        <v>0</v>
      </c>
    </row>
    <row r="758" spans="1:9" s="14" customFormat="1" x14ac:dyDescent="0.3">
      <c r="A758" s="19"/>
      <c r="B758" s="23" t="s">
        <v>33</v>
      </c>
      <c r="C758" s="36">
        <f t="shared" si="196"/>
        <v>28</v>
      </c>
      <c r="D758" s="36">
        <f>D760+D768</f>
        <v>0</v>
      </c>
      <c r="E758" s="36">
        <f t="shared" si="197"/>
        <v>28</v>
      </c>
      <c r="F758" s="36">
        <f t="shared" si="197"/>
        <v>0</v>
      </c>
      <c r="G758" s="36">
        <f t="shared" si="197"/>
        <v>0</v>
      </c>
      <c r="H758" s="36">
        <f t="shared" si="197"/>
        <v>0</v>
      </c>
      <c r="I758" s="36">
        <f t="shared" si="197"/>
        <v>0</v>
      </c>
    </row>
    <row r="759" spans="1:9" ht="14.15" x14ac:dyDescent="0.35">
      <c r="A759" s="291" t="s">
        <v>291</v>
      </c>
      <c r="B759" s="56" t="s">
        <v>32</v>
      </c>
      <c r="C759" s="48">
        <f t="shared" si="196"/>
        <v>14</v>
      </c>
      <c r="D759" s="48">
        <f>D761+D763+D765</f>
        <v>0</v>
      </c>
      <c r="E759" s="48">
        <f t="shared" ref="E759:I760" si="198">E761+E763+E765</f>
        <v>14</v>
      </c>
      <c r="F759" s="48">
        <f t="shared" si="198"/>
        <v>0</v>
      </c>
      <c r="G759" s="48">
        <f t="shared" si="198"/>
        <v>0</v>
      </c>
      <c r="H759" s="48">
        <f t="shared" si="198"/>
        <v>0</v>
      </c>
      <c r="I759" s="48">
        <f t="shared" si="198"/>
        <v>0</v>
      </c>
    </row>
    <row r="760" spans="1:9" x14ac:dyDescent="0.3">
      <c r="A760" s="63"/>
      <c r="B760" s="38" t="s">
        <v>33</v>
      </c>
      <c r="C760" s="48">
        <f>D760+E760+F760+G760+H760+I760</f>
        <v>14</v>
      </c>
      <c r="D760" s="48">
        <f>D762+D764+D766</f>
        <v>0</v>
      </c>
      <c r="E760" s="48">
        <f t="shared" si="198"/>
        <v>14</v>
      </c>
      <c r="F760" s="48">
        <f t="shared" si="198"/>
        <v>0</v>
      </c>
      <c r="G760" s="48">
        <f t="shared" si="198"/>
        <v>0</v>
      </c>
      <c r="H760" s="48">
        <f t="shared" si="198"/>
        <v>0</v>
      </c>
      <c r="I760" s="48">
        <f t="shared" si="198"/>
        <v>0</v>
      </c>
    </row>
    <row r="761" spans="1:9" s="65" customFormat="1" ht="14.15" x14ac:dyDescent="0.3">
      <c r="A761" s="277" t="s">
        <v>292</v>
      </c>
      <c r="B761" s="40" t="s">
        <v>32</v>
      </c>
      <c r="C761" s="41">
        <f t="shared" ref="C761" si="199">D761+E761+F761+G761+H761+I761</f>
        <v>7</v>
      </c>
      <c r="D761" s="41">
        <v>0</v>
      </c>
      <c r="E761" s="41">
        <v>7</v>
      </c>
      <c r="F761" s="41">
        <v>0</v>
      </c>
      <c r="G761" s="41">
        <v>0</v>
      </c>
      <c r="H761" s="41">
        <v>0</v>
      </c>
      <c r="I761" s="41">
        <v>0</v>
      </c>
    </row>
    <row r="762" spans="1:9" s="42" customFormat="1" ht="14.15" x14ac:dyDescent="0.35">
      <c r="A762" s="290"/>
      <c r="B762" s="44" t="s">
        <v>33</v>
      </c>
      <c r="C762" s="41">
        <f>D762+E762+F762+G762+H762+I762</f>
        <v>7</v>
      </c>
      <c r="D762" s="41">
        <v>0</v>
      </c>
      <c r="E762" s="41">
        <v>7</v>
      </c>
      <c r="F762" s="41">
        <v>0</v>
      </c>
      <c r="G762" s="41">
        <v>0</v>
      </c>
      <c r="H762" s="41">
        <v>0</v>
      </c>
      <c r="I762" s="41">
        <v>0</v>
      </c>
    </row>
    <row r="763" spans="1:9" s="65" customFormat="1" ht="14.15" x14ac:dyDescent="0.3">
      <c r="A763" s="277" t="s">
        <v>293</v>
      </c>
      <c r="B763" s="40" t="s">
        <v>32</v>
      </c>
      <c r="C763" s="41">
        <f t="shared" ref="C763" si="200">D763+E763+F763+G763+H763+I763</f>
        <v>4</v>
      </c>
      <c r="D763" s="41">
        <v>0</v>
      </c>
      <c r="E763" s="41">
        <v>4</v>
      </c>
      <c r="F763" s="41">
        <v>0</v>
      </c>
      <c r="G763" s="41">
        <v>0</v>
      </c>
      <c r="H763" s="41">
        <v>0</v>
      </c>
      <c r="I763" s="41">
        <v>0</v>
      </c>
    </row>
    <row r="764" spans="1:9" s="42" customFormat="1" ht="14.15" x14ac:dyDescent="0.35">
      <c r="A764" s="290"/>
      <c r="B764" s="44" t="s">
        <v>33</v>
      </c>
      <c r="C764" s="41">
        <f>D764+E764+F764+G764+H764+I764</f>
        <v>4</v>
      </c>
      <c r="D764" s="41">
        <v>0</v>
      </c>
      <c r="E764" s="41">
        <v>4</v>
      </c>
      <c r="F764" s="41">
        <v>0</v>
      </c>
      <c r="G764" s="41">
        <v>0</v>
      </c>
      <c r="H764" s="41">
        <v>0</v>
      </c>
      <c r="I764" s="41">
        <v>0</v>
      </c>
    </row>
    <row r="765" spans="1:9" s="65" customFormat="1" ht="14.15" x14ac:dyDescent="0.3">
      <c r="A765" s="277" t="s">
        <v>294</v>
      </c>
      <c r="B765" s="40" t="s">
        <v>32</v>
      </c>
      <c r="C765" s="41">
        <f t="shared" ref="C765" si="201">D765+E765+F765+G765+H765+I765</f>
        <v>3</v>
      </c>
      <c r="D765" s="41">
        <v>0</v>
      </c>
      <c r="E765" s="41">
        <v>3</v>
      </c>
      <c r="F765" s="41">
        <v>0</v>
      </c>
      <c r="G765" s="41">
        <v>0</v>
      </c>
      <c r="H765" s="41">
        <v>0</v>
      </c>
      <c r="I765" s="41">
        <v>0</v>
      </c>
    </row>
    <row r="766" spans="1:9" s="42" customFormat="1" ht="14.15" x14ac:dyDescent="0.35">
      <c r="A766" s="290"/>
      <c r="B766" s="44" t="s">
        <v>33</v>
      </c>
      <c r="C766" s="41">
        <f>D766+E766+F766+G766+H766+I766</f>
        <v>3</v>
      </c>
      <c r="D766" s="41">
        <v>0</v>
      </c>
      <c r="E766" s="41">
        <v>3</v>
      </c>
      <c r="F766" s="41">
        <v>0</v>
      </c>
      <c r="G766" s="41">
        <v>0</v>
      </c>
      <c r="H766" s="41">
        <v>0</v>
      </c>
      <c r="I766" s="41">
        <v>0</v>
      </c>
    </row>
    <row r="767" spans="1:9" x14ac:dyDescent="0.3">
      <c r="A767" s="289" t="s">
        <v>295</v>
      </c>
      <c r="B767" s="56" t="s">
        <v>32</v>
      </c>
      <c r="C767" s="48">
        <f t="shared" ref="C767" si="202">D767+E767+F767+G767+H767+I767</f>
        <v>14</v>
      </c>
      <c r="D767" s="48">
        <f>D769+D771</f>
        <v>0</v>
      </c>
      <c r="E767" s="48">
        <f t="shared" ref="E767:I768" si="203">E769+E771</f>
        <v>14</v>
      </c>
      <c r="F767" s="48">
        <f t="shared" si="203"/>
        <v>0</v>
      </c>
      <c r="G767" s="48">
        <f t="shared" si="203"/>
        <v>0</v>
      </c>
      <c r="H767" s="48">
        <f t="shared" si="203"/>
        <v>0</v>
      </c>
      <c r="I767" s="48">
        <f t="shared" si="203"/>
        <v>0</v>
      </c>
    </row>
    <row r="768" spans="1:9" x14ac:dyDescent="0.3">
      <c r="A768" s="63"/>
      <c r="B768" s="38" t="s">
        <v>33</v>
      </c>
      <c r="C768" s="48">
        <f>D768+E768+F768+G768+H768+I768</f>
        <v>14</v>
      </c>
      <c r="D768" s="48">
        <f>D770+D772</f>
        <v>0</v>
      </c>
      <c r="E768" s="48">
        <f t="shared" si="203"/>
        <v>14</v>
      </c>
      <c r="F768" s="48">
        <f t="shared" si="203"/>
        <v>0</v>
      </c>
      <c r="G768" s="48">
        <f t="shared" si="203"/>
        <v>0</v>
      </c>
      <c r="H768" s="48">
        <f t="shared" si="203"/>
        <v>0</v>
      </c>
      <c r="I768" s="48">
        <f t="shared" si="203"/>
        <v>0</v>
      </c>
    </row>
    <row r="769" spans="1:9" s="65" customFormat="1" ht="14.15" x14ac:dyDescent="0.35">
      <c r="A769" s="276" t="s">
        <v>296</v>
      </c>
      <c r="B769" s="40" t="s">
        <v>32</v>
      </c>
      <c r="C769" s="41">
        <f t="shared" ref="C769" si="204">D769+E769+F769+G769+H769+I769</f>
        <v>11</v>
      </c>
      <c r="D769" s="41">
        <v>0</v>
      </c>
      <c r="E769" s="41">
        <v>11</v>
      </c>
      <c r="F769" s="41">
        <v>0</v>
      </c>
      <c r="G769" s="41">
        <v>0</v>
      </c>
      <c r="H769" s="41">
        <v>0</v>
      </c>
      <c r="I769" s="41">
        <v>0</v>
      </c>
    </row>
    <row r="770" spans="1:9" s="42" customFormat="1" ht="14.15" x14ac:dyDescent="0.35">
      <c r="A770" s="290"/>
      <c r="B770" s="44" t="s">
        <v>33</v>
      </c>
      <c r="C770" s="41">
        <f>D770+E770+F770+G770+H770+I770</f>
        <v>11</v>
      </c>
      <c r="D770" s="41">
        <v>0</v>
      </c>
      <c r="E770" s="41">
        <v>11</v>
      </c>
      <c r="F770" s="41">
        <v>0</v>
      </c>
      <c r="G770" s="41">
        <v>0</v>
      </c>
      <c r="H770" s="41">
        <v>0</v>
      </c>
      <c r="I770" s="41">
        <v>0</v>
      </c>
    </row>
    <row r="771" spans="1:9" s="65" customFormat="1" ht="14.15" x14ac:dyDescent="0.3">
      <c r="A771" s="277" t="s">
        <v>294</v>
      </c>
      <c r="B771" s="40" t="s">
        <v>32</v>
      </c>
      <c r="C771" s="41">
        <f t="shared" ref="C771" si="205">D771+E771+F771+G771+H771+I771</f>
        <v>3</v>
      </c>
      <c r="D771" s="41">
        <v>0</v>
      </c>
      <c r="E771" s="41">
        <v>3</v>
      </c>
      <c r="F771" s="41">
        <v>0</v>
      </c>
      <c r="G771" s="41">
        <v>0</v>
      </c>
      <c r="H771" s="41">
        <v>0</v>
      </c>
      <c r="I771" s="41">
        <v>0</v>
      </c>
    </row>
    <row r="772" spans="1:9" s="42" customFormat="1" ht="14.15" x14ac:dyDescent="0.35">
      <c r="A772" s="290"/>
      <c r="B772" s="44" t="s">
        <v>33</v>
      </c>
      <c r="C772" s="41">
        <f>D772+E772+F772+G772+H772+I772</f>
        <v>3</v>
      </c>
      <c r="D772" s="41">
        <v>0</v>
      </c>
      <c r="E772" s="41">
        <v>3</v>
      </c>
      <c r="F772" s="41">
        <v>0</v>
      </c>
      <c r="G772" s="41">
        <v>0</v>
      </c>
      <c r="H772" s="41">
        <v>0</v>
      </c>
      <c r="I772" s="41">
        <v>0</v>
      </c>
    </row>
    <row r="773" spans="1:9" s="14" customFormat="1" x14ac:dyDescent="0.3">
      <c r="A773" s="285" t="s">
        <v>45</v>
      </c>
      <c r="B773" s="12" t="s">
        <v>32</v>
      </c>
      <c r="C773" s="36">
        <f t="shared" ref="C773:C775" si="206">D773+E773+F773+G773+H773+I773</f>
        <v>1</v>
      </c>
      <c r="D773" s="36">
        <f>D775</f>
        <v>0</v>
      </c>
      <c r="E773" s="36">
        <f t="shared" ref="E773:I776" si="207">E775</f>
        <v>1</v>
      </c>
      <c r="F773" s="36">
        <f t="shared" si="207"/>
        <v>0</v>
      </c>
      <c r="G773" s="36">
        <f t="shared" si="207"/>
        <v>0</v>
      </c>
      <c r="H773" s="36">
        <f t="shared" si="207"/>
        <v>0</v>
      </c>
      <c r="I773" s="36">
        <f t="shared" si="207"/>
        <v>0</v>
      </c>
    </row>
    <row r="774" spans="1:9" s="14" customFormat="1" x14ac:dyDescent="0.3">
      <c r="A774" s="19"/>
      <c r="B774" s="23" t="s">
        <v>33</v>
      </c>
      <c r="C774" s="36">
        <f t="shared" si="206"/>
        <v>1</v>
      </c>
      <c r="D774" s="36">
        <f>D776</f>
        <v>0</v>
      </c>
      <c r="E774" s="36">
        <f t="shared" si="207"/>
        <v>1</v>
      </c>
      <c r="F774" s="36">
        <f t="shared" si="207"/>
        <v>0</v>
      </c>
      <c r="G774" s="36">
        <f t="shared" si="207"/>
        <v>0</v>
      </c>
      <c r="H774" s="36">
        <f t="shared" si="207"/>
        <v>0</v>
      </c>
      <c r="I774" s="36">
        <f t="shared" si="207"/>
        <v>0</v>
      </c>
    </row>
    <row r="775" spans="1:9" x14ac:dyDescent="0.3">
      <c r="A775" s="289" t="s">
        <v>287</v>
      </c>
      <c r="B775" s="56" t="s">
        <v>32</v>
      </c>
      <c r="C775" s="48">
        <f t="shared" si="206"/>
        <v>1</v>
      </c>
      <c r="D775" s="48">
        <f>D777</f>
        <v>0</v>
      </c>
      <c r="E775" s="48">
        <f t="shared" si="207"/>
        <v>1</v>
      </c>
      <c r="F775" s="48">
        <f t="shared" si="207"/>
        <v>0</v>
      </c>
      <c r="G775" s="48">
        <f t="shared" si="207"/>
        <v>0</v>
      </c>
      <c r="H775" s="48">
        <f t="shared" si="207"/>
        <v>0</v>
      </c>
      <c r="I775" s="48">
        <f t="shared" si="207"/>
        <v>0</v>
      </c>
    </row>
    <row r="776" spans="1:9" x14ac:dyDescent="0.3">
      <c r="A776" s="63"/>
      <c r="B776" s="38" t="s">
        <v>33</v>
      </c>
      <c r="C776" s="48">
        <f>D776+E776+F776+G776+H776+I776</f>
        <v>1</v>
      </c>
      <c r="D776" s="48">
        <f>D778</f>
        <v>0</v>
      </c>
      <c r="E776" s="48">
        <f t="shared" si="207"/>
        <v>1</v>
      </c>
      <c r="F776" s="48">
        <f t="shared" si="207"/>
        <v>0</v>
      </c>
      <c r="G776" s="48">
        <f t="shared" si="207"/>
        <v>0</v>
      </c>
      <c r="H776" s="48">
        <f t="shared" si="207"/>
        <v>0</v>
      </c>
      <c r="I776" s="48">
        <f t="shared" si="207"/>
        <v>0</v>
      </c>
    </row>
    <row r="777" spans="1:9" s="65" customFormat="1" ht="14.15" x14ac:dyDescent="0.35">
      <c r="A777" s="276" t="s">
        <v>297</v>
      </c>
      <c r="B777" s="40" t="s">
        <v>32</v>
      </c>
      <c r="C777" s="41">
        <f t="shared" ref="C777" si="208">D777+E777+F777+G777+H777+I777</f>
        <v>1</v>
      </c>
      <c r="D777" s="41">
        <v>0</v>
      </c>
      <c r="E777" s="41">
        <v>1</v>
      </c>
      <c r="F777" s="41">
        <v>0</v>
      </c>
      <c r="G777" s="41">
        <v>0</v>
      </c>
      <c r="H777" s="41">
        <v>0</v>
      </c>
      <c r="I777" s="41">
        <v>0</v>
      </c>
    </row>
    <row r="778" spans="1:9" s="42" customFormat="1" ht="14.15" x14ac:dyDescent="0.35">
      <c r="A778" s="290"/>
      <c r="B778" s="44" t="s">
        <v>33</v>
      </c>
      <c r="C778" s="41">
        <f>D778+E778+F778+G778+H778+I778</f>
        <v>1</v>
      </c>
      <c r="D778" s="41">
        <v>0</v>
      </c>
      <c r="E778" s="41">
        <v>1</v>
      </c>
      <c r="F778" s="41">
        <v>0</v>
      </c>
      <c r="G778" s="41">
        <v>0</v>
      </c>
      <c r="H778" s="41">
        <v>0</v>
      </c>
      <c r="I778" s="41">
        <v>0</v>
      </c>
    </row>
    <row r="779" spans="1:9" x14ac:dyDescent="0.3">
      <c r="A779" s="1019" t="s">
        <v>298</v>
      </c>
      <c r="B779" s="1017"/>
      <c r="C779" s="1017"/>
      <c r="D779" s="1017"/>
      <c r="E779" s="1017"/>
      <c r="F779" s="1017"/>
      <c r="G779" s="1017"/>
      <c r="H779" s="1017"/>
      <c r="I779" s="1018"/>
    </row>
    <row r="780" spans="1:9" x14ac:dyDescent="0.3">
      <c r="A780" s="71" t="s">
        <v>57</v>
      </c>
      <c r="B780" s="281" t="s">
        <v>32</v>
      </c>
      <c r="C780" s="165">
        <f t="shared" ref="C780:C786" si="209">D780+E780+F780+G780+H780+I780</f>
        <v>1894</v>
      </c>
      <c r="D780" s="165">
        <f t="shared" ref="D780:I787" si="210">D782</f>
        <v>933</v>
      </c>
      <c r="E780" s="165">
        <f t="shared" si="210"/>
        <v>961</v>
      </c>
      <c r="F780" s="165">
        <f t="shared" si="210"/>
        <v>0</v>
      </c>
      <c r="G780" s="165">
        <f t="shared" si="210"/>
        <v>0</v>
      </c>
      <c r="H780" s="165">
        <f t="shared" si="210"/>
        <v>0</v>
      </c>
      <c r="I780" s="165">
        <f t="shared" si="210"/>
        <v>0</v>
      </c>
    </row>
    <row r="781" spans="1:9" x14ac:dyDescent="0.3">
      <c r="A781" s="60" t="s">
        <v>87</v>
      </c>
      <c r="B781" s="282" t="s">
        <v>33</v>
      </c>
      <c r="C781" s="165">
        <f t="shared" si="209"/>
        <v>1894</v>
      </c>
      <c r="D781" s="165">
        <f t="shared" si="210"/>
        <v>933</v>
      </c>
      <c r="E781" s="165">
        <f t="shared" si="210"/>
        <v>961</v>
      </c>
      <c r="F781" s="165">
        <f t="shared" si="210"/>
        <v>0</v>
      </c>
      <c r="G781" s="165">
        <f t="shared" si="210"/>
        <v>0</v>
      </c>
      <c r="H781" s="165">
        <f t="shared" si="210"/>
        <v>0</v>
      </c>
      <c r="I781" s="165">
        <f t="shared" si="210"/>
        <v>0</v>
      </c>
    </row>
    <row r="782" spans="1:9" x14ac:dyDescent="0.3">
      <c r="A782" s="15" t="s">
        <v>34</v>
      </c>
      <c r="B782" s="56" t="s">
        <v>32</v>
      </c>
      <c r="C782" s="48">
        <f t="shared" si="209"/>
        <v>1894</v>
      </c>
      <c r="D782" s="48">
        <f t="shared" si="210"/>
        <v>933</v>
      </c>
      <c r="E782" s="48">
        <f t="shared" si="210"/>
        <v>961</v>
      </c>
      <c r="F782" s="48">
        <f t="shared" si="210"/>
        <v>0</v>
      </c>
      <c r="G782" s="48">
        <f t="shared" si="210"/>
        <v>0</v>
      </c>
      <c r="H782" s="48">
        <f t="shared" si="210"/>
        <v>0</v>
      </c>
      <c r="I782" s="48">
        <f t="shared" si="210"/>
        <v>0</v>
      </c>
    </row>
    <row r="783" spans="1:9" x14ac:dyDescent="0.3">
      <c r="A783" s="60" t="s">
        <v>89</v>
      </c>
      <c r="B783" s="38" t="s">
        <v>33</v>
      </c>
      <c r="C783" s="48">
        <f t="shared" si="209"/>
        <v>1894</v>
      </c>
      <c r="D783" s="48">
        <f t="shared" si="210"/>
        <v>933</v>
      </c>
      <c r="E783" s="48">
        <f t="shared" si="210"/>
        <v>961</v>
      </c>
      <c r="F783" s="48">
        <f t="shared" si="210"/>
        <v>0</v>
      </c>
      <c r="G783" s="48">
        <f t="shared" si="210"/>
        <v>0</v>
      </c>
      <c r="H783" s="48">
        <f t="shared" si="210"/>
        <v>0</v>
      </c>
      <c r="I783" s="48">
        <f t="shared" si="210"/>
        <v>0</v>
      </c>
    </row>
    <row r="784" spans="1:9" ht="12.9" x14ac:dyDescent="0.35">
      <c r="A784" s="54" t="s">
        <v>40</v>
      </c>
      <c r="B784" s="35" t="s">
        <v>32</v>
      </c>
      <c r="C784" s="48">
        <f t="shared" si="209"/>
        <v>1894</v>
      </c>
      <c r="D784" s="48">
        <f t="shared" si="210"/>
        <v>933</v>
      </c>
      <c r="E784" s="48">
        <f t="shared" si="210"/>
        <v>961</v>
      </c>
      <c r="F784" s="48">
        <f t="shared" si="210"/>
        <v>0</v>
      </c>
      <c r="G784" s="48">
        <f t="shared" si="210"/>
        <v>0</v>
      </c>
      <c r="H784" s="48">
        <f t="shared" si="210"/>
        <v>0</v>
      </c>
      <c r="I784" s="48">
        <f t="shared" si="210"/>
        <v>0</v>
      </c>
    </row>
    <row r="785" spans="1:9" ht="12.9" x14ac:dyDescent="0.35">
      <c r="A785" s="43"/>
      <c r="B785" s="38" t="s">
        <v>33</v>
      </c>
      <c r="C785" s="48">
        <f t="shared" si="209"/>
        <v>1894</v>
      </c>
      <c r="D785" s="48">
        <f t="shared" si="210"/>
        <v>933</v>
      </c>
      <c r="E785" s="48">
        <f t="shared" si="210"/>
        <v>961</v>
      </c>
      <c r="F785" s="48">
        <f t="shared" si="210"/>
        <v>0</v>
      </c>
      <c r="G785" s="48">
        <f t="shared" si="210"/>
        <v>0</v>
      </c>
      <c r="H785" s="48">
        <f t="shared" si="210"/>
        <v>0</v>
      </c>
      <c r="I785" s="48">
        <f t="shared" si="210"/>
        <v>0</v>
      </c>
    </row>
    <row r="786" spans="1:9" x14ac:dyDescent="0.3">
      <c r="A786" s="72" t="s">
        <v>53</v>
      </c>
      <c r="B786" s="56" t="s">
        <v>32</v>
      </c>
      <c r="C786" s="48">
        <f t="shared" si="209"/>
        <v>1894</v>
      </c>
      <c r="D786" s="48">
        <f>D788</f>
        <v>933</v>
      </c>
      <c r="E786" s="48">
        <f t="shared" si="210"/>
        <v>961</v>
      </c>
      <c r="F786" s="48">
        <f t="shared" si="210"/>
        <v>0</v>
      </c>
      <c r="G786" s="48">
        <f t="shared" si="210"/>
        <v>0</v>
      </c>
      <c r="H786" s="48">
        <f t="shared" si="210"/>
        <v>0</v>
      </c>
      <c r="I786" s="48">
        <f t="shared" si="210"/>
        <v>0</v>
      </c>
    </row>
    <row r="787" spans="1:9" x14ac:dyDescent="0.3">
      <c r="A787" s="63"/>
      <c r="B787" s="38" t="s">
        <v>33</v>
      </c>
      <c r="C787" s="48">
        <f>D787+E787+F787+G787+H787+I787</f>
        <v>1894</v>
      </c>
      <c r="D787" s="48">
        <f>D789</f>
        <v>933</v>
      </c>
      <c r="E787" s="48">
        <f t="shared" si="210"/>
        <v>961</v>
      </c>
      <c r="F787" s="48">
        <f t="shared" si="210"/>
        <v>0</v>
      </c>
      <c r="G787" s="48">
        <f t="shared" si="210"/>
        <v>0</v>
      </c>
      <c r="H787" s="48">
        <f t="shared" si="210"/>
        <v>0</v>
      </c>
      <c r="I787" s="48">
        <f t="shared" si="210"/>
        <v>0</v>
      </c>
    </row>
    <row r="788" spans="1:9" s="14" customFormat="1" x14ac:dyDescent="0.3">
      <c r="A788" s="15" t="s">
        <v>43</v>
      </c>
      <c r="B788" s="12" t="s">
        <v>32</v>
      </c>
      <c r="C788" s="36">
        <f t="shared" ref="C788:C790" si="211">D788+E788+F788+G788+H788+I788</f>
        <v>1894</v>
      </c>
      <c r="D788" s="36">
        <f t="shared" ref="D788:I789" si="212">D790+D830</f>
        <v>933</v>
      </c>
      <c r="E788" s="36">
        <f t="shared" si="212"/>
        <v>961</v>
      </c>
      <c r="F788" s="36">
        <f t="shared" si="212"/>
        <v>0</v>
      </c>
      <c r="G788" s="36">
        <f t="shared" si="212"/>
        <v>0</v>
      </c>
      <c r="H788" s="36">
        <f t="shared" si="212"/>
        <v>0</v>
      </c>
      <c r="I788" s="36">
        <f t="shared" si="212"/>
        <v>0</v>
      </c>
    </row>
    <row r="789" spans="1:9" s="14" customFormat="1" x14ac:dyDescent="0.3">
      <c r="A789" s="19"/>
      <c r="B789" s="23" t="s">
        <v>33</v>
      </c>
      <c r="C789" s="36">
        <f t="shared" si="211"/>
        <v>1894</v>
      </c>
      <c r="D789" s="36">
        <f t="shared" si="212"/>
        <v>933</v>
      </c>
      <c r="E789" s="36">
        <f t="shared" si="212"/>
        <v>961</v>
      </c>
      <c r="F789" s="36">
        <f t="shared" si="212"/>
        <v>0</v>
      </c>
      <c r="G789" s="36">
        <f t="shared" si="212"/>
        <v>0</v>
      </c>
      <c r="H789" s="36">
        <f t="shared" si="212"/>
        <v>0</v>
      </c>
      <c r="I789" s="36">
        <f t="shared" si="212"/>
        <v>0</v>
      </c>
    </row>
    <row r="790" spans="1:9" x14ac:dyDescent="0.3">
      <c r="A790" s="283" t="s">
        <v>299</v>
      </c>
      <c r="B790" s="56" t="s">
        <v>32</v>
      </c>
      <c r="C790" s="48">
        <f t="shared" si="211"/>
        <v>1409</v>
      </c>
      <c r="D790" s="48">
        <f>D792+D794+D796+D798+D800+D802+D804+D806+D808+D810+D812+D814+D816+D818+D820+D822+D824+D826+D828</f>
        <v>538</v>
      </c>
      <c r="E790" s="48">
        <f t="shared" ref="E790:I791" si="213">E792+E794+E796+E798+E800+E802+E804+E806+E808+E810+E812+E814+E816+E818+E820+E822+E824+E826+E828</f>
        <v>871</v>
      </c>
      <c r="F790" s="48">
        <f t="shared" si="213"/>
        <v>0</v>
      </c>
      <c r="G790" s="48">
        <f t="shared" si="213"/>
        <v>0</v>
      </c>
      <c r="H790" s="48">
        <f t="shared" si="213"/>
        <v>0</v>
      </c>
      <c r="I790" s="48">
        <f t="shared" si="213"/>
        <v>0</v>
      </c>
    </row>
    <row r="791" spans="1:9" x14ac:dyDescent="0.3">
      <c r="A791" s="63"/>
      <c r="B791" s="38" t="s">
        <v>33</v>
      </c>
      <c r="C791" s="48">
        <f>D791+E791+F791+G791+H791+I791</f>
        <v>1409</v>
      </c>
      <c r="D791" s="48">
        <f>D793+D795+D797+D799+D801+D803+D805+D807+D809+D811+D813+D815+D817+D819+D821+D823+D825+D827+D829</f>
        <v>538</v>
      </c>
      <c r="E791" s="48">
        <f t="shared" si="213"/>
        <v>871</v>
      </c>
      <c r="F791" s="48">
        <f t="shared" si="213"/>
        <v>0</v>
      </c>
      <c r="G791" s="48">
        <f t="shared" si="213"/>
        <v>0</v>
      </c>
      <c r="H791" s="48">
        <f t="shared" si="213"/>
        <v>0</v>
      </c>
      <c r="I791" s="48">
        <f t="shared" si="213"/>
        <v>0</v>
      </c>
    </row>
    <row r="792" spans="1:9" s="65" customFormat="1" ht="14.15" x14ac:dyDescent="0.35">
      <c r="A792" s="271" t="s">
        <v>300</v>
      </c>
      <c r="B792" s="40" t="s">
        <v>32</v>
      </c>
      <c r="C792" s="41">
        <f t="shared" ref="C792" si="214">D792+E792+F792+G792+H792+I792</f>
        <v>72</v>
      </c>
      <c r="D792" s="41">
        <v>72</v>
      </c>
      <c r="E792" s="41">
        <v>0</v>
      </c>
      <c r="F792" s="41">
        <v>0</v>
      </c>
      <c r="G792" s="41">
        <v>0</v>
      </c>
      <c r="H792" s="41">
        <v>0</v>
      </c>
      <c r="I792" s="41">
        <v>0</v>
      </c>
    </row>
    <row r="793" spans="1:9" s="42" customFormat="1" x14ac:dyDescent="0.3">
      <c r="A793" s="63"/>
      <c r="B793" s="44" t="s">
        <v>33</v>
      </c>
      <c r="C793" s="41">
        <f>D793+E793+F793+G793+H793+I793</f>
        <v>72</v>
      </c>
      <c r="D793" s="41">
        <v>72</v>
      </c>
      <c r="E793" s="41">
        <v>0</v>
      </c>
      <c r="F793" s="41">
        <v>0</v>
      </c>
      <c r="G793" s="41">
        <v>0</v>
      </c>
      <c r="H793" s="41">
        <v>0</v>
      </c>
      <c r="I793" s="41">
        <v>0</v>
      </c>
    </row>
    <row r="794" spans="1:9" s="65" customFormat="1" ht="14.15" x14ac:dyDescent="0.35">
      <c r="A794" s="292" t="s">
        <v>301</v>
      </c>
      <c r="B794" s="40" t="s">
        <v>32</v>
      </c>
      <c r="C794" s="41">
        <f t="shared" ref="C794" si="215">D794+E794+F794+G794+H794+I794</f>
        <v>40</v>
      </c>
      <c r="D794" s="41">
        <v>40</v>
      </c>
      <c r="E794" s="41">
        <v>0</v>
      </c>
      <c r="F794" s="41">
        <v>0</v>
      </c>
      <c r="G794" s="41">
        <v>0</v>
      </c>
      <c r="H794" s="41">
        <v>0</v>
      </c>
      <c r="I794" s="41">
        <v>0</v>
      </c>
    </row>
    <row r="795" spans="1:9" s="42" customFormat="1" x14ac:dyDescent="0.3">
      <c r="A795" s="63"/>
      <c r="B795" s="44" t="s">
        <v>33</v>
      </c>
      <c r="C795" s="41">
        <f>D795+E795+F795+G795+H795+I795</f>
        <v>40</v>
      </c>
      <c r="D795" s="41">
        <v>40</v>
      </c>
      <c r="E795" s="41">
        <v>0</v>
      </c>
      <c r="F795" s="41">
        <v>0</v>
      </c>
      <c r="G795" s="41">
        <v>0</v>
      </c>
      <c r="H795" s="41">
        <v>0</v>
      </c>
      <c r="I795" s="41">
        <v>0</v>
      </c>
    </row>
    <row r="796" spans="1:9" s="65" customFormat="1" ht="14.15" x14ac:dyDescent="0.35">
      <c r="A796" s="293" t="s">
        <v>302</v>
      </c>
      <c r="B796" s="40" t="s">
        <v>32</v>
      </c>
      <c r="C796" s="41">
        <f t="shared" ref="C796" si="216">D796+E796+F796+G796+H796+I796</f>
        <v>30</v>
      </c>
      <c r="D796" s="41">
        <v>30</v>
      </c>
      <c r="E796" s="41">
        <v>0</v>
      </c>
      <c r="F796" s="41">
        <v>0</v>
      </c>
      <c r="G796" s="41">
        <v>0</v>
      </c>
      <c r="H796" s="41">
        <v>0</v>
      </c>
      <c r="I796" s="41">
        <v>0</v>
      </c>
    </row>
    <row r="797" spans="1:9" s="42" customFormat="1" x14ac:dyDescent="0.3">
      <c r="A797" s="63"/>
      <c r="B797" s="44" t="s">
        <v>33</v>
      </c>
      <c r="C797" s="41">
        <f>D797+E797+F797+G797+H797+I797</f>
        <v>30</v>
      </c>
      <c r="D797" s="41">
        <v>30</v>
      </c>
      <c r="E797" s="41">
        <v>0</v>
      </c>
      <c r="F797" s="41">
        <v>0</v>
      </c>
      <c r="G797" s="41">
        <v>0</v>
      </c>
      <c r="H797" s="41">
        <v>0</v>
      </c>
      <c r="I797" s="41">
        <v>0</v>
      </c>
    </row>
    <row r="798" spans="1:9" s="65" customFormat="1" ht="14.15" x14ac:dyDescent="0.35">
      <c r="A798" s="271" t="s">
        <v>303</v>
      </c>
      <c r="B798" s="40" t="s">
        <v>32</v>
      </c>
      <c r="C798" s="41">
        <f t="shared" ref="C798" si="217">D798+E798+F798+G798+H798+I798</f>
        <v>350</v>
      </c>
      <c r="D798" s="41">
        <v>343</v>
      </c>
      <c r="E798" s="41">
        <v>7</v>
      </c>
      <c r="F798" s="41">
        <v>0</v>
      </c>
      <c r="G798" s="41">
        <v>0</v>
      </c>
      <c r="H798" s="41">
        <v>0</v>
      </c>
      <c r="I798" s="41">
        <v>0</v>
      </c>
    </row>
    <row r="799" spans="1:9" s="42" customFormat="1" x14ac:dyDescent="0.3">
      <c r="A799" s="63"/>
      <c r="B799" s="44" t="s">
        <v>33</v>
      </c>
      <c r="C799" s="41">
        <f>D799+E799+F799+G799+H799+I799</f>
        <v>350</v>
      </c>
      <c r="D799" s="41">
        <v>343</v>
      </c>
      <c r="E799" s="41">
        <v>7</v>
      </c>
      <c r="F799" s="41">
        <v>0</v>
      </c>
      <c r="G799" s="41">
        <v>0</v>
      </c>
      <c r="H799" s="41">
        <v>0</v>
      </c>
      <c r="I799" s="41">
        <v>0</v>
      </c>
    </row>
    <row r="800" spans="1:9" s="65" customFormat="1" ht="28.3" x14ac:dyDescent="0.35">
      <c r="A800" s="271" t="s">
        <v>304</v>
      </c>
      <c r="B800" s="40" t="s">
        <v>32</v>
      </c>
      <c r="C800" s="41">
        <f t="shared" ref="C800" si="218">D800+E800+F800+G800+H800+I800</f>
        <v>30</v>
      </c>
      <c r="D800" s="41">
        <v>30</v>
      </c>
      <c r="E800" s="41">
        <v>0</v>
      </c>
      <c r="F800" s="41">
        <v>0</v>
      </c>
      <c r="G800" s="41">
        <v>0</v>
      </c>
      <c r="H800" s="41">
        <v>0</v>
      </c>
      <c r="I800" s="41">
        <v>0</v>
      </c>
    </row>
    <row r="801" spans="1:9" s="42" customFormat="1" x14ac:dyDescent="0.3">
      <c r="A801" s="63"/>
      <c r="B801" s="44" t="s">
        <v>33</v>
      </c>
      <c r="C801" s="41">
        <f>D801+E801+F801+G801+H801+I801</f>
        <v>30</v>
      </c>
      <c r="D801" s="41">
        <v>30</v>
      </c>
      <c r="E801" s="41">
        <v>0</v>
      </c>
      <c r="F801" s="41">
        <v>0</v>
      </c>
      <c r="G801" s="41">
        <v>0</v>
      </c>
      <c r="H801" s="41">
        <v>0</v>
      </c>
      <c r="I801" s="41">
        <v>0</v>
      </c>
    </row>
    <row r="802" spans="1:9" s="65" customFormat="1" ht="28.3" x14ac:dyDescent="0.35">
      <c r="A802" s="271" t="s">
        <v>305</v>
      </c>
      <c r="B802" s="40" t="s">
        <v>32</v>
      </c>
      <c r="C802" s="41">
        <f t="shared" ref="C802" si="219">D802+E802+F802+G802+H802+I802</f>
        <v>10</v>
      </c>
      <c r="D802" s="41">
        <v>10</v>
      </c>
      <c r="E802" s="41">
        <v>0</v>
      </c>
      <c r="F802" s="41">
        <v>0</v>
      </c>
      <c r="G802" s="41">
        <v>0</v>
      </c>
      <c r="H802" s="41">
        <v>0</v>
      </c>
      <c r="I802" s="41">
        <v>0</v>
      </c>
    </row>
    <row r="803" spans="1:9" s="42" customFormat="1" x14ac:dyDescent="0.3">
      <c r="A803" s="63"/>
      <c r="B803" s="44" t="s">
        <v>33</v>
      </c>
      <c r="C803" s="41">
        <f>D803+E803+F803+G803+H803+I803</f>
        <v>10</v>
      </c>
      <c r="D803" s="41">
        <v>10</v>
      </c>
      <c r="E803" s="41">
        <v>0</v>
      </c>
      <c r="F803" s="41">
        <f>F865</f>
        <v>0</v>
      </c>
      <c r="G803" s="41">
        <f>G865</f>
        <v>0</v>
      </c>
      <c r="H803" s="41">
        <f>H865</f>
        <v>0</v>
      </c>
      <c r="I803" s="41">
        <f>I865</f>
        <v>0</v>
      </c>
    </row>
    <row r="804" spans="1:9" s="65" customFormat="1" ht="14.15" x14ac:dyDescent="0.35">
      <c r="A804" s="278" t="s">
        <v>306</v>
      </c>
      <c r="B804" s="40" t="s">
        <v>32</v>
      </c>
      <c r="C804" s="41">
        <f t="shared" ref="C804" si="220">D804+E804+F804+G804+H804+I804</f>
        <v>13</v>
      </c>
      <c r="D804" s="41">
        <v>13</v>
      </c>
      <c r="E804" s="41">
        <v>0</v>
      </c>
      <c r="F804" s="41">
        <v>0</v>
      </c>
      <c r="G804" s="41">
        <v>0</v>
      </c>
      <c r="H804" s="41">
        <v>0</v>
      </c>
      <c r="I804" s="41">
        <v>0</v>
      </c>
    </row>
    <row r="805" spans="1:9" s="42" customFormat="1" x14ac:dyDescent="0.3">
      <c r="A805" s="63"/>
      <c r="B805" s="44" t="s">
        <v>33</v>
      </c>
      <c r="C805" s="41">
        <f>D805+E805+F805+G805+H805+I805</f>
        <v>13</v>
      </c>
      <c r="D805" s="41">
        <v>13</v>
      </c>
      <c r="E805" s="41">
        <v>0</v>
      </c>
      <c r="F805" s="41">
        <v>0</v>
      </c>
      <c r="G805" s="41">
        <v>0</v>
      </c>
      <c r="H805" s="41">
        <v>0</v>
      </c>
      <c r="I805" s="41">
        <v>0</v>
      </c>
    </row>
    <row r="806" spans="1:9" s="65" customFormat="1" ht="14.15" x14ac:dyDescent="0.35">
      <c r="A806" s="294" t="s">
        <v>307</v>
      </c>
      <c r="B806" s="40" t="s">
        <v>32</v>
      </c>
      <c r="C806" s="41">
        <f t="shared" ref="C806" si="221">D806+E806+F806+G806+H806+I806</f>
        <v>400</v>
      </c>
      <c r="D806" s="41">
        <v>0</v>
      </c>
      <c r="E806" s="41">
        <v>400</v>
      </c>
      <c r="F806" s="41">
        <v>0</v>
      </c>
      <c r="G806" s="41">
        <v>0</v>
      </c>
      <c r="H806" s="41">
        <v>0</v>
      </c>
      <c r="I806" s="41">
        <v>0</v>
      </c>
    </row>
    <row r="807" spans="1:9" s="42" customFormat="1" x14ac:dyDescent="0.3">
      <c r="A807" s="63"/>
      <c r="B807" s="44" t="s">
        <v>33</v>
      </c>
      <c r="C807" s="41">
        <f>D807+E807+F807+G807+H807+I807</f>
        <v>400</v>
      </c>
      <c r="D807" s="41">
        <v>0</v>
      </c>
      <c r="E807" s="41">
        <v>400</v>
      </c>
      <c r="F807" s="41">
        <v>0</v>
      </c>
      <c r="G807" s="41">
        <v>0</v>
      </c>
      <c r="H807" s="41">
        <v>0</v>
      </c>
      <c r="I807" s="41">
        <v>0</v>
      </c>
    </row>
    <row r="808" spans="1:9" s="65" customFormat="1" ht="14.15" x14ac:dyDescent="0.35">
      <c r="A808" s="294" t="s">
        <v>308</v>
      </c>
      <c r="B808" s="40" t="s">
        <v>32</v>
      </c>
      <c r="C808" s="41">
        <f t="shared" ref="C808" si="222">D808+E808+F808+G808+H808+I808</f>
        <v>90</v>
      </c>
      <c r="D808" s="41">
        <v>0</v>
      </c>
      <c r="E808" s="41">
        <f>100-10</f>
        <v>90</v>
      </c>
      <c r="F808" s="41">
        <v>0</v>
      </c>
      <c r="G808" s="41">
        <v>0</v>
      </c>
      <c r="H808" s="41">
        <v>0</v>
      </c>
      <c r="I808" s="41">
        <v>0</v>
      </c>
    </row>
    <row r="809" spans="1:9" s="42" customFormat="1" x14ac:dyDescent="0.3">
      <c r="A809" s="63"/>
      <c r="B809" s="44" t="s">
        <v>33</v>
      </c>
      <c r="C809" s="41">
        <f>D809+E809+F809+G809+H809+I809</f>
        <v>90</v>
      </c>
      <c r="D809" s="41">
        <v>0</v>
      </c>
      <c r="E809" s="41">
        <f>100-10</f>
        <v>90</v>
      </c>
      <c r="F809" s="41">
        <v>0</v>
      </c>
      <c r="G809" s="41">
        <v>0</v>
      </c>
      <c r="H809" s="41">
        <v>0</v>
      </c>
      <c r="I809" s="41">
        <v>0</v>
      </c>
    </row>
    <row r="810" spans="1:9" s="65" customFormat="1" ht="14.15" x14ac:dyDescent="0.35">
      <c r="A810" s="294" t="s">
        <v>309</v>
      </c>
      <c r="B810" s="40" t="s">
        <v>32</v>
      </c>
      <c r="C810" s="41">
        <f t="shared" ref="C810" si="223">D810+E810+F810+G810+H810+I810</f>
        <v>100</v>
      </c>
      <c r="D810" s="41">
        <v>0</v>
      </c>
      <c r="E810" s="41">
        <v>100</v>
      </c>
      <c r="F810" s="41">
        <v>0</v>
      </c>
      <c r="G810" s="41">
        <v>0</v>
      </c>
      <c r="H810" s="41">
        <v>0</v>
      </c>
      <c r="I810" s="41">
        <v>0</v>
      </c>
    </row>
    <row r="811" spans="1:9" s="42" customFormat="1" x14ac:dyDescent="0.3">
      <c r="A811" s="63"/>
      <c r="B811" s="44" t="s">
        <v>33</v>
      </c>
      <c r="C811" s="41">
        <f>D811+E811+F811+G811+H811+I811</f>
        <v>100</v>
      </c>
      <c r="D811" s="41">
        <v>0</v>
      </c>
      <c r="E811" s="41">
        <v>100</v>
      </c>
      <c r="F811" s="41">
        <v>0</v>
      </c>
      <c r="G811" s="41">
        <v>0</v>
      </c>
      <c r="H811" s="41">
        <v>0</v>
      </c>
      <c r="I811" s="41">
        <v>0</v>
      </c>
    </row>
    <row r="812" spans="1:9" s="65" customFormat="1" ht="14.15" x14ac:dyDescent="0.35">
      <c r="A812" s="294" t="s">
        <v>310</v>
      </c>
      <c r="B812" s="40" t="s">
        <v>32</v>
      </c>
      <c r="C812" s="41">
        <f t="shared" ref="C812" si="224">D812+E812+F812+G812+H812+I812</f>
        <v>60</v>
      </c>
      <c r="D812" s="41">
        <v>0</v>
      </c>
      <c r="E812" s="41">
        <f>50+10</f>
        <v>60</v>
      </c>
      <c r="F812" s="41">
        <v>0</v>
      </c>
      <c r="G812" s="41">
        <v>0</v>
      </c>
      <c r="H812" s="41">
        <v>0</v>
      </c>
      <c r="I812" s="41">
        <v>0</v>
      </c>
    </row>
    <row r="813" spans="1:9" s="42" customFormat="1" x14ac:dyDescent="0.3">
      <c r="A813" s="63"/>
      <c r="B813" s="44" t="s">
        <v>33</v>
      </c>
      <c r="C813" s="41">
        <f>D813+E813+F813+G813+H813+I813</f>
        <v>60</v>
      </c>
      <c r="D813" s="41">
        <v>0</v>
      </c>
      <c r="E813" s="41">
        <f>50+10</f>
        <v>60</v>
      </c>
      <c r="F813" s="41">
        <v>0</v>
      </c>
      <c r="G813" s="41">
        <v>0</v>
      </c>
      <c r="H813" s="41">
        <v>0</v>
      </c>
      <c r="I813" s="41">
        <v>0</v>
      </c>
    </row>
    <row r="814" spans="1:9" s="65" customFormat="1" ht="14.15" x14ac:dyDescent="0.35">
      <c r="A814" s="294" t="s">
        <v>311</v>
      </c>
      <c r="B814" s="40" t="s">
        <v>32</v>
      </c>
      <c r="C814" s="41">
        <f t="shared" ref="C814" si="225">D814+E814+F814+G814+H814+I814</f>
        <v>80</v>
      </c>
      <c r="D814" s="41">
        <v>0</v>
      </c>
      <c r="E814" s="41">
        <v>80</v>
      </c>
      <c r="F814" s="41">
        <v>0</v>
      </c>
      <c r="G814" s="41">
        <v>0</v>
      </c>
      <c r="H814" s="41">
        <v>0</v>
      </c>
      <c r="I814" s="41">
        <v>0</v>
      </c>
    </row>
    <row r="815" spans="1:9" s="42" customFormat="1" x14ac:dyDescent="0.3">
      <c r="A815" s="63"/>
      <c r="B815" s="44" t="s">
        <v>33</v>
      </c>
      <c r="C815" s="41">
        <f>D815+E815+F815+G815+H815+I815</f>
        <v>80</v>
      </c>
      <c r="D815" s="41">
        <v>0</v>
      </c>
      <c r="E815" s="41">
        <v>80</v>
      </c>
      <c r="F815" s="41">
        <v>0</v>
      </c>
      <c r="G815" s="41">
        <v>0</v>
      </c>
      <c r="H815" s="41">
        <v>0</v>
      </c>
      <c r="I815" s="41">
        <v>0</v>
      </c>
    </row>
    <row r="816" spans="1:9" s="65" customFormat="1" ht="14.15" x14ac:dyDescent="0.35">
      <c r="A816" s="271" t="s">
        <v>300</v>
      </c>
      <c r="B816" s="40" t="s">
        <v>32</v>
      </c>
      <c r="C816" s="41">
        <f t="shared" ref="C816" si="226">D816+E816+F816+G816+H816+I816</f>
        <v>20</v>
      </c>
      <c r="D816" s="41">
        <v>0</v>
      </c>
      <c r="E816" s="41">
        <v>20</v>
      </c>
      <c r="F816" s="41">
        <v>0</v>
      </c>
      <c r="G816" s="41">
        <v>0</v>
      </c>
      <c r="H816" s="41">
        <v>0</v>
      </c>
      <c r="I816" s="41">
        <v>0</v>
      </c>
    </row>
    <row r="817" spans="1:16" s="42" customFormat="1" x14ac:dyDescent="0.3">
      <c r="A817" s="63"/>
      <c r="B817" s="44" t="s">
        <v>33</v>
      </c>
      <c r="C817" s="41">
        <f>D817+E817+F817+G817+H817+I817</f>
        <v>20</v>
      </c>
      <c r="D817" s="41">
        <v>0</v>
      </c>
      <c r="E817" s="41">
        <v>20</v>
      </c>
      <c r="F817" s="41">
        <v>0</v>
      </c>
      <c r="G817" s="41">
        <v>0</v>
      </c>
      <c r="H817" s="41">
        <v>0</v>
      </c>
      <c r="I817" s="41">
        <v>0</v>
      </c>
    </row>
    <row r="818" spans="1:16" s="65" customFormat="1" ht="14.15" x14ac:dyDescent="0.35">
      <c r="A818" s="292" t="s">
        <v>301</v>
      </c>
      <c r="B818" s="40" t="s">
        <v>32</v>
      </c>
      <c r="C818" s="41">
        <f t="shared" ref="C818" si="227">D818+E818+F818+G818+H818+I818</f>
        <v>14</v>
      </c>
      <c r="D818" s="41">
        <v>0</v>
      </c>
      <c r="E818" s="41">
        <v>14</v>
      </c>
      <c r="F818" s="41">
        <v>0</v>
      </c>
      <c r="G818" s="41">
        <v>0</v>
      </c>
      <c r="H818" s="41">
        <v>0</v>
      </c>
      <c r="I818" s="41">
        <v>0</v>
      </c>
    </row>
    <row r="819" spans="1:16" s="42" customFormat="1" x14ac:dyDescent="0.3">
      <c r="A819" s="63"/>
      <c r="B819" s="44" t="s">
        <v>33</v>
      </c>
      <c r="C819" s="41">
        <f>D819+E819+F819+G819+H819+I819</f>
        <v>14</v>
      </c>
      <c r="D819" s="41">
        <v>0</v>
      </c>
      <c r="E819" s="41">
        <v>14</v>
      </c>
      <c r="F819" s="41">
        <v>0</v>
      </c>
      <c r="G819" s="41">
        <v>0</v>
      </c>
      <c r="H819" s="41">
        <v>0</v>
      </c>
      <c r="I819" s="41">
        <v>0</v>
      </c>
    </row>
    <row r="820" spans="1:16" s="65" customFormat="1" ht="14.15" x14ac:dyDescent="0.35">
      <c r="A820" s="293" t="s">
        <v>302</v>
      </c>
      <c r="B820" s="40" t="s">
        <v>32</v>
      </c>
      <c r="C820" s="41">
        <f t="shared" ref="C820" si="228">D820+E820+F820+G820+H820+I820</f>
        <v>35</v>
      </c>
      <c r="D820" s="41">
        <v>0</v>
      </c>
      <c r="E820" s="41">
        <v>35</v>
      </c>
      <c r="F820" s="41">
        <v>0</v>
      </c>
      <c r="G820" s="41">
        <v>0</v>
      </c>
      <c r="H820" s="41">
        <v>0</v>
      </c>
      <c r="I820" s="41">
        <v>0</v>
      </c>
    </row>
    <row r="821" spans="1:16" s="42" customFormat="1" x14ac:dyDescent="0.3">
      <c r="A821" s="63"/>
      <c r="B821" s="44" t="s">
        <v>33</v>
      </c>
      <c r="C821" s="41">
        <f>D821+E821+F821+G821+H821+I821</f>
        <v>35</v>
      </c>
      <c r="D821" s="41">
        <v>0</v>
      </c>
      <c r="E821" s="41">
        <v>35</v>
      </c>
      <c r="F821" s="41">
        <v>0</v>
      </c>
      <c r="G821" s="41">
        <v>0</v>
      </c>
      <c r="H821" s="41">
        <v>0</v>
      </c>
      <c r="I821" s="41">
        <v>0</v>
      </c>
    </row>
    <row r="822" spans="1:16" s="65" customFormat="1" ht="14.15" x14ac:dyDescent="0.35">
      <c r="A822" s="294" t="s">
        <v>312</v>
      </c>
      <c r="B822" s="40" t="s">
        <v>32</v>
      </c>
      <c r="C822" s="41">
        <f t="shared" ref="C822" si="229">D822+E822+F822+G822+H822+I822</f>
        <v>45</v>
      </c>
      <c r="D822" s="41">
        <v>0</v>
      </c>
      <c r="E822" s="41">
        <v>45</v>
      </c>
      <c r="F822" s="41">
        <v>0</v>
      </c>
      <c r="G822" s="41">
        <v>0</v>
      </c>
      <c r="H822" s="41">
        <v>0</v>
      </c>
      <c r="I822" s="41">
        <v>0</v>
      </c>
    </row>
    <row r="823" spans="1:16" s="42" customFormat="1" x14ac:dyDescent="0.3">
      <c r="A823" s="63"/>
      <c r="B823" s="44" t="s">
        <v>33</v>
      </c>
      <c r="C823" s="41">
        <f>D823+E823+F823+G823+H823+I823</f>
        <v>45</v>
      </c>
      <c r="D823" s="41">
        <v>0</v>
      </c>
      <c r="E823" s="41">
        <v>45</v>
      </c>
      <c r="F823" s="41">
        <v>0</v>
      </c>
      <c r="G823" s="41">
        <v>0</v>
      </c>
      <c r="H823" s="41">
        <v>0</v>
      </c>
      <c r="I823" s="41">
        <v>0</v>
      </c>
    </row>
    <row r="824" spans="1:16" s="65" customFormat="1" ht="14.15" x14ac:dyDescent="0.35">
      <c r="A824" s="294" t="s">
        <v>313</v>
      </c>
      <c r="B824" s="40" t="s">
        <v>32</v>
      </c>
      <c r="C824" s="41">
        <f t="shared" ref="C824" si="230">D824+E824+F824+G824+H824+I824</f>
        <v>13</v>
      </c>
      <c r="D824" s="41">
        <v>0</v>
      </c>
      <c r="E824" s="41">
        <v>13</v>
      </c>
      <c r="F824" s="41">
        <v>0</v>
      </c>
      <c r="G824" s="41">
        <v>0</v>
      </c>
      <c r="H824" s="41">
        <v>0</v>
      </c>
      <c r="I824" s="41">
        <v>0</v>
      </c>
    </row>
    <row r="825" spans="1:16" s="42" customFormat="1" x14ac:dyDescent="0.3">
      <c r="A825" s="63"/>
      <c r="B825" s="44" t="s">
        <v>33</v>
      </c>
      <c r="C825" s="41">
        <f>D825+E825+F825+G825+H825+I825</f>
        <v>13</v>
      </c>
      <c r="D825" s="41">
        <v>0</v>
      </c>
      <c r="E825" s="41">
        <v>13</v>
      </c>
      <c r="F825" s="41">
        <v>0</v>
      </c>
      <c r="G825" s="41">
        <v>0</v>
      </c>
      <c r="H825" s="41">
        <v>0</v>
      </c>
      <c r="I825" s="41">
        <v>0</v>
      </c>
    </row>
    <row r="826" spans="1:16" s="65" customFormat="1" ht="14.15" x14ac:dyDescent="0.35">
      <c r="A826" s="295" t="s">
        <v>314</v>
      </c>
      <c r="B826" s="40" t="s">
        <v>32</v>
      </c>
      <c r="C826" s="41">
        <f t="shared" ref="C826" si="231">D826+E826+F826+G826+H826+I826</f>
        <v>4</v>
      </c>
      <c r="D826" s="41">
        <v>0</v>
      </c>
      <c r="E826" s="41">
        <v>4</v>
      </c>
      <c r="F826" s="41">
        <v>0</v>
      </c>
      <c r="G826" s="41">
        <v>0</v>
      </c>
      <c r="H826" s="41">
        <v>0</v>
      </c>
      <c r="I826" s="41">
        <v>0</v>
      </c>
    </row>
    <row r="827" spans="1:16" s="42" customFormat="1" x14ac:dyDescent="0.3">
      <c r="A827" s="63"/>
      <c r="B827" s="44" t="s">
        <v>33</v>
      </c>
      <c r="C827" s="41">
        <f>D827+E827+F827+G827+H827+I827</f>
        <v>4</v>
      </c>
      <c r="D827" s="41">
        <v>0</v>
      </c>
      <c r="E827" s="41">
        <v>4</v>
      </c>
      <c r="F827" s="41">
        <v>0</v>
      </c>
      <c r="G827" s="41">
        <v>0</v>
      </c>
      <c r="H827" s="41">
        <v>0</v>
      </c>
      <c r="I827" s="41">
        <v>0</v>
      </c>
    </row>
    <row r="828" spans="1:16" s="65" customFormat="1" ht="14.15" x14ac:dyDescent="0.35">
      <c r="A828" s="295" t="s">
        <v>315</v>
      </c>
      <c r="B828" s="40" t="s">
        <v>32</v>
      </c>
      <c r="C828" s="41">
        <f t="shared" ref="C828" si="232">D828+E828+F828+G828+H828+I828</f>
        <v>3</v>
      </c>
      <c r="D828" s="41">
        <v>0</v>
      </c>
      <c r="E828" s="41">
        <v>3</v>
      </c>
      <c r="F828" s="41">
        <v>0</v>
      </c>
      <c r="G828" s="41">
        <v>0</v>
      </c>
      <c r="H828" s="41">
        <v>0</v>
      </c>
      <c r="I828" s="41">
        <v>0</v>
      </c>
    </row>
    <row r="829" spans="1:16" s="42" customFormat="1" x14ac:dyDescent="0.3">
      <c r="A829" s="63"/>
      <c r="B829" s="44" t="s">
        <v>33</v>
      </c>
      <c r="C829" s="41">
        <f>D829+E829+F829+G829+H829+I829</f>
        <v>3</v>
      </c>
      <c r="D829" s="41">
        <v>0</v>
      </c>
      <c r="E829" s="41">
        <v>3</v>
      </c>
      <c r="F829" s="41">
        <v>0</v>
      </c>
      <c r="G829" s="41">
        <v>0</v>
      </c>
      <c r="H829" s="41">
        <v>0</v>
      </c>
      <c r="I829" s="41">
        <v>0</v>
      </c>
    </row>
    <row r="830" spans="1:16" s="65" customFormat="1" x14ac:dyDescent="0.3">
      <c r="A830" s="285" t="s">
        <v>316</v>
      </c>
      <c r="B830" s="40" t="s">
        <v>32</v>
      </c>
      <c r="C830" s="41">
        <f t="shared" ref="C830" si="233">D830+E830+F830+G830+H830+I830</f>
        <v>485</v>
      </c>
      <c r="D830" s="41">
        <f>D832+D834+D836+D838+D840+D842+D844</f>
        <v>395</v>
      </c>
      <c r="E830" s="41">
        <f t="shared" ref="E830:I831" si="234">E832+E834+E836+E838+E840+E842+E844</f>
        <v>90</v>
      </c>
      <c r="F830" s="41">
        <f t="shared" si="234"/>
        <v>0</v>
      </c>
      <c r="G830" s="41">
        <f t="shared" si="234"/>
        <v>0</v>
      </c>
      <c r="H830" s="41">
        <f t="shared" si="234"/>
        <v>0</v>
      </c>
      <c r="I830" s="41">
        <f t="shared" si="234"/>
        <v>0</v>
      </c>
    </row>
    <row r="831" spans="1:16" s="42" customFormat="1" x14ac:dyDescent="0.3">
      <c r="A831" s="63"/>
      <c r="B831" s="44" t="s">
        <v>33</v>
      </c>
      <c r="C831" s="41">
        <f>D831+E831+F831+G831+H831+I831</f>
        <v>485</v>
      </c>
      <c r="D831" s="41">
        <f>D833+D835+D837+D839+D841+D843+D845</f>
        <v>395</v>
      </c>
      <c r="E831" s="41">
        <f t="shared" si="234"/>
        <v>90</v>
      </c>
      <c r="F831" s="41">
        <f t="shared" si="234"/>
        <v>0</v>
      </c>
      <c r="G831" s="41">
        <f t="shared" si="234"/>
        <v>0</v>
      </c>
      <c r="H831" s="41">
        <f t="shared" si="234"/>
        <v>0</v>
      </c>
      <c r="I831" s="41">
        <f t="shared" si="234"/>
        <v>0</v>
      </c>
    </row>
    <row r="832" spans="1:16" s="93" customFormat="1" ht="14.15" x14ac:dyDescent="0.35">
      <c r="A832" s="271" t="s">
        <v>317</v>
      </c>
      <c r="B832" s="92" t="s">
        <v>32</v>
      </c>
      <c r="C832" s="81">
        <f t="shared" ref="C832:C838" si="235">D832+E832+F832+G832+H832+I832</f>
        <v>30</v>
      </c>
      <c r="D832" s="81">
        <v>30</v>
      </c>
      <c r="E832" s="81">
        <v>0</v>
      </c>
      <c r="F832" s="81">
        <v>0</v>
      </c>
      <c r="G832" s="81">
        <v>0</v>
      </c>
      <c r="H832" s="81">
        <v>0</v>
      </c>
      <c r="I832" s="81">
        <v>0</v>
      </c>
      <c r="J832" s="1112"/>
      <c r="K832" s="1113"/>
      <c r="L832" s="1113"/>
      <c r="M832" s="1113"/>
      <c r="N832" s="1113"/>
      <c r="O832" s="1113"/>
      <c r="P832" s="1113"/>
    </row>
    <row r="833" spans="1:16" s="96" customFormat="1" x14ac:dyDescent="0.3">
      <c r="A833" s="82"/>
      <c r="B833" s="95" t="s">
        <v>33</v>
      </c>
      <c r="C833" s="81">
        <f t="shared" si="235"/>
        <v>30</v>
      </c>
      <c r="D833" s="81">
        <v>30</v>
      </c>
      <c r="E833" s="81">
        <v>0</v>
      </c>
      <c r="F833" s="81">
        <v>0</v>
      </c>
      <c r="G833" s="81">
        <v>0</v>
      </c>
      <c r="H833" s="81">
        <v>0</v>
      </c>
      <c r="I833" s="81">
        <v>0</v>
      </c>
      <c r="J833" s="1112"/>
      <c r="K833" s="1113"/>
      <c r="L833" s="1113"/>
      <c r="M833" s="1113"/>
      <c r="N833" s="1113"/>
      <c r="O833" s="1113"/>
      <c r="P833" s="1113"/>
    </row>
    <row r="834" spans="1:16" s="93" customFormat="1" ht="14.15" x14ac:dyDescent="0.35">
      <c r="A834" s="271" t="s">
        <v>318</v>
      </c>
      <c r="B834" s="92" t="s">
        <v>32</v>
      </c>
      <c r="C834" s="81">
        <f t="shared" si="235"/>
        <v>350</v>
      </c>
      <c r="D834" s="81">
        <v>350</v>
      </c>
      <c r="E834" s="81">
        <v>0</v>
      </c>
      <c r="F834" s="81">
        <v>0</v>
      </c>
      <c r="G834" s="81">
        <v>0</v>
      </c>
      <c r="H834" s="81">
        <v>0</v>
      </c>
      <c r="I834" s="81">
        <v>0</v>
      </c>
      <c r="J834" s="1112"/>
      <c r="K834" s="1113"/>
      <c r="L834" s="1113"/>
      <c r="M834" s="1113"/>
      <c r="N834" s="1113"/>
      <c r="O834" s="1113"/>
      <c r="P834" s="1113"/>
    </row>
    <row r="835" spans="1:16" s="96" customFormat="1" x14ac:dyDescent="0.3">
      <c r="A835" s="82"/>
      <c r="B835" s="95" t="s">
        <v>33</v>
      </c>
      <c r="C835" s="81">
        <f t="shared" si="235"/>
        <v>350</v>
      </c>
      <c r="D835" s="81">
        <v>350</v>
      </c>
      <c r="E835" s="81">
        <v>0</v>
      </c>
      <c r="F835" s="81">
        <v>0</v>
      </c>
      <c r="G835" s="81">
        <v>0</v>
      </c>
      <c r="H835" s="81">
        <v>0</v>
      </c>
      <c r="I835" s="81">
        <v>0</v>
      </c>
      <c r="J835" s="1112"/>
      <c r="K835" s="1113"/>
      <c r="L835" s="1113"/>
      <c r="M835" s="1113"/>
      <c r="N835" s="1113"/>
      <c r="O835" s="1113"/>
      <c r="P835" s="1113"/>
    </row>
    <row r="836" spans="1:16" s="93" customFormat="1" ht="14.15" x14ac:dyDescent="0.35">
      <c r="A836" s="296" t="s">
        <v>319</v>
      </c>
      <c r="B836" s="92" t="s">
        <v>32</v>
      </c>
      <c r="C836" s="81">
        <f t="shared" si="235"/>
        <v>15</v>
      </c>
      <c r="D836" s="81">
        <v>15</v>
      </c>
      <c r="E836" s="81">
        <v>0</v>
      </c>
      <c r="F836" s="81">
        <v>0</v>
      </c>
      <c r="G836" s="81">
        <v>0</v>
      </c>
      <c r="H836" s="81">
        <v>0</v>
      </c>
      <c r="I836" s="81">
        <v>0</v>
      </c>
      <c r="J836" s="1112"/>
      <c r="K836" s="1113"/>
      <c r="L836" s="1113"/>
      <c r="M836" s="1113"/>
      <c r="N836" s="1113"/>
      <c r="O836" s="1113"/>
      <c r="P836" s="1113"/>
    </row>
    <row r="837" spans="1:16" s="96" customFormat="1" x14ac:dyDescent="0.3">
      <c r="A837" s="82"/>
      <c r="B837" s="95" t="s">
        <v>33</v>
      </c>
      <c r="C837" s="81">
        <f t="shared" si="235"/>
        <v>15</v>
      </c>
      <c r="D837" s="81">
        <v>15</v>
      </c>
      <c r="E837" s="81">
        <v>0</v>
      </c>
      <c r="F837" s="81">
        <v>0</v>
      </c>
      <c r="G837" s="81">
        <v>0</v>
      </c>
      <c r="H837" s="81">
        <v>0</v>
      </c>
      <c r="I837" s="81">
        <v>0</v>
      </c>
      <c r="J837" s="1112"/>
      <c r="K837" s="1113"/>
      <c r="L837" s="1113"/>
      <c r="M837" s="1113"/>
      <c r="N837" s="1113"/>
      <c r="O837" s="1113"/>
      <c r="P837" s="1113"/>
    </row>
    <row r="838" spans="1:16" s="65" customFormat="1" ht="14.15" x14ac:dyDescent="0.35">
      <c r="A838" s="271" t="s">
        <v>317</v>
      </c>
      <c r="B838" s="40" t="s">
        <v>32</v>
      </c>
      <c r="C838" s="41">
        <f t="shared" si="235"/>
        <v>45</v>
      </c>
      <c r="D838" s="41">
        <v>0</v>
      </c>
      <c r="E838" s="41">
        <v>45</v>
      </c>
      <c r="F838" s="41">
        <v>0</v>
      </c>
      <c r="G838" s="41">
        <v>0</v>
      </c>
      <c r="H838" s="41">
        <v>0</v>
      </c>
      <c r="I838" s="41">
        <v>0</v>
      </c>
    </row>
    <row r="839" spans="1:16" s="42" customFormat="1" x14ac:dyDescent="0.3">
      <c r="A839" s="63"/>
      <c r="B839" s="44" t="s">
        <v>33</v>
      </c>
      <c r="C839" s="41">
        <f>D839+E839+F839+G839+H839+I839</f>
        <v>45</v>
      </c>
      <c r="D839" s="41">
        <v>0</v>
      </c>
      <c r="E839" s="41">
        <v>45</v>
      </c>
      <c r="F839" s="41">
        <v>0</v>
      </c>
      <c r="G839" s="41">
        <v>0</v>
      </c>
      <c r="H839" s="41">
        <v>0</v>
      </c>
      <c r="I839" s="41">
        <v>0</v>
      </c>
    </row>
    <row r="840" spans="1:16" s="65" customFormat="1" ht="14.15" x14ac:dyDescent="0.35">
      <c r="A840" s="297" t="s">
        <v>320</v>
      </c>
      <c r="B840" s="40" t="s">
        <v>32</v>
      </c>
      <c r="C840" s="41">
        <f t="shared" ref="C840" si="236">D840+E840+F840+G840+H840+I840</f>
        <v>13</v>
      </c>
      <c r="D840" s="41">
        <v>0</v>
      </c>
      <c r="E840" s="41">
        <v>13</v>
      </c>
      <c r="F840" s="41">
        <v>0</v>
      </c>
      <c r="G840" s="41">
        <v>0</v>
      </c>
      <c r="H840" s="41">
        <v>0</v>
      </c>
      <c r="I840" s="41">
        <v>0</v>
      </c>
    </row>
    <row r="841" spans="1:16" s="42" customFormat="1" x14ac:dyDescent="0.3">
      <c r="A841" s="63"/>
      <c r="B841" s="44" t="s">
        <v>33</v>
      </c>
      <c r="C841" s="41">
        <f>D841+E841+F841+G841+H841+I841</f>
        <v>13</v>
      </c>
      <c r="D841" s="41">
        <v>0</v>
      </c>
      <c r="E841" s="41">
        <v>13</v>
      </c>
      <c r="F841" s="41">
        <v>0</v>
      </c>
      <c r="G841" s="41">
        <v>0</v>
      </c>
      <c r="H841" s="41">
        <v>0</v>
      </c>
      <c r="I841" s="41">
        <v>0</v>
      </c>
    </row>
    <row r="842" spans="1:16" s="65" customFormat="1" ht="14.15" x14ac:dyDescent="0.35">
      <c r="A842" s="297" t="s">
        <v>321</v>
      </c>
      <c r="B842" s="40" t="s">
        <v>32</v>
      </c>
      <c r="C842" s="41">
        <f t="shared" ref="C842" si="237">D842+E842+F842+G842+H842+I842</f>
        <v>12</v>
      </c>
      <c r="D842" s="41">
        <v>0</v>
      </c>
      <c r="E842" s="41">
        <v>12</v>
      </c>
      <c r="F842" s="41">
        <v>0</v>
      </c>
      <c r="G842" s="41">
        <v>0</v>
      </c>
      <c r="H842" s="41">
        <v>0</v>
      </c>
      <c r="I842" s="41">
        <v>0</v>
      </c>
    </row>
    <row r="843" spans="1:16" s="42" customFormat="1" x14ac:dyDescent="0.3">
      <c r="A843" s="63"/>
      <c r="B843" s="44" t="s">
        <v>33</v>
      </c>
      <c r="C843" s="41">
        <f>D843+E843+F843+G843+H843+I843</f>
        <v>12</v>
      </c>
      <c r="D843" s="41">
        <v>0</v>
      </c>
      <c r="E843" s="41">
        <v>12</v>
      </c>
      <c r="F843" s="41">
        <v>0</v>
      </c>
      <c r="G843" s="41">
        <v>0</v>
      </c>
      <c r="H843" s="41">
        <v>0</v>
      </c>
      <c r="I843" s="41">
        <v>0</v>
      </c>
    </row>
    <row r="844" spans="1:16" s="65" customFormat="1" ht="14.15" x14ac:dyDescent="0.35">
      <c r="A844" s="297" t="s">
        <v>322</v>
      </c>
      <c r="B844" s="40" t="s">
        <v>32</v>
      </c>
      <c r="C844" s="41">
        <f t="shared" ref="C844" si="238">D844+E844+F844+G844+H844+I844</f>
        <v>20</v>
      </c>
      <c r="D844" s="41">
        <v>0</v>
      </c>
      <c r="E844" s="41">
        <v>20</v>
      </c>
      <c r="F844" s="41">
        <v>0</v>
      </c>
      <c r="G844" s="41">
        <v>0</v>
      </c>
      <c r="H844" s="41">
        <v>0</v>
      </c>
      <c r="I844" s="41">
        <v>0</v>
      </c>
    </row>
    <row r="845" spans="1:16" s="42" customFormat="1" x14ac:dyDescent="0.3">
      <c r="A845" s="63"/>
      <c r="B845" s="44" t="s">
        <v>33</v>
      </c>
      <c r="C845" s="41">
        <f>D845+E845+F845+G845+H845+I845</f>
        <v>20</v>
      </c>
      <c r="D845" s="41">
        <v>0</v>
      </c>
      <c r="E845" s="41">
        <v>20</v>
      </c>
      <c r="F845" s="41">
        <v>0</v>
      </c>
      <c r="G845" s="41">
        <v>0</v>
      </c>
      <c r="H845" s="41">
        <v>0</v>
      </c>
      <c r="I845" s="41">
        <v>0</v>
      </c>
    </row>
    <row r="846" spans="1:16" x14ac:dyDescent="0.3">
      <c r="A846" s="1019" t="s">
        <v>323</v>
      </c>
      <c r="B846" s="1017"/>
      <c r="C846" s="1017"/>
      <c r="D846" s="1017"/>
      <c r="E846" s="1017"/>
      <c r="F846" s="1017"/>
      <c r="G846" s="1017"/>
      <c r="H846" s="1017"/>
      <c r="I846" s="1018"/>
    </row>
    <row r="847" spans="1:16" x14ac:dyDescent="0.3">
      <c r="A847" s="71" t="s">
        <v>57</v>
      </c>
      <c r="B847" s="56" t="s">
        <v>32</v>
      </c>
      <c r="C847" s="48">
        <f t="shared" ref="C847:C864" si="239">D847+E847+F847+G847+H847+I847</f>
        <v>584</v>
      </c>
      <c r="D847" s="48">
        <f t="shared" ref="D847:I854" si="240">D849</f>
        <v>0</v>
      </c>
      <c r="E847" s="48">
        <f t="shared" si="240"/>
        <v>584</v>
      </c>
      <c r="F847" s="48">
        <f t="shared" si="240"/>
        <v>0</v>
      </c>
      <c r="G847" s="48">
        <f t="shared" si="240"/>
        <v>0</v>
      </c>
      <c r="H847" s="48">
        <f t="shared" si="240"/>
        <v>0</v>
      </c>
      <c r="I847" s="48">
        <f t="shared" si="240"/>
        <v>0</v>
      </c>
    </row>
    <row r="848" spans="1:16" x14ac:dyDescent="0.3">
      <c r="A848" s="60" t="s">
        <v>87</v>
      </c>
      <c r="B848" s="38" t="s">
        <v>33</v>
      </c>
      <c r="C848" s="48">
        <f t="shared" si="239"/>
        <v>584</v>
      </c>
      <c r="D848" s="48">
        <f t="shared" si="240"/>
        <v>0</v>
      </c>
      <c r="E848" s="48">
        <f t="shared" si="240"/>
        <v>584</v>
      </c>
      <c r="F848" s="48">
        <f t="shared" si="240"/>
        <v>0</v>
      </c>
      <c r="G848" s="48">
        <f t="shared" si="240"/>
        <v>0</v>
      </c>
      <c r="H848" s="48">
        <f t="shared" si="240"/>
        <v>0</v>
      </c>
      <c r="I848" s="48">
        <f t="shared" si="240"/>
        <v>0</v>
      </c>
    </row>
    <row r="849" spans="1:9" x14ac:dyDescent="0.3">
      <c r="A849" s="15" t="s">
        <v>34</v>
      </c>
      <c r="B849" s="56" t="s">
        <v>32</v>
      </c>
      <c r="C849" s="48">
        <f t="shared" si="239"/>
        <v>584</v>
      </c>
      <c r="D849" s="48">
        <f t="shared" si="240"/>
        <v>0</v>
      </c>
      <c r="E849" s="48">
        <f t="shared" si="240"/>
        <v>584</v>
      </c>
      <c r="F849" s="48">
        <f t="shared" si="240"/>
        <v>0</v>
      </c>
      <c r="G849" s="48">
        <f t="shared" si="240"/>
        <v>0</v>
      </c>
      <c r="H849" s="48">
        <f t="shared" si="240"/>
        <v>0</v>
      </c>
      <c r="I849" s="48">
        <f t="shared" si="240"/>
        <v>0</v>
      </c>
    </row>
    <row r="850" spans="1:9" x14ac:dyDescent="0.3">
      <c r="A850" s="60" t="s">
        <v>89</v>
      </c>
      <c r="B850" s="38" t="s">
        <v>33</v>
      </c>
      <c r="C850" s="48">
        <f t="shared" si="239"/>
        <v>584</v>
      </c>
      <c r="D850" s="48">
        <f t="shared" si="240"/>
        <v>0</v>
      </c>
      <c r="E850" s="48">
        <f t="shared" si="240"/>
        <v>584</v>
      </c>
      <c r="F850" s="48">
        <f t="shared" si="240"/>
        <v>0</v>
      </c>
      <c r="G850" s="48">
        <f t="shared" si="240"/>
        <v>0</v>
      </c>
      <c r="H850" s="48">
        <f t="shared" si="240"/>
        <v>0</v>
      </c>
      <c r="I850" s="48">
        <f t="shared" si="240"/>
        <v>0</v>
      </c>
    </row>
    <row r="851" spans="1:9" ht="12.9" x14ac:dyDescent="0.35">
      <c r="A851" s="54" t="s">
        <v>40</v>
      </c>
      <c r="B851" s="35" t="s">
        <v>32</v>
      </c>
      <c r="C851" s="48">
        <f t="shared" si="239"/>
        <v>584</v>
      </c>
      <c r="D851" s="48">
        <f t="shared" si="240"/>
        <v>0</v>
      </c>
      <c r="E851" s="48">
        <f t="shared" si="240"/>
        <v>584</v>
      </c>
      <c r="F851" s="48">
        <f t="shared" si="240"/>
        <v>0</v>
      </c>
      <c r="G851" s="48">
        <f t="shared" si="240"/>
        <v>0</v>
      </c>
      <c r="H851" s="48">
        <f t="shared" si="240"/>
        <v>0</v>
      </c>
      <c r="I851" s="48">
        <f t="shared" si="240"/>
        <v>0</v>
      </c>
    </row>
    <row r="852" spans="1:9" ht="12.9" x14ac:dyDescent="0.35">
      <c r="A852" s="43"/>
      <c r="B852" s="38" t="s">
        <v>33</v>
      </c>
      <c r="C852" s="48">
        <f t="shared" si="239"/>
        <v>584</v>
      </c>
      <c r="D852" s="48">
        <f t="shared" si="240"/>
        <v>0</v>
      </c>
      <c r="E852" s="48">
        <f t="shared" si="240"/>
        <v>584</v>
      </c>
      <c r="F852" s="48">
        <f t="shared" si="240"/>
        <v>0</v>
      </c>
      <c r="G852" s="48">
        <f t="shared" si="240"/>
        <v>0</v>
      </c>
      <c r="H852" s="48">
        <f t="shared" si="240"/>
        <v>0</v>
      </c>
      <c r="I852" s="48">
        <f t="shared" si="240"/>
        <v>0</v>
      </c>
    </row>
    <row r="853" spans="1:9" x14ac:dyDescent="0.3">
      <c r="A853" s="72" t="s">
        <v>53</v>
      </c>
      <c r="B853" s="56" t="s">
        <v>32</v>
      </c>
      <c r="C853" s="48">
        <f t="shared" si="239"/>
        <v>584</v>
      </c>
      <c r="D853" s="48">
        <f>D855</f>
        <v>0</v>
      </c>
      <c r="E853" s="48">
        <f t="shared" si="240"/>
        <v>584</v>
      </c>
      <c r="F853" s="48">
        <f t="shared" si="240"/>
        <v>0</v>
      </c>
      <c r="G853" s="48">
        <f t="shared" si="240"/>
        <v>0</v>
      </c>
      <c r="H853" s="48">
        <f t="shared" si="240"/>
        <v>0</v>
      </c>
      <c r="I853" s="48">
        <f t="shared" si="240"/>
        <v>0</v>
      </c>
    </row>
    <row r="854" spans="1:9" x14ac:dyDescent="0.3">
      <c r="A854" s="63"/>
      <c r="B854" s="38" t="s">
        <v>33</v>
      </c>
      <c r="C854" s="48">
        <f t="shared" si="239"/>
        <v>584</v>
      </c>
      <c r="D854" s="48">
        <f>D856</f>
        <v>0</v>
      </c>
      <c r="E854" s="48">
        <f t="shared" si="240"/>
        <v>584</v>
      </c>
      <c r="F854" s="48">
        <f t="shared" si="240"/>
        <v>0</v>
      </c>
      <c r="G854" s="48">
        <f t="shared" si="240"/>
        <v>0</v>
      </c>
      <c r="H854" s="48">
        <f t="shared" si="240"/>
        <v>0</v>
      </c>
      <c r="I854" s="48">
        <f t="shared" si="240"/>
        <v>0</v>
      </c>
    </row>
    <row r="855" spans="1:9" s="126" customFormat="1" x14ac:dyDescent="0.3">
      <c r="A855" s="15" t="s">
        <v>43</v>
      </c>
      <c r="B855" s="124" t="s">
        <v>32</v>
      </c>
      <c r="C855" s="122">
        <f t="shared" si="239"/>
        <v>584</v>
      </c>
      <c r="D855" s="122">
        <f>D857+D861</f>
        <v>0</v>
      </c>
      <c r="E855" s="122">
        <f t="shared" ref="E855:I856" si="241">E857+E861</f>
        <v>584</v>
      </c>
      <c r="F855" s="122">
        <f t="shared" si="241"/>
        <v>0</v>
      </c>
      <c r="G855" s="122">
        <f t="shared" si="241"/>
        <v>0</v>
      </c>
      <c r="H855" s="122">
        <f t="shared" si="241"/>
        <v>0</v>
      </c>
      <c r="I855" s="122">
        <f t="shared" si="241"/>
        <v>0</v>
      </c>
    </row>
    <row r="856" spans="1:9" s="126" customFormat="1" x14ac:dyDescent="0.3">
      <c r="A856" s="127"/>
      <c r="B856" s="128" t="s">
        <v>33</v>
      </c>
      <c r="C856" s="122">
        <f t="shared" si="239"/>
        <v>584</v>
      </c>
      <c r="D856" s="122">
        <f>D858+D862</f>
        <v>0</v>
      </c>
      <c r="E856" s="122">
        <f t="shared" si="241"/>
        <v>584</v>
      </c>
      <c r="F856" s="122">
        <f t="shared" si="241"/>
        <v>0</v>
      </c>
      <c r="G856" s="122">
        <f t="shared" si="241"/>
        <v>0</v>
      </c>
      <c r="H856" s="122">
        <f t="shared" si="241"/>
        <v>0</v>
      </c>
      <c r="I856" s="122">
        <f t="shared" si="241"/>
        <v>0</v>
      </c>
    </row>
    <row r="857" spans="1:9" s="126" customFormat="1" ht="14.15" x14ac:dyDescent="0.35">
      <c r="A857" s="298" t="s">
        <v>324</v>
      </c>
      <c r="B857" s="146" t="s">
        <v>32</v>
      </c>
      <c r="C857" s="122">
        <f t="shared" si="239"/>
        <v>284</v>
      </c>
      <c r="D857" s="122">
        <f>D859</f>
        <v>0</v>
      </c>
      <c r="E857" s="122">
        <f t="shared" ref="E857:I858" si="242">E859</f>
        <v>284</v>
      </c>
      <c r="F857" s="122">
        <f t="shared" si="242"/>
        <v>0</v>
      </c>
      <c r="G857" s="122">
        <f t="shared" si="242"/>
        <v>0</v>
      </c>
      <c r="H857" s="122">
        <f t="shared" si="242"/>
        <v>0</v>
      </c>
      <c r="I857" s="122">
        <f t="shared" si="242"/>
        <v>0</v>
      </c>
    </row>
    <row r="858" spans="1:9" s="126" customFormat="1" x14ac:dyDescent="0.3">
      <c r="A858" s="63"/>
      <c r="B858" s="142" t="s">
        <v>33</v>
      </c>
      <c r="C858" s="122">
        <f t="shared" si="239"/>
        <v>284</v>
      </c>
      <c r="D858" s="122">
        <f>D860</f>
        <v>0</v>
      </c>
      <c r="E858" s="122">
        <f t="shared" si="242"/>
        <v>284</v>
      </c>
      <c r="F858" s="122">
        <f t="shared" si="242"/>
        <v>0</v>
      </c>
      <c r="G858" s="122">
        <f t="shared" si="242"/>
        <v>0</v>
      </c>
      <c r="H858" s="122">
        <f t="shared" si="242"/>
        <v>0</v>
      </c>
      <c r="I858" s="122">
        <f t="shared" si="242"/>
        <v>0</v>
      </c>
    </row>
    <row r="859" spans="1:9" s="131" customFormat="1" ht="15.45" x14ac:dyDescent="0.4">
      <c r="A859" s="299" t="s">
        <v>325</v>
      </c>
      <c r="B859" s="150" t="s">
        <v>32</v>
      </c>
      <c r="C859" s="97">
        <f t="shared" si="239"/>
        <v>284</v>
      </c>
      <c r="D859" s="97">
        <v>0</v>
      </c>
      <c r="E859" s="97">
        <f>250+34</f>
        <v>284</v>
      </c>
      <c r="F859" s="97">
        <v>0</v>
      </c>
      <c r="G859" s="97">
        <v>0</v>
      </c>
      <c r="H859" s="97">
        <v>0</v>
      </c>
      <c r="I859" s="97">
        <v>0</v>
      </c>
    </row>
    <row r="860" spans="1:9" s="131" customFormat="1" x14ac:dyDescent="0.3">
      <c r="A860" s="60"/>
      <c r="B860" s="99" t="s">
        <v>33</v>
      </c>
      <c r="C860" s="97">
        <f t="shared" si="239"/>
        <v>284</v>
      </c>
      <c r="D860" s="97">
        <v>0</v>
      </c>
      <c r="E860" s="97">
        <f>250+34</f>
        <v>284</v>
      </c>
      <c r="F860" s="97">
        <v>0</v>
      </c>
      <c r="G860" s="97">
        <v>0</v>
      </c>
      <c r="H860" s="97">
        <v>0</v>
      </c>
      <c r="I860" s="97">
        <v>0</v>
      </c>
    </row>
    <row r="861" spans="1:9" s="126" customFormat="1" ht="28.3" x14ac:dyDescent="0.35">
      <c r="A861" s="300" t="s">
        <v>326</v>
      </c>
      <c r="B861" s="146" t="s">
        <v>32</v>
      </c>
      <c r="C861" s="122">
        <f t="shared" si="239"/>
        <v>300</v>
      </c>
      <c r="D861" s="122">
        <f>D863</f>
        <v>0</v>
      </c>
      <c r="E861" s="122">
        <f t="shared" ref="E861:I862" si="243">E863</f>
        <v>300</v>
      </c>
      <c r="F861" s="122">
        <f t="shared" si="243"/>
        <v>0</v>
      </c>
      <c r="G861" s="122">
        <f t="shared" si="243"/>
        <v>0</v>
      </c>
      <c r="H861" s="122">
        <f t="shared" si="243"/>
        <v>0</v>
      </c>
      <c r="I861" s="122">
        <f t="shared" si="243"/>
        <v>0</v>
      </c>
    </row>
    <row r="862" spans="1:9" s="126" customFormat="1" x14ac:dyDescent="0.3">
      <c r="A862" s="63"/>
      <c r="B862" s="142" t="s">
        <v>33</v>
      </c>
      <c r="C862" s="122">
        <f t="shared" si="239"/>
        <v>300</v>
      </c>
      <c r="D862" s="122">
        <f>D864</f>
        <v>0</v>
      </c>
      <c r="E862" s="122">
        <f t="shared" si="243"/>
        <v>300</v>
      </c>
      <c r="F862" s="122">
        <f t="shared" si="243"/>
        <v>0</v>
      </c>
      <c r="G862" s="122">
        <f t="shared" si="243"/>
        <v>0</v>
      </c>
      <c r="H862" s="122">
        <f t="shared" si="243"/>
        <v>0</v>
      </c>
      <c r="I862" s="122">
        <f t="shared" si="243"/>
        <v>0</v>
      </c>
    </row>
    <row r="863" spans="1:9" s="131" customFormat="1" ht="15.45" x14ac:dyDescent="0.4">
      <c r="A863" s="299" t="s">
        <v>325</v>
      </c>
      <c r="B863" s="150" t="s">
        <v>32</v>
      </c>
      <c r="C863" s="97">
        <f t="shared" si="239"/>
        <v>300</v>
      </c>
      <c r="D863" s="97">
        <v>0</v>
      </c>
      <c r="E863" s="97">
        <f>250+50</f>
        <v>300</v>
      </c>
      <c r="F863" s="97">
        <v>0</v>
      </c>
      <c r="G863" s="97">
        <v>0</v>
      </c>
      <c r="H863" s="97">
        <v>0</v>
      </c>
      <c r="I863" s="97">
        <v>0</v>
      </c>
    </row>
    <row r="864" spans="1:9" s="131" customFormat="1" x14ac:dyDescent="0.3">
      <c r="A864" s="60"/>
      <c r="B864" s="99" t="s">
        <v>33</v>
      </c>
      <c r="C864" s="97">
        <f t="shared" si="239"/>
        <v>300</v>
      </c>
      <c r="D864" s="97">
        <v>0</v>
      </c>
      <c r="E864" s="97">
        <f>250+50</f>
        <v>300</v>
      </c>
      <c r="F864" s="97">
        <v>0</v>
      </c>
      <c r="G864" s="97">
        <v>0</v>
      </c>
      <c r="H864" s="97">
        <v>0</v>
      </c>
      <c r="I864" s="97">
        <v>0</v>
      </c>
    </row>
    <row r="865" spans="1:10" x14ac:dyDescent="0.3">
      <c r="A865" s="1062" t="s">
        <v>86</v>
      </c>
      <c r="B865" s="1064"/>
      <c r="C865" s="1064"/>
      <c r="D865" s="1064"/>
      <c r="E865" s="1064"/>
      <c r="F865" s="1064"/>
      <c r="G865" s="1064"/>
      <c r="H865" s="1064"/>
      <c r="I865" s="1065"/>
    </row>
    <row r="866" spans="1:10" x14ac:dyDescent="0.3">
      <c r="A866" s="72" t="s">
        <v>57</v>
      </c>
      <c r="B866" s="47" t="s">
        <v>32</v>
      </c>
      <c r="C866" s="48">
        <f t="shared" ref="C866:C981" si="244">D866+E866+F866+G866+H866+I866</f>
        <v>71844.47</v>
      </c>
      <c r="D866" s="48">
        <f t="shared" ref="D866:I867" si="245">D868</f>
        <v>27785.390000000003</v>
      </c>
      <c r="E866" s="41">
        <f t="shared" si="245"/>
        <v>42210.5</v>
      </c>
      <c r="F866" s="48">
        <f t="shared" si="245"/>
        <v>0</v>
      </c>
      <c r="G866" s="48">
        <f t="shared" si="245"/>
        <v>0</v>
      </c>
      <c r="H866" s="48">
        <f t="shared" si="245"/>
        <v>0</v>
      </c>
      <c r="I866" s="48">
        <f t="shared" si="245"/>
        <v>1848.58</v>
      </c>
    </row>
    <row r="867" spans="1:10" x14ac:dyDescent="0.3">
      <c r="A867" s="60" t="s">
        <v>87</v>
      </c>
      <c r="B867" s="53" t="s">
        <v>33</v>
      </c>
      <c r="C867" s="48">
        <f t="shared" si="244"/>
        <v>71844.47</v>
      </c>
      <c r="D867" s="48">
        <f t="shared" si="245"/>
        <v>27785.390000000003</v>
      </c>
      <c r="E867" s="41">
        <f t="shared" si="245"/>
        <v>42210.5</v>
      </c>
      <c r="F867" s="48">
        <f t="shared" si="245"/>
        <v>0</v>
      </c>
      <c r="G867" s="48">
        <f t="shared" si="245"/>
        <v>0</v>
      </c>
      <c r="H867" s="48">
        <f t="shared" si="245"/>
        <v>0</v>
      </c>
      <c r="I867" s="48">
        <f t="shared" si="245"/>
        <v>1848.58</v>
      </c>
    </row>
    <row r="868" spans="1:10" x14ac:dyDescent="0.3">
      <c r="A868" s="34" t="s">
        <v>50</v>
      </c>
      <c r="B868" s="47" t="s">
        <v>32</v>
      </c>
      <c r="C868" s="48">
        <f t="shared" si="244"/>
        <v>71844.47</v>
      </c>
      <c r="D868" s="48">
        <f t="shared" ref="D868:I869" si="246">D870+D880+D892</f>
        <v>27785.390000000003</v>
      </c>
      <c r="E868" s="48">
        <f t="shared" si="246"/>
        <v>42210.5</v>
      </c>
      <c r="F868" s="48">
        <f t="shared" si="246"/>
        <v>0</v>
      </c>
      <c r="G868" s="48">
        <f t="shared" si="246"/>
        <v>0</v>
      </c>
      <c r="H868" s="48">
        <f t="shared" si="246"/>
        <v>0</v>
      </c>
      <c r="I868" s="48">
        <f t="shared" si="246"/>
        <v>1848.58</v>
      </c>
    </row>
    <row r="869" spans="1:10" x14ac:dyDescent="0.3">
      <c r="A869" s="63" t="s">
        <v>51</v>
      </c>
      <c r="B869" s="53" t="s">
        <v>33</v>
      </c>
      <c r="C869" s="48">
        <f t="shared" si="244"/>
        <v>71844.47</v>
      </c>
      <c r="D869" s="48">
        <f t="shared" si="246"/>
        <v>27785.390000000003</v>
      </c>
      <c r="E869" s="48">
        <f t="shared" si="246"/>
        <v>42210.5</v>
      </c>
      <c r="F869" s="48">
        <f t="shared" si="246"/>
        <v>0</v>
      </c>
      <c r="G869" s="48">
        <f t="shared" si="246"/>
        <v>0</v>
      </c>
      <c r="H869" s="48">
        <f t="shared" si="246"/>
        <v>0</v>
      </c>
      <c r="I869" s="48">
        <f t="shared" si="246"/>
        <v>1848.58</v>
      </c>
    </row>
    <row r="870" spans="1:10" s="42" customFormat="1" ht="25.75" x14ac:dyDescent="0.35">
      <c r="A870" s="62" t="s">
        <v>52</v>
      </c>
      <c r="B870" s="151" t="s">
        <v>32</v>
      </c>
      <c r="C870" s="41">
        <f t="shared" si="244"/>
        <v>28092.950000000004</v>
      </c>
      <c r="D870" s="41">
        <f>D872+D876</f>
        <v>26244.370000000003</v>
      </c>
      <c r="E870" s="41">
        <f t="shared" ref="E870:I871" si="247">E872+E876</f>
        <v>0</v>
      </c>
      <c r="F870" s="41">
        <f t="shared" si="247"/>
        <v>0</v>
      </c>
      <c r="G870" s="41">
        <f t="shared" si="247"/>
        <v>0</v>
      </c>
      <c r="H870" s="41">
        <f t="shared" si="247"/>
        <v>0</v>
      </c>
      <c r="I870" s="41">
        <f t="shared" si="247"/>
        <v>1848.58</v>
      </c>
    </row>
    <row r="871" spans="1:10" s="42" customFormat="1" ht="12.9" x14ac:dyDescent="0.35">
      <c r="A871" s="43"/>
      <c r="B871" s="44" t="s">
        <v>33</v>
      </c>
      <c r="C871" s="41">
        <f t="shared" si="244"/>
        <v>28092.950000000004</v>
      </c>
      <c r="D871" s="41">
        <f>D873+D877</f>
        <v>26244.370000000003</v>
      </c>
      <c r="E871" s="41">
        <f t="shared" si="247"/>
        <v>0</v>
      </c>
      <c r="F871" s="41">
        <f t="shared" si="247"/>
        <v>0</v>
      </c>
      <c r="G871" s="41">
        <f t="shared" si="247"/>
        <v>0</v>
      </c>
      <c r="H871" s="41">
        <f t="shared" si="247"/>
        <v>0</v>
      </c>
      <c r="I871" s="41">
        <f t="shared" si="247"/>
        <v>1848.58</v>
      </c>
    </row>
    <row r="872" spans="1:10" s="145" customFormat="1" x14ac:dyDescent="0.3">
      <c r="A872" s="301" t="s">
        <v>327</v>
      </c>
      <c r="B872" s="146" t="s">
        <v>32</v>
      </c>
      <c r="C872" s="49">
        <f t="shared" si="244"/>
        <v>17054</v>
      </c>
      <c r="D872" s="143">
        <f>D874</f>
        <v>15205.42</v>
      </c>
      <c r="E872" s="143">
        <f t="shared" ref="E872:I873" si="248">E874</f>
        <v>0</v>
      </c>
      <c r="F872" s="143">
        <f t="shared" si="248"/>
        <v>0</v>
      </c>
      <c r="G872" s="143">
        <f t="shared" si="248"/>
        <v>0</v>
      </c>
      <c r="H872" s="143">
        <f t="shared" si="248"/>
        <v>0</v>
      </c>
      <c r="I872" s="143">
        <f t="shared" si="248"/>
        <v>1848.58</v>
      </c>
    </row>
    <row r="873" spans="1:10" s="145" customFormat="1" x14ac:dyDescent="0.3">
      <c r="A873" s="302"/>
      <c r="B873" s="142" t="s">
        <v>33</v>
      </c>
      <c r="C873" s="49">
        <f t="shared" si="244"/>
        <v>17054</v>
      </c>
      <c r="D873" s="143">
        <f>D875</f>
        <v>15205.42</v>
      </c>
      <c r="E873" s="143">
        <f t="shared" si="248"/>
        <v>0</v>
      </c>
      <c r="F873" s="143">
        <f t="shared" si="248"/>
        <v>0</v>
      </c>
      <c r="G873" s="143">
        <f t="shared" si="248"/>
        <v>0</v>
      </c>
      <c r="H873" s="143">
        <f t="shared" si="248"/>
        <v>0</v>
      </c>
      <c r="I873" s="143">
        <f t="shared" si="248"/>
        <v>1848.58</v>
      </c>
    </row>
    <row r="874" spans="1:10" s="168" customFormat="1" ht="26.25" customHeight="1" x14ac:dyDescent="0.3">
      <c r="A874" s="91" t="s">
        <v>328</v>
      </c>
      <c r="B874" s="92" t="s">
        <v>32</v>
      </c>
      <c r="C874" s="49">
        <f t="shared" si="244"/>
        <v>17054</v>
      </c>
      <c r="D874" s="49">
        <f>12719+2273+213.42</f>
        <v>15205.42</v>
      </c>
      <c r="E874" s="97">
        <v>0</v>
      </c>
      <c r="F874" s="49">
        <v>0</v>
      </c>
      <c r="G874" s="49">
        <v>0</v>
      </c>
      <c r="H874" s="49">
        <v>0</v>
      </c>
      <c r="I874" s="49">
        <f>17054-14992-217+3.58</f>
        <v>1848.58</v>
      </c>
      <c r="J874" s="93"/>
    </row>
    <row r="875" spans="1:10" s="168" customFormat="1" x14ac:dyDescent="0.3">
      <c r="A875" s="82"/>
      <c r="B875" s="95" t="s">
        <v>33</v>
      </c>
      <c r="C875" s="49">
        <f t="shared" si="244"/>
        <v>17054</v>
      </c>
      <c r="D875" s="49">
        <f>12719+2273+213.42</f>
        <v>15205.42</v>
      </c>
      <c r="E875" s="97">
        <v>0</v>
      </c>
      <c r="F875" s="49">
        <v>0</v>
      </c>
      <c r="G875" s="49">
        <v>0</v>
      </c>
      <c r="H875" s="49">
        <v>0</v>
      </c>
      <c r="I875" s="49">
        <f>17054-14992-217+3.58</f>
        <v>1848.58</v>
      </c>
      <c r="J875" s="93"/>
    </row>
    <row r="876" spans="1:10" s="145" customFormat="1" x14ac:dyDescent="0.3">
      <c r="A876" s="303" t="s">
        <v>329</v>
      </c>
      <c r="B876" s="150" t="s">
        <v>32</v>
      </c>
      <c r="C876" s="49">
        <f t="shared" si="244"/>
        <v>11038.95</v>
      </c>
      <c r="D876" s="97">
        <f>D878</f>
        <v>11038.95</v>
      </c>
      <c r="E876" s="97">
        <f t="shared" ref="E876:I877" si="249">E878</f>
        <v>0</v>
      </c>
      <c r="F876" s="97">
        <f t="shared" si="249"/>
        <v>0</v>
      </c>
      <c r="G876" s="97">
        <f t="shared" si="249"/>
        <v>0</v>
      </c>
      <c r="H876" s="97">
        <f t="shared" si="249"/>
        <v>0</v>
      </c>
      <c r="I876" s="97">
        <f t="shared" si="249"/>
        <v>0</v>
      </c>
    </row>
    <row r="877" spans="1:10" s="145" customFormat="1" x14ac:dyDescent="0.3">
      <c r="A877" s="130"/>
      <c r="B877" s="99" t="s">
        <v>33</v>
      </c>
      <c r="C877" s="49">
        <f t="shared" si="244"/>
        <v>11038.95</v>
      </c>
      <c r="D877" s="97">
        <f>D879</f>
        <v>11038.95</v>
      </c>
      <c r="E877" s="97">
        <f t="shared" si="249"/>
        <v>0</v>
      </c>
      <c r="F877" s="97">
        <f t="shared" si="249"/>
        <v>0</v>
      </c>
      <c r="G877" s="97">
        <f t="shared" si="249"/>
        <v>0</v>
      </c>
      <c r="H877" s="97">
        <f t="shared" si="249"/>
        <v>0</v>
      </c>
      <c r="I877" s="97">
        <f t="shared" si="249"/>
        <v>0</v>
      </c>
    </row>
    <row r="878" spans="1:10" s="168" customFormat="1" ht="39" customHeight="1" x14ac:dyDescent="0.3">
      <c r="A878" s="91" t="s">
        <v>330</v>
      </c>
      <c r="B878" s="92" t="s">
        <v>32</v>
      </c>
      <c r="C878" s="49">
        <f t="shared" si="244"/>
        <v>11038.95</v>
      </c>
      <c r="D878" s="49">
        <f>5117.74+5921.21</f>
        <v>11038.95</v>
      </c>
      <c r="E878" s="97">
        <v>0</v>
      </c>
      <c r="F878" s="49">
        <v>0</v>
      </c>
      <c r="G878" s="49">
        <v>0</v>
      </c>
      <c r="H878" s="49">
        <v>0</v>
      </c>
      <c r="I878" s="49">
        <v>0</v>
      </c>
      <c r="J878" s="93"/>
    </row>
    <row r="879" spans="1:10" s="168" customFormat="1" x14ac:dyDescent="0.3">
      <c r="A879" s="82"/>
      <c r="B879" s="95" t="s">
        <v>33</v>
      </c>
      <c r="C879" s="49">
        <f t="shared" si="244"/>
        <v>11038.95</v>
      </c>
      <c r="D879" s="49">
        <f>5117.74+5921.21</f>
        <v>11038.95</v>
      </c>
      <c r="E879" s="97">
        <v>0</v>
      </c>
      <c r="F879" s="49">
        <v>0</v>
      </c>
      <c r="G879" s="49">
        <v>0</v>
      </c>
      <c r="H879" s="49">
        <v>0</v>
      </c>
      <c r="I879" s="49">
        <v>0</v>
      </c>
      <c r="J879" s="93"/>
    </row>
    <row r="880" spans="1:10" ht="25.75" x14ac:dyDescent="0.35">
      <c r="A880" s="39" t="s">
        <v>39</v>
      </c>
      <c r="B880" s="40" t="s">
        <v>32</v>
      </c>
      <c r="C880" s="48">
        <f t="shared" si="244"/>
        <v>19691</v>
      </c>
      <c r="D880" s="48">
        <f t="shared" ref="D880:I881" si="250">D882+D888</f>
        <v>0</v>
      </c>
      <c r="E880" s="48">
        <f t="shared" si="250"/>
        <v>19691</v>
      </c>
      <c r="F880" s="48">
        <f t="shared" si="250"/>
        <v>0</v>
      </c>
      <c r="G880" s="48">
        <f t="shared" si="250"/>
        <v>0</v>
      </c>
      <c r="H880" s="48">
        <f t="shared" si="250"/>
        <v>0</v>
      </c>
      <c r="I880" s="48">
        <f t="shared" si="250"/>
        <v>0</v>
      </c>
    </row>
    <row r="881" spans="1:17" ht="12.9" x14ac:dyDescent="0.35">
      <c r="A881" s="43"/>
      <c r="B881" s="44" t="s">
        <v>33</v>
      </c>
      <c r="C881" s="48">
        <f t="shared" si="244"/>
        <v>19691</v>
      </c>
      <c r="D881" s="48">
        <f t="shared" si="250"/>
        <v>0</v>
      </c>
      <c r="E881" s="48">
        <f t="shared" si="250"/>
        <v>19691</v>
      </c>
      <c r="F881" s="48">
        <f t="shared" si="250"/>
        <v>0</v>
      </c>
      <c r="G881" s="48">
        <f t="shared" si="250"/>
        <v>0</v>
      </c>
      <c r="H881" s="48">
        <f t="shared" si="250"/>
        <v>0</v>
      </c>
      <c r="I881" s="48">
        <f t="shared" si="250"/>
        <v>0</v>
      </c>
    </row>
    <row r="882" spans="1:17" s="105" customFormat="1" ht="15" customHeight="1" x14ac:dyDescent="0.3">
      <c r="A882" s="304" t="s">
        <v>327</v>
      </c>
      <c r="B882" s="110" t="s">
        <v>32</v>
      </c>
      <c r="C882" s="108">
        <f t="shared" si="244"/>
        <v>17918</v>
      </c>
      <c r="D882" s="108">
        <f>D884+D886</f>
        <v>0</v>
      </c>
      <c r="E882" s="108">
        <f t="shared" ref="E882:I883" si="251">E884+E886</f>
        <v>17918</v>
      </c>
      <c r="F882" s="108">
        <f t="shared" si="251"/>
        <v>0</v>
      </c>
      <c r="G882" s="108">
        <f t="shared" si="251"/>
        <v>0</v>
      </c>
      <c r="H882" s="108">
        <f t="shared" si="251"/>
        <v>0</v>
      </c>
      <c r="I882" s="108">
        <f t="shared" si="251"/>
        <v>0</v>
      </c>
      <c r="J882" s="1005"/>
      <c r="K882" s="1006"/>
      <c r="L882" s="1006"/>
      <c r="M882" s="1006"/>
      <c r="N882" s="1006"/>
      <c r="O882" s="1006"/>
      <c r="P882" s="1006"/>
      <c r="Q882" s="1006"/>
    </row>
    <row r="883" spans="1:17" s="147" customFormat="1" ht="12.9" x14ac:dyDescent="0.35">
      <c r="A883" s="111"/>
      <c r="B883" s="44" t="s">
        <v>33</v>
      </c>
      <c r="C883" s="143">
        <f t="shared" si="244"/>
        <v>17918</v>
      </c>
      <c r="D883" s="108">
        <f>D885+D887</f>
        <v>0</v>
      </c>
      <c r="E883" s="108">
        <f t="shared" si="251"/>
        <v>17918</v>
      </c>
      <c r="F883" s="108">
        <f t="shared" si="251"/>
        <v>0</v>
      </c>
      <c r="G883" s="108">
        <f t="shared" si="251"/>
        <v>0</v>
      </c>
      <c r="H883" s="108">
        <f t="shared" si="251"/>
        <v>0</v>
      </c>
      <c r="I883" s="108">
        <f t="shared" si="251"/>
        <v>0</v>
      </c>
      <c r="J883" s="1005"/>
      <c r="K883" s="1006"/>
      <c r="L883" s="1006"/>
      <c r="M883" s="1006"/>
      <c r="N883" s="1006"/>
      <c r="O883" s="1006"/>
      <c r="P883" s="1006"/>
      <c r="Q883" s="1006"/>
    </row>
    <row r="884" spans="1:17" s="105" customFormat="1" ht="27" customHeight="1" x14ac:dyDescent="0.3">
      <c r="A884" s="305" t="s">
        <v>331</v>
      </c>
      <c r="B884" s="110" t="s">
        <v>32</v>
      </c>
      <c r="C884" s="108">
        <f t="shared" si="244"/>
        <v>14064</v>
      </c>
      <c r="D884" s="108">
        <v>0</v>
      </c>
      <c r="E884" s="108">
        <v>14064</v>
      </c>
      <c r="F884" s="108">
        <v>0</v>
      </c>
      <c r="G884" s="108">
        <v>0</v>
      </c>
      <c r="H884" s="108">
        <v>0</v>
      </c>
      <c r="I884" s="108">
        <v>0</v>
      </c>
      <c r="J884" s="1005"/>
      <c r="K884" s="1006"/>
      <c r="L884" s="1006"/>
      <c r="M884" s="1006"/>
      <c r="N884" s="1006"/>
      <c r="O884" s="1006"/>
      <c r="P884" s="1006"/>
      <c r="Q884" s="1006"/>
    </row>
    <row r="885" spans="1:17" s="147" customFormat="1" ht="12.9" x14ac:dyDescent="0.35">
      <c r="A885" s="111"/>
      <c r="B885" s="44" t="s">
        <v>33</v>
      </c>
      <c r="C885" s="143">
        <f t="shared" si="244"/>
        <v>14064</v>
      </c>
      <c r="D885" s="108">
        <v>0</v>
      </c>
      <c r="E885" s="108">
        <v>14064</v>
      </c>
      <c r="F885" s="143">
        <v>0</v>
      </c>
      <c r="G885" s="143">
        <v>0</v>
      </c>
      <c r="H885" s="143">
        <v>0</v>
      </c>
      <c r="I885" s="108">
        <v>0</v>
      </c>
      <c r="J885" s="1005"/>
      <c r="K885" s="1006"/>
      <c r="L885" s="1006"/>
      <c r="M885" s="1006"/>
      <c r="N885" s="1006"/>
      <c r="O885" s="1006"/>
      <c r="P885" s="1006"/>
      <c r="Q885" s="1006"/>
    </row>
    <row r="886" spans="1:17" s="105" customFormat="1" ht="16.5" customHeight="1" x14ac:dyDescent="0.3">
      <c r="A886" s="306" t="s">
        <v>332</v>
      </c>
      <c r="B886" s="110" t="s">
        <v>32</v>
      </c>
      <c r="C886" s="108">
        <f t="shared" si="244"/>
        <v>3854</v>
      </c>
      <c r="D886" s="108">
        <v>0</v>
      </c>
      <c r="E886" s="108">
        <v>3854</v>
      </c>
      <c r="F886" s="108">
        <v>0</v>
      </c>
      <c r="G886" s="108">
        <v>0</v>
      </c>
      <c r="H886" s="108">
        <v>0</v>
      </c>
      <c r="I886" s="108">
        <v>0</v>
      </c>
      <c r="J886" s="1005"/>
      <c r="K886" s="1006"/>
      <c r="L886" s="1006"/>
      <c r="M886" s="1006"/>
      <c r="N886" s="1006"/>
      <c r="O886" s="1006"/>
      <c r="P886" s="1006"/>
      <c r="Q886" s="1006"/>
    </row>
    <row r="887" spans="1:17" s="147" customFormat="1" ht="12.9" x14ac:dyDescent="0.35">
      <c r="A887" s="111"/>
      <c r="B887" s="44" t="s">
        <v>33</v>
      </c>
      <c r="C887" s="143">
        <f t="shared" si="244"/>
        <v>3854</v>
      </c>
      <c r="D887" s="108">
        <v>0</v>
      </c>
      <c r="E887" s="108">
        <v>3854</v>
      </c>
      <c r="F887" s="143">
        <v>0</v>
      </c>
      <c r="G887" s="143">
        <v>0</v>
      </c>
      <c r="H887" s="143">
        <v>0</v>
      </c>
      <c r="I887" s="108">
        <v>0</v>
      </c>
      <c r="J887" s="1005"/>
      <c r="K887" s="1006"/>
      <c r="L887" s="1006"/>
      <c r="M887" s="1006"/>
      <c r="N887" s="1006"/>
      <c r="O887" s="1006"/>
      <c r="P887" s="1006"/>
      <c r="Q887" s="1006"/>
    </row>
    <row r="888" spans="1:17" s="105" customFormat="1" ht="17.25" customHeight="1" x14ac:dyDescent="0.3">
      <c r="A888" s="304" t="s">
        <v>333</v>
      </c>
      <c r="B888" s="110" t="s">
        <v>32</v>
      </c>
      <c r="C888" s="108">
        <f t="shared" si="244"/>
        <v>1773</v>
      </c>
      <c r="D888" s="108">
        <f>D890</f>
        <v>0</v>
      </c>
      <c r="E888" s="108">
        <f t="shared" ref="E888:I889" si="252">E890</f>
        <v>1773</v>
      </c>
      <c r="F888" s="108">
        <f t="shared" si="252"/>
        <v>0</v>
      </c>
      <c r="G888" s="108">
        <f t="shared" si="252"/>
        <v>0</v>
      </c>
      <c r="H888" s="108">
        <f t="shared" si="252"/>
        <v>0</v>
      </c>
      <c r="I888" s="108">
        <f t="shared" si="252"/>
        <v>0</v>
      </c>
      <c r="J888" s="1005"/>
      <c r="K888" s="1006"/>
      <c r="L888" s="1006"/>
      <c r="M888" s="1006"/>
      <c r="N888" s="1006"/>
      <c r="O888" s="1006"/>
      <c r="P888" s="1006"/>
      <c r="Q888" s="1006"/>
    </row>
    <row r="889" spans="1:17" s="147" customFormat="1" ht="12.9" x14ac:dyDescent="0.35">
      <c r="A889" s="111"/>
      <c r="B889" s="44" t="s">
        <v>33</v>
      </c>
      <c r="C889" s="143">
        <f t="shared" si="244"/>
        <v>1773</v>
      </c>
      <c r="D889" s="108">
        <f>D891</f>
        <v>0</v>
      </c>
      <c r="E889" s="108">
        <f t="shared" si="252"/>
        <v>1773</v>
      </c>
      <c r="F889" s="108">
        <f t="shared" si="252"/>
        <v>0</v>
      </c>
      <c r="G889" s="108">
        <f t="shared" si="252"/>
        <v>0</v>
      </c>
      <c r="H889" s="108">
        <f t="shared" si="252"/>
        <v>0</v>
      </c>
      <c r="I889" s="108">
        <f t="shared" si="252"/>
        <v>0</v>
      </c>
      <c r="J889" s="1005"/>
      <c r="K889" s="1006"/>
      <c r="L889" s="1006"/>
      <c r="M889" s="1006"/>
      <c r="N889" s="1006"/>
      <c r="O889" s="1006"/>
      <c r="P889" s="1006"/>
      <c r="Q889" s="1006"/>
    </row>
    <row r="890" spans="1:17" s="105" customFormat="1" ht="26.25" customHeight="1" x14ac:dyDescent="0.3">
      <c r="A890" s="307" t="s">
        <v>331</v>
      </c>
      <c r="B890" s="110" t="s">
        <v>32</v>
      </c>
      <c r="C890" s="108">
        <f t="shared" si="244"/>
        <v>1773</v>
      </c>
      <c r="D890" s="108">
        <v>0</v>
      </c>
      <c r="E890" s="108">
        <v>1773</v>
      </c>
      <c r="F890" s="108">
        <v>0</v>
      </c>
      <c r="G890" s="108">
        <v>0</v>
      </c>
      <c r="H890" s="108">
        <v>0</v>
      </c>
      <c r="I890" s="108">
        <v>0</v>
      </c>
      <c r="J890" s="1005"/>
      <c r="K890" s="1006"/>
      <c r="L890" s="1006"/>
      <c r="M890" s="1006"/>
      <c r="N890" s="1006"/>
      <c r="O890" s="1006"/>
      <c r="P890" s="1006"/>
      <c r="Q890" s="1006"/>
    </row>
    <row r="891" spans="1:17" s="147" customFormat="1" ht="12.9" x14ac:dyDescent="0.35">
      <c r="A891" s="111"/>
      <c r="B891" s="44" t="s">
        <v>33</v>
      </c>
      <c r="C891" s="143">
        <f t="shared" si="244"/>
        <v>1773</v>
      </c>
      <c r="D891" s="108">
        <v>0</v>
      </c>
      <c r="E891" s="143">
        <v>1773</v>
      </c>
      <c r="F891" s="143">
        <v>0</v>
      </c>
      <c r="G891" s="143">
        <v>0</v>
      </c>
      <c r="H891" s="143">
        <v>0</v>
      </c>
      <c r="I891" s="108">
        <v>0</v>
      </c>
      <c r="J891" s="1005"/>
      <c r="K891" s="1006"/>
      <c r="L891" s="1006"/>
      <c r="M891" s="1006"/>
      <c r="N891" s="1006"/>
      <c r="O891" s="1006"/>
      <c r="P891" s="1006"/>
      <c r="Q891" s="1006"/>
    </row>
    <row r="892" spans="1:17" ht="12.9" x14ac:dyDescent="0.35">
      <c r="A892" s="54" t="s">
        <v>40</v>
      </c>
      <c r="B892" s="35" t="s">
        <v>32</v>
      </c>
      <c r="C892" s="48">
        <f t="shared" si="244"/>
        <v>24060.52</v>
      </c>
      <c r="D892" s="48">
        <f t="shared" ref="D892:I893" si="253">D894</f>
        <v>1541.02</v>
      </c>
      <c r="E892" s="48">
        <f t="shared" si="253"/>
        <v>22519.5</v>
      </c>
      <c r="F892" s="48">
        <f t="shared" si="253"/>
        <v>0</v>
      </c>
      <c r="G892" s="48">
        <f t="shared" si="253"/>
        <v>0</v>
      </c>
      <c r="H892" s="48">
        <f t="shared" si="253"/>
        <v>0</v>
      </c>
      <c r="I892" s="48">
        <f t="shared" si="253"/>
        <v>0</v>
      </c>
    </row>
    <row r="893" spans="1:17" ht="12.9" x14ac:dyDescent="0.35">
      <c r="A893" s="43"/>
      <c r="B893" s="38" t="s">
        <v>33</v>
      </c>
      <c r="C893" s="48">
        <f t="shared" si="244"/>
        <v>24060.52</v>
      </c>
      <c r="D893" s="48">
        <f t="shared" si="253"/>
        <v>1541.02</v>
      </c>
      <c r="E893" s="48">
        <f t="shared" si="253"/>
        <v>22519.5</v>
      </c>
      <c r="F893" s="48">
        <f t="shared" si="253"/>
        <v>0</v>
      </c>
      <c r="G893" s="48">
        <f t="shared" si="253"/>
        <v>0</v>
      </c>
      <c r="H893" s="48">
        <f t="shared" si="253"/>
        <v>0</v>
      </c>
      <c r="I893" s="48">
        <f t="shared" si="253"/>
        <v>0</v>
      </c>
    </row>
    <row r="894" spans="1:17" x14ac:dyDescent="0.3">
      <c r="A894" s="58" t="s">
        <v>53</v>
      </c>
      <c r="B894" s="74" t="s">
        <v>32</v>
      </c>
      <c r="C894" s="48">
        <f t="shared" si="244"/>
        <v>24060.52</v>
      </c>
      <c r="D894" s="48">
        <f t="shared" ref="D894:I895" si="254">D896+D1156</f>
        <v>1541.02</v>
      </c>
      <c r="E894" s="48">
        <f t="shared" si="254"/>
        <v>22519.5</v>
      </c>
      <c r="F894" s="48">
        <f t="shared" si="254"/>
        <v>0</v>
      </c>
      <c r="G894" s="48">
        <f t="shared" si="254"/>
        <v>0</v>
      </c>
      <c r="H894" s="48">
        <f t="shared" si="254"/>
        <v>0</v>
      </c>
      <c r="I894" s="48">
        <f t="shared" si="254"/>
        <v>0</v>
      </c>
    </row>
    <row r="895" spans="1:17" x14ac:dyDescent="0.3">
      <c r="A895" s="257"/>
      <c r="B895" s="74" t="s">
        <v>33</v>
      </c>
      <c r="C895" s="48">
        <f t="shared" si="244"/>
        <v>24060.52</v>
      </c>
      <c r="D895" s="48">
        <f t="shared" si="254"/>
        <v>1541.02</v>
      </c>
      <c r="E895" s="48">
        <f t="shared" si="254"/>
        <v>22519.5</v>
      </c>
      <c r="F895" s="48">
        <f t="shared" si="254"/>
        <v>0</v>
      </c>
      <c r="G895" s="48">
        <f t="shared" si="254"/>
        <v>0</v>
      </c>
      <c r="H895" s="48">
        <f t="shared" si="254"/>
        <v>0</v>
      </c>
      <c r="I895" s="48">
        <f t="shared" si="254"/>
        <v>0</v>
      </c>
    </row>
    <row r="896" spans="1:17" s="14" customFormat="1" x14ac:dyDescent="0.3">
      <c r="A896" s="132" t="s">
        <v>43</v>
      </c>
      <c r="B896" s="12" t="s">
        <v>32</v>
      </c>
      <c r="C896" s="36">
        <f t="shared" si="244"/>
        <v>23928.3</v>
      </c>
      <c r="D896" s="36">
        <f t="shared" ref="D896:I897" si="255">D898+D938+D980+D1048+D1088+D1108+D1114+D1134+D1146</f>
        <v>1473.8</v>
      </c>
      <c r="E896" s="36">
        <f t="shared" si="255"/>
        <v>22454.5</v>
      </c>
      <c r="F896" s="36">
        <f t="shared" si="255"/>
        <v>0</v>
      </c>
      <c r="G896" s="36">
        <f t="shared" si="255"/>
        <v>0</v>
      </c>
      <c r="H896" s="36">
        <f t="shared" si="255"/>
        <v>0</v>
      </c>
      <c r="I896" s="36">
        <f t="shared" si="255"/>
        <v>0</v>
      </c>
    </row>
    <row r="897" spans="1:9" s="14" customFormat="1" x14ac:dyDescent="0.3">
      <c r="A897" s="19"/>
      <c r="B897" s="23" t="s">
        <v>33</v>
      </c>
      <c r="C897" s="36">
        <f t="shared" si="244"/>
        <v>23928.3</v>
      </c>
      <c r="D897" s="36">
        <f t="shared" si="255"/>
        <v>1473.8</v>
      </c>
      <c r="E897" s="36">
        <f t="shared" si="255"/>
        <v>22454.5</v>
      </c>
      <c r="F897" s="36">
        <f t="shared" si="255"/>
        <v>0</v>
      </c>
      <c r="G897" s="36">
        <f t="shared" si="255"/>
        <v>0</v>
      </c>
      <c r="H897" s="36">
        <f t="shared" si="255"/>
        <v>0</v>
      </c>
      <c r="I897" s="36">
        <f t="shared" si="255"/>
        <v>0</v>
      </c>
    </row>
    <row r="898" spans="1:9" s="126" customFormat="1" x14ac:dyDescent="0.3">
      <c r="A898" s="308" t="s">
        <v>93</v>
      </c>
      <c r="B898" s="124" t="s">
        <v>32</v>
      </c>
      <c r="C898" s="122">
        <f t="shared" si="244"/>
        <v>7058</v>
      </c>
      <c r="D898" s="122">
        <f>D900+D902+D904+D906+D908+D910+D912+D914+D916+D918+D920+D922+D924+D926+D928+D930+D932+D934+D936</f>
        <v>0</v>
      </c>
      <c r="E898" s="122">
        <f t="shared" ref="E898:I899" si="256">E900+E902+E904+E906+E908+E910+E912+E914+E916+E918+E920+E922+E924+E926+E928+E930+E932+E934+E936</f>
        <v>7058</v>
      </c>
      <c r="F898" s="122">
        <f t="shared" si="256"/>
        <v>0</v>
      </c>
      <c r="G898" s="122">
        <f t="shared" si="256"/>
        <v>0</v>
      </c>
      <c r="H898" s="122">
        <f t="shared" si="256"/>
        <v>0</v>
      </c>
      <c r="I898" s="122">
        <f t="shared" si="256"/>
        <v>0</v>
      </c>
    </row>
    <row r="899" spans="1:9" s="126" customFormat="1" x14ac:dyDescent="0.3">
      <c r="A899" s="127"/>
      <c r="B899" s="128" t="s">
        <v>33</v>
      </c>
      <c r="C899" s="122">
        <f t="shared" si="244"/>
        <v>7058</v>
      </c>
      <c r="D899" s="122">
        <f>D901+D903+D905+D907+D909+D911+D913+D915+D917+D919+D921+D923+D925+D927+D929+D931+D933+D935+D937</f>
        <v>0</v>
      </c>
      <c r="E899" s="122">
        <f t="shared" si="256"/>
        <v>7058</v>
      </c>
      <c r="F899" s="122">
        <f t="shared" si="256"/>
        <v>0</v>
      </c>
      <c r="G899" s="122">
        <f t="shared" si="256"/>
        <v>0</v>
      </c>
      <c r="H899" s="122">
        <f t="shared" si="256"/>
        <v>0</v>
      </c>
      <c r="I899" s="122">
        <f t="shared" si="256"/>
        <v>0</v>
      </c>
    </row>
    <row r="900" spans="1:9" s="168" customFormat="1" ht="14.25" customHeight="1" x14ac:dyDescent="0.3">
      <c r="A900" s="309" t="s">
        <v>334</v>
      </c>
      <c r="B900" s="47" t="s">
        <v>32</v>
      </c>
      <c r="C900" s="49">
        <f t="shared" si="244"/>
        <v>200</v>
      </c>
      <c r="D900" s="49">
        <v>0</v>
      </c>
      <c r="E900" s="49">
        <v>200</v>
      </c>
      <c r="F900" s="49">
        <v>0</v>
      </c>
      <c r="G900" s="49">
        <v>0</v>
      </c>
      <c r="H900" s="49">
        <v>0</v>
      </c>
      <c r="I900" s="49">
        <v>0</v>
      </c>
    </row>
    <row r="901" spans="1:9" s="1" customFormat="1" ht="14.15" x14ac:dyDescent="0.35">
      <c r="A901" s="310"/>
      <c r="B901" s="53" t="s">
        <v>33</v>
      </c>
      <c r="C901" s="49">
        <f t="shared" si="244"/>
        <v>200</v>
      </c>
      <c r="D901" s="49">
        <v>0</v>
      </c>
      <c r="E901" s="49">
        <v>200</v>
      </c>
      <c r="F901" s="49">
        <v>0</v>
      </c>
      <c r="G901" s="49">
        <v>0</v>
      </c>
      <c r="H901" s="49">
        <v>0</v>
      </c>
      <c r="I901" s="49">
        <v>0</v>
      </c>
    </row>
    <row r="902" spans="1:9" s="168" customFormat="1" ht="12.75" customHeight="1" x14ac:dyDescent="0.35">
      <c r="A902" s="311" t="s">
        <v>335</v>
      </c>
      <c r="B902" s="47" t="s">
        <v>32</v>
      </c>
      <c r="C902" s="49">
        <f t="shared" si="244"/>
        <v>156</v>
      </c>
      <c r="D902" s="49">
        <v>0</v>
      </c>
      <c r="E902" s="49">
        <v>156</v>
      </c>
      <c r="F902" s="49">
        <v>0</v>
      </c>
      <c r="G902" s="49">
        <v>0</v>
      </c>
      <c r="H902" s="49">
        <v>0</v>
      </c>
      <c r="I902" s="49">
        <v>0</v>
      </c>
    </row>
    <row r="903" spans="1:9" s="1" customFormat="1" ht="14.15" x14ac:dyDescent="0.35">
      <c r="A903" s="310"/>
      <c r="B903" s="53" t="s">
        <v>33</v>
      </c>
      <c r="C903" s="49">
        <f t="shared" si="244"/>
        <v>156</v>
      </c>
      <c r="D903" s="49">
        <v>0</v>
      </c>
      <c r="E903" s="49">
        <v>156</v>
      </c>
      <c r="F903" s="49">
        <v>0</v>
      </c>
      <c r="G903" s="49">
        <v>0</v>
      </c>
      <c r="H903" s="49">
        <v>0</v>
      </c>
      <c r="I903" s="49">
        <v>0</v>
      </c>
    </row>
    <row r="904" spans="1:9" s="168" customFormat="1" ht="12.75" customHeight="1" x14ac:dyDescent="0.35">
      <c r="A904" s="311" t="s">
        <v>336</v>
      </c>
      <c r="B904" s="47" t="s">
        <v>32</v>
      </c>
      <c r="C904" s="49">
        <f t="shared" si="244"/>
        <v>134</v>
      </c>
      <c r="D904" s="49">
        <v>0</v>
      </c>
      <c r="E904" s="49">
        <v>134</v>
      </c>
      <c r="F904" s="49">
        <v>0</v>
      </c>
      <c r="G904" s="49">
        <v>0</v>
      </c>
      <c r="H904" s="49">
        <v>0</v>
      </c>
      <c r="I904" s="49">
        <v>0</v>
      </c>
    </row>
    <row r="905" spans="1:9" s="1" customFormat="1" ht="14.15" x14ac:dyDescent="0.35">
      <c r="A905" s="310"/>
      <c r="B905" s="53" t="s">
        <v>33</v>
      </c>
      <c r="C905" s="49">
        <f t="shared" si="244"/>
        <v>134</v>
      </c>
      <c r="D905" s="49">
        <v>0</v>
      </c>
      <c r="E905" s="49">
        <v>134</v>
      </c>
      <c r="F905" s="49">
        <v>0</v>
      </c>
      <c r="G905" s="49">
        <v>0</v>
      </c>
      <c r="H905" s="49">
        <v>0</v>
      </c>
      <c r="I905" s="49">
        <v>0</v>
      </c>
    </row>
    <row r="906" spans="1:9" s="190" customFormat="1" ht="15" customHeight="1" x14ac:dyDescent="0.3">
      <c r="A906" s="309" t="s">
        <v>337</v>
      </c>
      <c r="B906" s="312" t="s">
        <v>32</v>
      </c>
      <c r="C906" s="313">
        <f t="shared" si="244"/>
        <v>256</v>
      </c>
      <c r="D906" s="313">
        <v>0</v>
      </c>
      <c r="E906" s="313">
        <v>256</v>
      </c>
      <c r="F906" s="313">
        <v>0</v>
      </c>
      <c r="G906" s="313">
        <v>0</v>
      </c>
      <c r="H906" s="313">
        <v>0</v>
      </c>
      <c r="I906" s="313">
        <v>0</v>
      </c>
    </row>
    <row r="907" spans="1:9" s="1" customFormat="1" ht="14.15" x14ac:dyDescent="0.35">
      <c r="A907" s="310"/>
      <c r="B907" s="53" t="s">
        <v>33</v>
      </c>
      <c r="C907" s="49">
        <f t="shared" si="244"/>
        <v>256</v>
      </c>
      <c r="D907" s="49">
        <v>0</v>
      </c>
      <c r="E907" s="49">
        <v>256</v>
      </c>
      <c r="F907" s="49">
        <v>0</v>
      </c>
      <c r="G907" s="49">
        <v>0</v>
      </c>
      <c r="H907" s="49">
        <v>0</v>
      </c>
      <c r="I907" s="49">
        <v>0</v>
      </c>
    </row>
    <row r="908" spans="1:9" s="168" customFormat="1" ht="12.75" customHeight="1" x14ac:dyDescent="0.35">
      <c r="A908" s="311" t="s">
        <v>338</v>
      </c>
      <c r="B908" s="47" t="s">
        <v>32</v>
      </c>
      <c r="C908" s="49">
        <f t="shared" si="244"/>
        <v>100</v>
      </c>
      <c r="D908" s="49">
        <v>0</v>
      </c>
      <c r="E908" s="49">
        <v>100</v>
      </c>
      <c r="F908" s="49">
        <v>0</v>
      </c>
      <c r="G908" s="49">
        <v>0</v>
      </c>
      <c r="H908" s="49">
        <v>0</v>
      </c>
      <c r="I908" s="49">
        <v>0</v>
      </c>
    </row>
    <row r="909" spans="1:9" s="1" customFormat="1" ht="14.15" x14ac:dyDescent="0.35">
      <c r="A909" s="310"/>
      <c r="B909" s="53" t="s">
        <v>33</v>
      </c>
      <c r="C909" s="49">
        <f t="shared" si="244"/>
        <v>100</v>
      </c>
      <c r="D909" s="49">
        <v>0</v>
      </c>
      <c r="E909" s="49">
        <v>100</v>
      </c>
      <c r="F909" s="49">
        <v>0</v>
      </c>
      <c r="G909" s="49">
        <v>0</v>
      </c>
      <c r="H909" s="49">
        <v>0</v>
      </c>
      <c r="I909" s="49">
        <v>0</v>
      </c>
    </row>
    <row r="910" spans="1:9" s="168" customFormat="1" ht="14.25" customHeight="1" x14ac:dyDescent="0.35">
      <c r="A910" s="311" t="s">
        <v>339</v>
      </c>
      <c r="B910" s="47" t="s">
        <v>32</v>
      </c>
      <c r="C910" s="49">
        <f t="shared" si="244"/>
        <v>54</v>
      </c>
      <c r="D910" s="49">
        <v>0</v>
      </c>
      <c r="E910" s="49">
        <v>54</v>
      </c>
      <c r="F910" s="49">
        <v>0</v>
      </c>
      <c r="G910" s="49">
        <v>0</v>
      </c>
      <c r="H910" s="49">
        <v>0</v>
      </c>
      <c r="I910" s="49">
        <v>0</v>
      </c>
    </row>
    <row r="911" spans="1:9" s="1" customFormat="1" ht="14.15" x14ac:dyDescent="0.35">
      <c r="A911" s="310"/>
      <c r="B911" s="53" t="s">
        <v>33</v>
      </c>
      <c r="C911" s="49">
        <f t="shared" si="244"/>
        <v>54</v>
      </c>
      <c r="D911" s="49">
        <v>0</v>
      </c>
      <c r="E911" s="49">
        <v>54</v>
      </c>
      <c r="F911" s="49">
        <v>0</v>
      </c>
      <c r="G911" s="49">
        <v>0</v>
      </c>
      <c r="H911" s="49">
        <v>0</v>
      </c>
      <c r="I911" s="49">
        <v>0</v>
      </c>
    </row>
    <row r="912" spans="1:9" s="168" customFormat="1" ht="12.75" customHeight="1" x14ac:dyDescent="0.35">
      <c r="A912" s="311" t="s">
        <v>340</v>
      </c>
      <c r="B912" s="47" t="s">
        <v>32</v>
      </c>
      <c r="C912" s="49">
        <f t="shared" si="244"/>
        <v>700</v>
      </c>
      <c r="D912" s="49">
        <v>0</v>
      </c>
      <c r="E912" s="49">
        <v>700</v>
      </c>
      <c r="F912" s="49">
        <v>0</v>
      </c>
      <c r="G912" s="49">
        <v>0</v>
      </c>
      <c r="H912" s="49">
        <v>0</v>
      </c>
      <c r="I912" s="49">
        <v>0</v>
      </c>
    </row>
    <row r="913" spans="1:9" s="1" customFormat="1" ht="14.15" x14ac:dyDescent="0.35">
      <c r="A913" s="310"/>
      <c r="B913" s="53" t="s">
        <v>33</v>
      </c>
      <c r="C913" s="49">
        <f t="shared" si="244"/>
        <v>700</v>
      </c>
      <c r="D913" s="49">
        <v>0</v>
      </c>
      <c r="E913" s="49">
        <v>700</v>
      </c>
      <c r="F913" s="49">
        <v>0</v>
      </c>
      <c r="G913" s="49">
        <v>0</v>
      </c>
      <c r="H913" s="49">
        <v>0</v>
      </c>
      <c r="I913" s="49">
        <v>0</v>
      </c>
    </row>
    <row r="914" spans="1:9" s="168" customFormat="1" ht="14.25" customHeight="1" x14ac:dyDescent="0.3">
      <c r="A914" s="309" t="s">
        <v>341</v>
      </c>
      <c r="B914" s="47" t="s">
        <v>32</v>
      </c>
      <c r="C914" s="49">
        <f t="shared" si="244"/>
        <v>120</v>
      </c>
      <c r="D914" s="49">
        <v>0</v>
      </c>
      <c r="E914" s="49">
        <v>120</v>
      </c>
      <c r="F914" s="49">
        <v>0</v>
      </c>
      <c r="G914" s="49">
        <v>0</v>
      </c>
      <c r="H914" s="49">
        <v>0</v>
      </c>
      <c r="I914" s="49">
        <v>0</v>
      </c>
    </row>
    <row r="915" spans="1:9" s="1" customFormat="1" ht="14.15" x14ac:dyDescent="0.35">
      <c r="A915" s="310"/>
      <c r="B915" s="53" t="s">
        <v>33</v>
      </c>
      <c r="C915" s="49">
        <f t="shared" si="244"/>
        <v>120</v>
      </c>
      <c r="D915" s="49">
        <v>0</v>
      </c>
      <c r="E915" s="49">
        <v>120</v>
      </c>
      <c r="F915" s="49">
        <v>0</v>
      </c>
      <c r="G915" s="49">
        <v>0</v>
      </c>
      <c r="H915" s="49">
        <v>0</v>
      </c>
      <c r="I915" s="49">
        <v>0</v>
      </c>
    </row>
    <row r="916" spans="1:9" s="168" customFormat="1" ht="14.25" customHeight="1" x14ac:dyDescent="0.3">
      <c r="A916" s="309" t="s">
        <v>342</v>
      </c>
      <c r="B916" s="47" t="s">
        <v>32</v>
      </c>
      <c r="C916" s="49">
        <f t="shared" si="244"/>
        <v>40</v>
      </c>
      <c r="D916" s="49">
        <v>0</v>
      </c>
      <c r="E916" s="49">
        <v>40</v>
      </c>
      <c r="F916" s="49">
        <v>0</v>
      </c>
      <c r="G916" s="49">
        <v>0</v>
      </c>
      <c r="H916" s="49">
        <v>0</v>
      </c>
      <c r="I916" s="49">
        <v>0</v>
      </c>
    </row>
    <row r="917" spans="1:9" s="1" customFormat="1" ht="14.15" x14ac:dyDescent="0.35">
      <c r="A917" s="310"/>
      <c r="B917" s="53" t="s">
        <v>33</v>
      </c>
      <c r="C917" s="49">
        <f t="shared" si="244"/>
        <v>40</v>
      </c>
      <c r="D917" s="49">
        <v>0</v>
      </c>
      <c r="E917" s="49">
        <v>40</v>
      </c>
      <c r="F917" s="49">
        <v>0</v>
      </c>
      <c r="G917" s="49">
        <v>0</v>
      </c>
      <c r="H917" s="49">
        <v>0</v>
      </c>
      <c r="I917" s="49">
        <v>0</v>
      </c>
    </row>
    <row r="918" spans="1:9" s="168" customFormat="1" ht="14.25" customHeight="1" x14ac:dyDescent="0.35">
      <c r="A918" s="311" t="s">
        <v>343</v>
      </c>
      <c r="B918" s="47" t="s">
        <v>32</v>
      </c>
      <c r="C918" s="49">
        <f t="shared" si="244"/>
        <v>35</v>
      </c>
      <c r="D918" s="49">
        <v>0</v>
      </c>
      <c r="E918" s="49">
        <v>35</v>
      </c>
      <c r="F918" s="49">
        <v>0</v>
      </c>
      <c r="G918" s="49">
        <v>0</v>
      </c>
      <c r="H918" s="49">
        <v>0</v>
      </c>
      <c r="I918" s="49">
        <v>0</v>
      </c>
    </row>
    <row r="919" spans="1:9" s="1" customFormat="1" ht="14.15" x14ac:dyDescent="0.35">
      <c r="A919" s="310"/>
      <c r="B919" s="53" t="s">
        <v>33</v>
      </c>
      <c r="C919" s="49">
        <f t="shared" si="244"/>
        <v>35</v>
      </c>
      <c r="D919" s="49">
        <v>0</v>
      </c>
      <c r="E919" s="49">
        <v>35</v>
      </c>
      <c r="F919" s="49">
        <v>0</v>
      </c>
      <c r="G919" s="49">
        <v>0</v>
      </c>
      <c r="H919" s="49">
        <v>0</v>
      </c>
      <c r="I919" s="49">
        <v>0</v>
      </c>
    </row>
    <row r="920" spans="1:9" s="168" customFormat="1" ht="12.75" customHeight="1" x14ac:dyDescent="0.35">
      <c r="A920" s="311" t="s">
        <v>344</v>
      </c>
      <c r="B920" s="47" t="s">
        <v>32</v>
      </c>
      <c r="C920" s="49">
        <f t="shared" si="244"/>
        <v>69</v>
      </c>
      <c r="D920" s="49">
        <v>0</v>
      </c>
      <c r="E920" s="49">
        <v>69</v>
      </c>
      <c r="F920" s="49">
        <v>0</v>
      </c>
      <c r="G920" s="49">
        <v>0</v>
      </c>
      <c r="H920" s="49">
        <v>0</v>
      </c>
      <c r="I920" s="49">
        <v>0</v>
      </c>
    </row>
    <row r="921" spans="1:9" s="1" customFormat="1" ht="14.15" x14ac:dyDescent="0.35">
      <c r="A921" s="310"/>
      <c r="B921" s="53" t="s">
        <v>33</v>
      </c>
      <c r="C921" s="49">
        <f t="shared" si="244"/>
        <v>69</v>
      </c>
      <c r="D921" s="49">
        <v>0</v>
      </c>
      <c r="E921" s="49">
        <v>69</v>
      </c>
      <c r="F921" s="49">
        <v>0</v>
      </c>
      <c r="G921" s="49">
        <v>0</v>
      </c>
      <c r="H921" s="49">
        <v>0</v>
      </c>
      <c r="I921" s="49">
        <v>0</v>
      </c>
    </row>
    <row r="922" spans="1:9" s="168" customFormat="1" ht="14.25" customHeight="1" x14ac:dyDescent="0.3">
      <c r="A922" s="314" t="s">
        <v>345</v>
      </c>
      <c r="B922" s="47" t="s">
        <v>32</v>
      </c>
      <c r="C922" s="49">
        <f t="shared" si="244"/>
        <v>100</v>
      </c>
      <c r="D922" s="49">
        <v>0</v>
      </c>
      <c r="E922" s="49">
        <v>100</v>
      </c>
      <c r="F922" s="49">
        <v>0</v>
      </c>
      <c r="G922" s="49">
        <v>0</v>
      </c>
      <c r="H922" s="49">
        <v>0</v>
      </c>
      <c r="I922" s="49">
        <v>0</v>
      </c>
    </row>
    <row r="923" spans="1:9" s="1" customFormat="1" ht="14.15" x14ac:dyDescent="0.35">
      <c r="A923" s="310"/>
      <c r="B923" s="53" t="s">
        <v>33</v>
      </c>
      <c r="C923" s="49">
        <f t="shared" si="244"/>
        <v>100</v>
      </c>
      <c r="D923" s="49">
        <v>0</v>
      </c>
      <c r="E923" s="49">
        <v>100</v>
      </c>
      <c r="F923" s="49">
        <v>0</v>
      </c>
      <c r="G923" s="49">
        <v>0</v>
      </c>
      <c r="H923" s="49">
        <v>0</v>
      </c>
      <c r="I923" s="49">
        <v>0</v>
      </c>
    </row>
    <row r="924" spans="1:9" s="168" customFormat="1" ht="14.25" customHeight="1" x14ac:dyDescent="0.3">
      <c r="A924" s="315" t="s">
        <v>346</v>
      </c>
      <c r="B924" s="47" t="s">
        <v>32</v>
      </c>
      <c r="C924" s="49">
        <f t="shared" si="244"/>
        <v>5000</v>
      </c>
      <c r="D924" s="49">
        <v>0</v>
      </c>
      <c r="E924" s="49">
        <v>5000</v>
      </c>
      <c r="F924" s="49">
        <v>0</v>
      </c>
      <c r="G924" s="49">
        <v>0</v>
      </c>
      <c r="H924" s="49">
        <v>0</v>
      </c>
      <c r="I924" s="49">
        <v>0</v>
      </c>
    </row>
    <row r="925" spans="1:9" s="1" customFormat="1" ht="14.15" x14ac:dyDescent="0.35">
      <c r="A925" s="310"/>
      <c r="B925" s="53" t="s">
        <v>33</v>
      </c>
      <c r="C925" s="49">
        <f t="shared" si="244"/>
        <v>5000</v>
      </c>
      <c r="D925" s="49">
        <v>0</v>
      </c>
      <c r="E925" s="49">
        <v>5000</v>
      </c>
      <c r="F925" s="49">
        <v>0</v>
      </c>
      <c r="G925" s="49">
        <v>0</v>
      </c>
      <c r="H925" s="49">
        <v>0</v>
      </c>
      <c r="I925" s="49">
        <v>0</v>
      </c>
    </row>
    <row r="926" spans="1:9" s="168" customFormat="1" ht="14.25" customHeight="1" x14ac:dyDescent="0.3">
      <c r="A926" s="315" t="s">
        <v>347</v>
      </c>
      <c r="B926" s="47" t="s">
        <v>32</v>
      </c>
      <c r="C926" s="49">
        <f t="shared" si="244"/>
        <v>4</v>
      </c>
      <c r="D926" s="49">
        <v>0</v>
      </c>
      <c r="E926" s="49">
        <v>4</v>
      </c>
      <c r="F926" s="49">
        <v>0</v>
      </c>
      <c r="G926" s="49">
        <v>0</v>
      </c>
      <c r="H926" s="49">
        <v>0</v>
      </c>
      <c r="I926" s="49">
        <v>0</v>
      </c>
    </row>
    <row r="927" spans="1:9" s="1" customFormat="1" ht="12.9" x14ac:dyDescent="0.35">
      <c r="A927" s="316"/>
      <c r="B927" s="53" t="s">
        <v>33</v>
      </c>
      <c r="C927" s="49">
        <f t="shared" si="244"/>
        <v>4</v>
      </c>
      <c r="D927" s="49">
        <v>0</v>
      </c>
      <c r="E927" s="49">
        <v>4</v>
      </c>
      <c r="F927" s="49">
        <v>0</v>
      </c>
      <c r="G927" s="49">
        <v>0</v>
      </c>
      <c r="H927" s="49">
        <v>0</v>
      </c>
      <c r="I927" s="49">
        <v>0</v>
      </c>
    </row>
    <row r="928" spans="1:9" s="168" customFormat="1" ht="14.25" customHeight="1" x14ac:dyDescent="0.3">
      <c r="A928" s="315" t="s">
        <v>348</v>
      </c>
      <c r="B928" s="47" t="s">
        <v>32</v>
      </c>
      <c r="C928" s="49">
        <f t="shared" si="244"/>
        <v>34</v>
      </c>
      <c r="D928" s="49">
        <v>0</v>
      </c>
      <c r="E928" s="49">
        <v>34</v>
      </c>
      <c r="F928" s="49">
        <v>0</v>
      </c>
      <c r="G928" s="49">
        <v>0</v>
      </c>
      <c r="H928" s="49">
        <v>0</v>
      </c>
      <c r="I928" s="49">
        <v>0</v>
      </c>
    </row>
    <row r="929" spans="1:9" s="1" customFormat="1" ht="12.9" x14ac:dyDescent="0.35">
      <c r="A929" s="316"/>
      <c r="B929" s="53" t="s">
        <v>33</v>
      </c>
      <c r="C929" s="49">
        <f t="shared" si="244"/>
        <v>34</v>
      </c>
      <c r="D929" s="49">
        <v>0</v>
      </c>
      <c r="E929" s="49">
        <v>34</v>
      </c>
      <c r="F929" s="49">
        <v>0</v>
      </c>
      <c r="G929" s="49">
        <v>0</v>
      </c>
      <c r="H929" s="49">
        <v>0</v>
      </c>
      <c r="I929" s="49">
        <v>0</v>
      </c>
    </row>
    <row r="930" spans="1:9" s="168" customFormat="1" ht="14.25" customHeight="1" x14ac:dyDescent="0.3">
      <c r="A930" s="315" t="s">
        <v>349</v>
      </c>
      <c r="B930" s="47" t="s">
        <v>32</v>
      </c>
      <c r="C930" s="49">
        <f t="shared" si="244"/>
        <v>8</v>
      </c>
      <c r="D930" s="49">
        <v>0</v>
      </c>
      <c r="E930" s="49">
        <v>8</v>
      </c>
      <c r="F930" s="49">
        <v>0</v>
      </c>
      <c r="G930" s="49">
        <v>0</v>
      </c>
      <c r="H930" s="49">
        <v>0</v>
      </c>
      <c r="I930" s="49">
        <v>0</v>
      </c>
    </row>
    <row r="931" spans="1:9" s="1" customFormat="1" ht="14.15" x14ac:dyDescent="0.35">
      <c r="A931" s="310"/>
      <c r="B931" s="53" t="s">
        <v>33</v>
      </c>
      <c r="C931" s="49">
        <f t="shared" si="244"/>
        <v>8</v>
      </c>
      <c r="D931" s="49">
        <v>0</v>
      </c>
      <c r="E931" s="49">
        <v>8</v>
      </c>
      <c r="F931" s="49">
        <v>0</v>
      </c>
      <c r="G931" s="49">
        <v>0</v>
      </c>
      <c r="H931" s="49">
        <v>0</v>
      </c>
      <c r="I931" s="49">
        <v>0</v>
      </c>
    </row>
    <row r="932" spans="1:9" s="168" customFormat="1" ht="15.75" customHeight="1" x14ac:dyDescent="0.3">
      <c r="A932" s="315" t="s">
        <v>350</v>
      </c>
      <c r="B932" s="47" t="s">
        <v>32</v>
      </c>
      <c r="C932" s="49">
        <f t="shared" si="244"/>
        <v>10</v>
      </c>
      <c r="D932" s="49">
        <v>0</v>
      </c>
      <c r="E932" s="49">
        <v>10</v>
      </c>
      <c r="F932" s="49">
        <v>0</v>
      </c>
      <c r="G932" s="49">
        <v>0</v>
      </c>
      <c r="H932" s="49">
        <v>0</v>
      </c>
      <c r="I932" s="49">
        <v>0</v>
      </c>
    </row>
    <row r="933" spans="1:9" s="1" customFormat="1" ht="14.15" x14ac:dyDescent="0.35">
      <c r="A933" s="310"/>
      <c r="B933" s="53" t="s">
        <v>33</v>
      </c>
      <c r="C933" s="49">
        <f t="shared" si="244"/>
        <v>10</v>
      </c>
      <c r="D933" s="49">
        <v>0</v>
      </c>
      <c r="E933" s="49">
        <v>10</v>
      </c>
      <c r="F933" s="49">
        <v>0</v>
      </c>
      <c r="G933" s="49">
        <v>0</v>
      </c>
      <c r="H933" s="49">
        <v>0</v>
      </c>
      <c r="I933" s="49">
        <v>0</v>
      </c>
    </row>
    <row r="934" spans="1:9" s="168" customFormat="1" ht="14.25" customHeight="1" x14ac:dyDescent="0.3">
      <c r="A934" s="315" t="s">
        <v>351</v>
      </c>
      <c r="B934" s="47" t="s">
        <v>32</v>
      </c>
      <c r="C934" s="49">
        <f t="shared" si="244"/>
        <v>5</v>
      </c>
      <c r="D934" s="49">
        <v>0</v>
      </c>
      <c r="E934" s="49">
        <v>5</v>
      </c>
      <c r="F934" s="49">
        <v>0</v>
      </c>
      <c r="G934" s="49">
        <v>0</v>
      </c>
      <c r="H934" s="49">
        <v>0</v>
      </c>
      <c r="I934" s="49">
        <v>0</v>
      </c>
    </row>
    <row r="935" spans="1:9" s="1" customFormat="1" ht="14.15" x14ac:dyDescent="0.35">
      <c r="A935" s="310"/>
      <c r="B935" s="53" t="s">
        <v>33</v>
      </c>
      <c r="C935" s="49">
        <f t="shared" si="244"/>
        <v>5</v>
      </c>
      <c r="D935" s="49">
        <v>0</v>
      </c>
      <c r="E935" s="49">
        <v>5</v>
      </c>
      <c r="F935" s="49">
        <v>0</v>
      </c>
      <c r="G935" s="49">
        <v>0</v>
      </c>
      <c r="H935" s="49">
        <v>0</v>
      </c>
      <c r="I935" s="49">
        <v>0</v>
      </c>
    </row>
    <row r="936" spans="1:9" s="168" customFormat="1" ht="14.25" customHeight="1" x14ac:dyDescent="0.35">
      <c r="A936" s="317" t="s">
        <v>352</v>
      </c>
      <c r="B936" s="47" t="s">
        <v>32</v>
      </c>
      <c r="C936" s="49">
        <f t="shared" si="244"/>
        <v>33</v>
      </c>
      <c r="D936" s="49">
        <v>0</v>
      </c>
      <c r="E936" s="49">
        <v>33</v>
      </c>
      <c r="F936" s="49">
        <v>0</v>
      </c>
      <c r="G936" s="49">
        <v>0</v>
      </c>
      <c r="H936" s="49">
        <v>0</v>
      </c>
      <c r="I936" s="49">
        <v>0</v>
      </c>
    </row>
    <row r="937" spans="1:9" s="1" customFormat="1" ht="14.15" x14ac:dyDescent="0.35">
      <c r="A937" s="310"/>
      <c r="B937" s="53" t="s">
        <v>33</v>
      </c>
      <c r="C937" s="49">
        <f t="shared" si="244"/>
        <v>33</v>
      </c>
      <c r="D937" s="49">
        <v>0</v>
      </c>
      <c r="E937" s="49">
        <v>33</v>
      </c>
      <c r="F937" s="49">
        <v>0</v>
      </c>
      <c r="G937" s="49">
        <v>0</v>
      </c>
      <c r="H937" s="49">
        <v>0</v>
      </c>
      <c r="I937" s="49">
        <v>0</v>
      </c>
    </row>
    <row r="938" spans="1:9" s="126" customFormat="1" x14ac:dyDescent="0.3">
      <c r="A938" s="285" t="s">
        <v>353</v>
      </c>
      <c r="B938" s="318" t="s">
        <v>32</v>
      </c>
      <c r="C938" s="122">
        <f t="shared" si="244"/>
        <v>4614.3999999999996</v>
      </c>
      <c r="D938" s="122">
        <f>D940+D942+D944+D946+D948+D950+D952+D954+D956+D958+D960+D962+D964+D966+D968+D970+D972+D974+D976+D978</f>
        <v>71.400000000000006</v>
      </c>
      <c r="E938" s="122">
        <f t="shared" ref="E938:I939" si="257">E940+E942+E944+E946+E948+E950+E952+E954+E956+E958+E960+E962+E964+E966+E968+E970+E972+E974+E976+E978</f>
        <v>4543</v>
      </c>
      <c r="F938" s="122">
        <f t="shared" si="257"/>
        <v>0</v>
      </c>
      <c r="G938" s="122">
        <f t="shared" si="257"/>
        <v>0</v>
      </c>
      <c r="H938" s="122">
        <f t="shared" si="257"/>
        <v>0</v>
      </c>
      <c r="I938" s="122">
        <f t="shared" si="257"/>
        <v>0</v>
      </c>
    </row>
    <row r="939" spans="1:9" s="126" customFormat="1" x14ac:dyDescent="0.3">
      <c r="A939" s="127"/>
      <c r="B939" s="128" t="s">
        <v>33</v>
      </c>
      <c r="C939" s="122">
        <f t="shared" si="244"/>
        <v>4614.3999999999996</v>
      </c>
      <c r="D939" s="122">
        <f>D941+D943+D945+D947+D949+D951+D953+D955+D957+D959+D961+D963+D965+D967+D969+D971+D973+D975+D977+D979</f>
        <v>71.400000000000006</v>
      </c>
      <c r="E939" s="122">
        <f t="shared" si="257"/>
        <v>4543</v>
      </c>
      <c r="F939" s="122">
        <f t="shared" si="257"/>
        <v>0</v>
      </c>
      <c r="G939" s="122">
        <f t="shared" si="257"/>
        <v>0</v>
      </c>
      <c r="H939" s="122">
        <f t="shared" si="257"/>
        <v>0</v>
      </c>
      <c r="I939" s="122">
        <f t="shared" si="257"/>
        <v>0</v>
      </c>
    </row>
    <row r="940" spans="1:9" s="168" customFormat="1" x14ac:dyDescent="0.3">
      <c r="A940" s="113" t="s">
        <v>354</v>
      </c>
      <c r="B940" s="47" t="s">
        <v>32</v>
      </c>
      <c r="C940" s="49">
        <f t="shared" si="244"/>
        <v>71.400000000000006</v>
      </c>
      <c r="D940" s="49">
        <v>71.400000000000006</v>
      </c>
      <c r="E940" s="49">
        <v>0</v>
      </c>
      <c r="F940" s="49">
        <v>0</v>
      </c>
      <c r="G940" s="49">
        <v>0</v>
      </c>
      <c r="H940" s="49">
        <v>0</v>
      </c>
      <c r="I940" s="49">
        <v>0</v>
      </c>
    </row>
    <row r="941" spans="1:9" s="168" customFormat="1" x14ac:dyDescent="0.3">
      <c r="A941" s="60"/>
      <c r="B941" s="53" t="s">
        <v>33</v>
      </c>
      <c r="C941" s="49">
        <f t="shared" si="244"/>
        <v>71.400000000000006</v>
      </c>
      <c r="D941" s="49">
        <v>71.400000000000006</v>
      </c>
      <c r="E941" s="49">
        <v>0</v>
      </c>
      <c r="F941" s="49">
        <v>0</v>
      </c>
      <c r="G941" s="49">
        <v>0</v>
      </c>
      <c r="H941" s="49">
        <v>0</v>
      </c>
      <c r="I941" s="49">
        <v>0</v>
      </c>
    </row>
    <row r="942" spans="1:9" s="168" customFormat="1" ht="12.75" customHeight="1" x14ac:dyDescent="0.3">
      <c r="A942" s="113" t="s">
        <v>355</v>
      </c>
      <c r="B942" s="47" t="s">
        <v>32</v>
      </c>
      <c r="C942" s="49">
        <f t="shared" si="244"/>
        <v>179</v>
      </c>
      <c r="D942" s="49">
        <v>0</v>
      </c>
      <c r="E942" s="49">
        <v>179</v>
      </c>
      <c r="F942" s="49">
        <v>0</v>
      </c>
      <c r="G942" s="49">
        <v>0</v>
      </c>
      <c r="H942" s="49">
        <v>0</v>
      </c>
      <c r="I942" s="49">
        <v>0</v>
      </c>
    </row>
    <row r="943" spans="1:9" s="1" customFormat="1" ht="14.15" x14ac:dyDescent="0.35">
      <c r="A943" s="310"/>
      <c r="B943" s="53" t="s">
        <v>33</v>
      </c>
      <c r="C943" s="49">
        <f t="shared" si="244"/>
        <v>179</v>
      </c>
      <c r="D943" s="49">
        <v>0</v>
      </c>
      <c r="E943" s="49">
        <v>179</v>
      </c>
      <c r="F943" s="49">
        <v>0</v>
      </c>
      <c r="G943" s="49">
        <v>0</v>
      </c>
      <c r="H943" s="49">
        <v>0</v>
      </c>
      <c r="I943" s="49">
        <v>0</v>
      </c>
    </row>
    <row r="944" spans="1:9" s="168" customFormat="1" ht="12.75" customHeight="1" x14ac:dyDescent="0.3">
      <c r="A944" s="113" t="s">
        <v>356</v>
      </c>
      <c r="B944" s="47" t="s">
        <v>32</v>
      </c>
      <c r="C944" s="49">
        <f t="shared" si="244"/>
        <v>22</v>
      </c>
      <c r="D944" s="49">
        <v>0</v>
      </c>
      <c r="E944" s="49">
        <v>22</v>
      </c>
      <c r="F944" s="49">
        <v>0</v>
      </c>
      <c r="G944" s="49">
        <v>0</v>
      </c>
      <c r="H944" s="49">
        <v>0</v>
      </c>
      <c r="I944" s="49">
        <v>0</v>
      </c>
    </row>
    <row r="945" spans="1:9" s="1" customFormat="1" ht="14.15" x14ac:dyDescent="0.35">
      <c r="A945" s="310"/>
      <c r="B945" s="53" t="s">
        <v>33</v>
      </c>
      <c r="C945" s="49">
        <f t="shared" si="244"/>
        <v>22</v>
      </c>
      <c r="D945" s="49">
        <v>0</v>
      </c>
      <c r="E945" s="49">
        <v>22</v>
      </c>
      <c r="F945" s="49">
        <v>0</v>
      </c>
      <c r="G945" s="49">
        <v>0</v>
      </c>
      <c r="H945" s="49">
        <v>0</v>
      </c>
      <c r="I945" s="49">
        <v>0</v>
      </c>
    </row>
    <row r="946" spans="1:9" s="168" customFormat="1" ht="12.75" customHeight="1" x14ac:dyDescent="0.3">
      <c r="A946" s="113" t="s">
        <v>357</v>
      </c>
      <c r="B946" s="47" t="s">
        <v>32</v>
      </c>
      <c r="C946" s="49">
        <f t="shared" si="244"/>
        <v>16</v>
      </c>
      <c r="D946" s="49">
        <v>0</v>
      </c>
      <c r="E946" s="49">
        <v>16</v>
      </c>
      <c r="F946" s="49">
        <v>0</v>
      </c>
      <c r="G946" s="49">
        <v>0</v>
      </c>
      <c r="H946" s="49">
        <v>0</v>
      </c>
      <c r="I946" s="49">
        <v>0</v>
      </c>
    </row>
    <row r="947" spans="1:9" s="1" customFormat="1" ht="14.15" x14ac:dyDescent="0.35">
      <c r="A947" s="310"/>
      <c r="B947" s="53" t="s">
        <v>33</v>
      </c>
      <c r="C947" s="49">
        <f t="shared" si="244"/>
        <v>16</v>
      </c>
      <c r="D947" s="49">
        <v>0</v>
      </c>
      <c r="E947" s="49">
        <v>16</v>
      </c>
      <c r="F947" s="49">
        <v>0</v>
      </c>
      <c r="G947" s="49">
        <v>0</v>
      </c>
      <c r="H947" s="49">
        <v>0</v>
      </c>
      <c r="I947" s="49">
        <v>0</v>
      </c>
    </row>
    <row r="948" spans="1:9" s="168" customFormat="1" ht="12.75" customHeight="1" x14ac:dyDescent="0.3">
      <c r="A948" s="113" t="s">
        <v>358</v>
      </c>
      <c r="B948" s="47" t="s">
        <v>32</v>
      </c>
      <c r="C948" s="49">
        <f t="shared" si="244"/>
        <v>16</v>
      </c>
      <c r="D948" s="49">
        <v>0</v>
      </c>
      <c r="E948" s="49">
        <v>16</v>
      </c>
      <c r="F948" s="49">
        <v>0</v>
      </c>
      <c r="G948" s="49">
        <v>0</v>
      </c>
      <c r="H948" s="49">
        <v>0</v>
      </c>
      <c r="I948" s="49">
        <v>0</v>
      </c>
    </row>
    <row r="949" spans="1:9" s="1" customFormat="1" ht="14.15" x14ac:dyDescent="0.35">
      <c r="A949" s="310"/>
      <c r="B949" s="53" t="s">
        <v>33</v>
      </c>
      <c r="C949" s="49">
        <f t="shared" si="244"/>
        <v>16</v>
      </c>
      <c r="D949" s="49">
        <v>0</v>
      </c>
      <c r="E949" s="49">
        <v>16</v>
      </c>
      <c r="F949" s="49">
        <v>0</v>
      </c>
      <c r="G949" s="49">
        <v>0</v>
      </c>
      <c r="H949" s="49">
        <v>0</v>
      </c>
      <c r="I949" s="49">
        <v>0</v>
      </c>
    </row>
    <row r="950" spans="1:9" s="168" customFormat="1" ht="12.75" customHeight="1" x14ac:dyDescent="0.3">
      <c r="A950" s="113" t="s">
        <v>359</v>
      </c>
      <c r="B950" s="47" t="s">
        <v>32</v>
      </c>
      <c r="C950" s="49">
        <f t="shared" si="244"/>
        <v>18</v>
      </c>
      <c r="D950" s="49">
        <v>0</v>
      </c>
      <c r="E950" s="49">
        <v>18</v>
      </c>
      <c r="F950" s="49">
        <v>0</v>
      </c>
      <c r="G950" s="49">
        <v>0</v>
      </c>
      <c r="H950" s="49">
        <v>0</v>
      </c>
      <c r="I950" s="49">
        <v>0</v>
      </c>
    </row>
    <row r="951" spans="1:9" s="1" customFormat="1" ht="14.15" x14ac:dyDescent="0.35">
      <c r="A951" s="310"/>
      <c r="B951" s="53" t="s">
        <v>33</v>
      </c>
      <c r="C951" s="49">
        <f t="shared" si="244"/>
        <v>18</v>
      </c>
      <c r="D951" s="49">
        <v>0</v>
      </c>
      <c r="E951" s="49">
        <v>18</v>
      </c>
      <c r="F951" s="49">
        <v>0</v>
      </c>
      <c r="G951" s="49">
        <v>0</v>
      </c>
      <c r="H951" s="49">
        <v>0</v>
      </c>
      <c r="I951" s="49">
        <v>0</v>
      </c>
    </row>
    <row r="952" spans="1:9" s="168" customFormat="1" ht="12.75" customHeight="1" x14ac:dyDescent="0.3">
      <c r="A952" s="113" t="s">
        <v>360</v>
      </c>
      <c r="B952" s="47" t="s">
        <v>32</v>
      </c>
      <c r="C952" s="49">
        <f t="shared" si="244"/>
        <v>3</v>
      </c>
      <c r="D952" s="49">
        <v>0</v>
      </c>
      <c r="E952" s="49">
        <v>3</v>
      </c>
      <c r="F952" s="49">
        <v>0</v>
      </c>
      <c r="G952" s="49">
        <v>0</v>
      </c>
      <c r="H952" s="49">
        <v>0</v>
      </c>
      <c r="I952" s="49">
        <v>0</v>
      </c>
    </row>
    <row r="953" spans="1:9" s="1" customFormat="1" ht="14.15" x14ac:dyDescent="0.35">
      <c r="A953" s="310"/>
      <c r="B953" s="53" t="s">
        <v>33</v>
      </c>
      <c r="C953" s="49">
        <f t="shared" si="244"/>
        <v>3</v>
      </c>
      <c r="D953" s="49">
        <v>0</v>
      </c>
      <c r="E953" s="49">
        <v>3</v>
      </c>
      <c r="F953" s="49">
        <v>0</v>
      </c>
      <c r="G953" s="49">
        <v>0</v>
      </c>
      <c r="H953" s="49">
        <v>0</v>
      </c>
      <c r="I953" s="49">
        <v>0</v>
      </c>
    </row>
    <row r="954" spans="1:9" s="168" customFormat="1" ht="12.75" customHeight="1" x14ac:dyDescent="0.3">
      <c r="A954" s="113" t="s">
        <v>361</v>
      </c>
      <c r="B954" s="47" t="s">
        <v>32</v>
      </c>
      <c r="C954" s="49">
        <f t="shared" si="244"/>
        <v>0</v>
      </c>
      <c r="D954" s="49">
        <v>0</v>
      </c>
      <c r="E954" s="49">
        <f>152-152</f>
        <v>0</v>
      </c>
      <c r="F954" s="49">
        <v>0</v>
      </c>
      <c r="G954" s="49">
        <v>0</v>
      </c>
      <c r="H954" s="49">
        <v>0</v>
      </c>
      <c r="I954" s="49">
        <v>0</v>
      </c>
    </row>
    <row r="955" spans="1:9" s="1" customFormat="1" ht="14.15" x14ac:dyDescent="0.35">
      <c r="A955" s="310"/>
      <c r="B955" s="53" t="s">
        <v>33</v>
      </c>
      <c r="C955" s="49">
        <f t="shared" si="244"/>
        <v>0</v>
      </c>
      <c r="D955" s="49">
        <v>0</v>
      </c>
      <c r="E955" s="49">
        <f>152-152</f>
        <v>0</v>
      </c>
      <c r="F955" s="49">
        <v>0</v>
      </c>
      <c r="G955" s="49">
        <v>0</v>
      </c>
      <c r="H955" s="49">
        <v>0</v>
      </c>
      <c r="I955" s="49">
        <v>0</v>
      </c>
    </row>
    <row r="956" spans="1:9" s="168" customFormat="1" ht="12.75" customHeight="1" x14ac:dyDescent="0.3">
      <c r="A956" s="91" t="s">
        <v>362</v>
      </c>
      <c r="B956" s="47" t="s">
        <v>32</v>
      </c>
      <c r="C956" s="49">
        <f t="shared" si="244"/>
        <v>60</v>
      </c>
      <c r="D956" s="49">
        <v>0</v>
      </c>
      <c r="E956" s="49">
        <v>60</v>
      </c>
      <c r="F956" s="49">
        <v>0</v>
      </c>
      <c r="G956" s="49">
        <v>0</v>
      </c>
      <c r="H956" s="49">
        <v>0</v>
      </c>
      <c r="I956" s="49">
        <v>0</v>
      </c>
    </row>
    <row r="957" spans="1:9" s="1" customFormat="1" ht="14.15" x14ac:dyDescent="0.35">
      <c r="A957" s="310"/>
      <c r="B957" s="53" t="s">
        <v>33</v>
      </c>
      <c r="C957" s="49">
        <f t="shared" si="244"/>
        <v>60</v>
      </c>
      <c r="D957" s="49">
        <v>0</v>
      </c>
      <c r="E957" s="49">
        <v>60</v>
      </c>
      <c r="F957" s="49">
        <v>0</v>
      </c>
      <c r="G957" s="49">
        <v>0</v>
      </c>
      <c r="H957" s="49">
        <v>0</v>
      </c>
      <c r="I957" s="49">
        <v>0</v>
      </c>
    </row>
    <row r="958" spans="1:9" s="65" customFormat="1" ht="12.75" customHeight="1" x14ac:dyDescent="0.3">
      <c r="A958" s="83" t="s">
        <v>363</v>
      </c>
      <c r="B958" s="40" t="s">
        <v>32</v>
      </c>
      <c r="C958" s="41">
        <f t="shared" si="244"/>
        <v>800</v>
      </c>
      <c r="D958" s="41">
        <v>0</v>
      </c>
      <c r="E958" s="41">
        <v>800</v>
      </c>
      <c r="F958" s="41">
        <v>0</v>
      </c>
      <c r="G958" s="41">
        <v>0</v>
      </c>
      <c r="H958" s="41">
        <v>0</v>
      </c>
      <c r="I958" s="41">
        <v>0</v>
      </c>
    </row>
    <row r="959" spans="1:9" s="1" customFormat="1" ht="14.15" x14ac:dyDescent="0.35">
      <c r="A959" s="310"/>
      <c r="B959" s="53" t="s">
        <v>33</v>
      </c>
      <c r="C959" s="49">
        <f t="shared" si="244"/>
        <v>800</v>
      </c>
      <c r="D959" s="49">
        <v>0</v>
      </c>
      <c r="E959" s="49">
        <v>800</v>
      </c>
      <c r="F959" s="49">
        <v>0</v>
      </c>
      <c r="G959" s="49">
        <v>0</v>
      </c>
      <c r="H959" s="49">
        <v>0</v>
      </c>
      <c r="I959" s="49">
        <v>0</v>
      </c>
    </row>
    <row r="960" spans="1:9" s="65" customFormat="1" ht="12.75" customHeight="1" x14ac:dyDescent="0.3">
      <c r="A960" s="83" t="s">
        <v>364</v>
      </c>
      <c r="B960" s="40" t="s">
        <v>32</v>
      </c>
      <c r="C960" s="41">
        <f t="shared" si="244"/>
        <v>600</v>
      </c>
      <c r="D960" s="41">
        <v>0</v>
      </c>
      <c r="E960" s="41">
        <v>600</v>
      </c>
      <c r="F960" s="41">
        <v>0</v>
      </c>
      <c r="G960" s="41">
        <v>0</v>
      </c>
      <c r="H960" s="41">
        <v>0</v>
      </c>
      <c r="I960" s="41">
        <v>0</v>
      </c>
    </row>
    <row r="961" spans="1:9" s="1" customFormat="1" ht="14.15" x14ac:dyDescent="0.35">
      <c r="A961" s="310"/>
      <c r="B961" s="53" t="s">
        <v>33</v>
      </c>
      <c r="C961" s="49">
        <f t="shared" si="244"/>
        <v>600</v>
      </c>
      <c r="D961" s="49">
        <v>0</v>
      </c>
      <c r="E961" s="49">
        <v>600</v>
      </c>
      <c r="F961" s="49">
        <v>0</v>
      </c>
      <c r="G961" s="49">
        <v>0</v>
      </c>
      <c r="H961" s="49">
        <v>0</v>
      </c>
      <c r="I961" s="49">
        <v>0</v>
      </c>
    </row>
    <row r="962" spans="1:9" s="168" customFormat="1" ht="12.75" customHeight="1" x14ac:dyDescent="0.3">
      <c r="A962" s="58" t="s">
        <v>365</v>
      </c>
      <c r="B962" s="47" t="s">
        <v>32</v>
      </c>
      <c r="C962" s="49">
        <f t="shared" si="244"/>
        <v>130</v>
      </c>
      <c r="D962" s="49">
        <v>0</v>
      </c>
      <c r="E962" s="49">
        <v>130</v>
      </c>
      <c r="F962" s="49">
        <v>0</v>
      </c>
      <c r="G962" s="49">
        <v>0</v>
      </c>
      <c r="H962" s="49">
        <v>0</v>
      </c>
      <c r="I962" s="49">
        <v>0</v>
      </c>
    </row>
    <row r="963" spans="1:9" s="1" customFormat="1" ht="14.15" x14ac:dyDescent="0.35">
      <c r="A963" s="310"/>
      <c r="B963" s="53" t="s">
        <v>33</v>
      </c>
      <c r="C963" s="49">
        <f t="shared" si="244"/>
        <v>130</v>
      </c>
      <c r="D963" s="49">
        <v>0</v>
      </c>
      <c r="E963" s="49">
        <v>130</v>
      </c>
      <c r="F963" s="49">
        <v>0</v>
      </c>
      <c r="G963" s="49">
        <v>0</v>
      </c>
      <c r="H963" s="49">
        <v>0</v>
      </c>
      <c r="I963" s="49">
        <v>0</v>
      </c>
    </row>
    <row r="964" spans="1:9" s="168" customFormat="1" ht="12.75" customHeight="1" x14ac:dyDescent="0.3">
      <c r="A964" s="58" t="s">
        <v>366</v>
      </c>
      <c r="B964" s="47" t="s">
        <v>32</v>
      </c>
      <c r="C964" s="49">
        <f t="shared" si="244"/>
        <v>9</v>
      </c>
      <c r="D964" s="49">
        <v>0</v>
      </c>
      <c r="E964" s="49">
        <v>9</v>
      </c>
      <c r="F964" s="49">
        <v>0</v>
      </c>
      <c r="G964" s="49">
        <v>0</v>
      </c>
      <c r="H964" s="49">
        <v>0</v>
      </c>
      <c r="I964" s="49">
        <v>0</v>
      </c>
    </row>
    <row r="965" spans="1:9" s="1" customFormat="1" ht="14.15" x14ac:dyDescent="0.35">
      <c r="A965" s="310"/>
      <c r="B965" s="53" t="s">
        <v>33</v>
      </c>
      <c r="C965" s="49">
        <f t="shared" si="244"/>
        <v>9</v>
      </c>
      <c r="D965" s="49">
        <v>0</v>
      </c>
      <c r="E965" s="49">
        <v>9</v>
      </c>
      <c r="F965" s="49">
        <v>0</v>
      </c>
      <c r="G965" s="49">
        <v>0</v>
      </c>
      <c r="H965" s="49">
        <v>0</v>
      </c>
      <c r="I965" s="49">
        <v>0</v>
      </c>
    </row>
    <row r="966" spans="1:9" s="168" customFormat="1" ht="12.75" customHeight="1" x14ac:dyDescent="0.3">
      <c r="A966" s="58" t="s">
        <v>367</v>
      </c>
      <c r="B966" s="47" t="s">
        <v>32</v>
      </c>
      <c r="C966" s="49">
        <f t="shared" si="244"/>
        <v>11</v>
      </c>
      <c r="D966" s="49">
        <v>0</v>
      </c>
      <c r="E966" s="49">
        <v>11</v>
      </c>
      <c r="F966" s="49">
        <v>0</v>
      </c>
      <c r="G966" s="49">
        <v>0</v>
      </c>
      <c r="H966" s="49">
        <v>0</v>
      </c>
      <c r="I966" s="49">
        <v>0</v>
      </c>
    </row>
    <row r="967" spans="1:9" s="1" customFormat="1" ht="14.15" x14ac:dyDescent="0.35">
      <c r="A967" s="310"/>
      <c r="B967" s="53" t="s">
        <v>33</v>
      </c>
      <c r="C967" s="49">
        <f t="shared" si="244"/>
        <v>11</v>
      </c>
      <c r="D967" s="49">
        <v>0</v>
      </c>
      <c r="E967" s="49">
        <v>11</v>
      </c>
      <c r="F967" s="49">
        <v>0</v>
      </c>
      <c r="G967" s="49">
        <v>0</v>
      </c>
      <c r="H967" s="49">
        <v>0</v>
      </c>
      <c r="I967" s="49">
        <v>0</v>
      </c>
    </row>
    <row r="968" spans="1:9" s="168" customFormat="1" ht="12.75" customHeight="1" x14ac:dyDescent="0.3">
      <c r="A968" s="58" t="s">
        <v>368</v>
      </c>
      <c r="B968" s="47" t="s">
        <v>32</v>
      </c>
      <c r="C968" s="49">
        <f t="shared" si="244"/>
        <v>8.5</v>
      </c>
      <c r="D968" s="49">
        <v>0</v>
      </c>
      <c r="E968" s="49">
        <v>8.5</v>
      </c>
      <c r="F968" s="49">
        <v>0</v>
      </c>
      <c r="G968" s="49">
        <v>0</v>
      </c>
      <c r="H968" s="49">
        <v>0</v>
      </c>
      <c r="I968" s="49">
        <v>0</v>
      </c>
    </row>
    <row r="969" spans="1:9" s="1" customFormat="1" ht="14.15" x14ac:dyDescent="0.35">
      <c r="A969" s="310"/>
      <c r="B969" s="53" t="s">
        <v>33</v>
      </c>
      <c r="C969" s="49">
        <f t="shared" si="244"/>
        <v>8.5</v>
      </c>
      <c r="D969" s="49">
        <v>0</v>
      </c>
      <c r="E969" s="49">
        <v>8.5</v>
      </c>
      <c r="F969" s="49">
        <v>0</v>
      </c>
      <c r="G969" s="49">
        <v>0</v>
      </c>
      <c r="H969" s="49">
        <v>0</v>
      </c>
      <c r="I969" s="49">
        <v>0</v>
      </c>
    </row>
    <row r="970" spans="1:9" s="168" customFormat="1" ht="12.75" customHeight="1" x14ac:dyDescent="0.3">
      <c r="A970" s="58" t="s">
        <v>369</v>
      </c>
      <c r="B970" s="47" t="s">
        <v>32</v>
      </c>
      <c r="C970" s="49">
        <f t="shared" si="244"/>
        <v>7</v>
      </c>
      <c r="D970" s="49">
        <v>0</v>
      </c>
      <c r="E970" s="49">
        <v>7</v>
      </c>
      <c r="F970" s="49">
        <v>0</v>
      </c>
      <c r="G970" s="49">
        <v>0</v>
      </c>
      <c r="H970" s="49">
        <v>0</v>
      </c>
      <c r="I970" s="49">
        <v>0</v>
      </c>
    </row>
    <row r="971" spans="1:9" s="1" customFormat="1" ht="14.15" x14ac:dyDescent="0.35">
      <c r="A971" s="310"/>
      <c r="B971" s="53" t="s">
        <v>33</v>
      </c>
      <c r="C971" s="49">
        <f t="shared" si="244"/>
        <v>7</v>
      </c>
      <c r="D971" s="49">
        <v>0</v>
      </c>
      <c r="E971" s="49">
        <v>7</v>
      </c>
      <c r="F971" s="49">
        <v>0</v>
      </c>
      <c r="G971" s="49">
        <v>0</v>
      </c>
      <c r="H971" s="49">
        <v>0</v>
      </c>
      <c r="I971" s="49">
        <v>0</v>
      </c>
    </row>
    <row r="972" spans="1:9" s="168" customFormat="1" ht="12.75" customHeight="1" x14ac:dyDescent="0.3">
      <c r="A972" s="58" t="s">
        <v>361</v>
      </c>
      <c r="B972" s="47" t="s">
        <v>32</v>
      </c>
      <c r="C972" s="49">
        <f t="shared" si="244"/>
        <v>92</v>
      </c>
      <c r="D972" s="49">
        <v>0</v>
      </c>
      <c r="E972" s="49">
        <v>92</v>
      </c>
      <c r="F972" s="49">
        <v>0</v>
      </c>
      <c r="G972" s="49">
        <v>0</v>
      </c>
      <c r="H972" s="49">
        <v>0</v>
      </c>
      <c r="I972" s="49">
        <v>0</v>
      </c>
    </row>
    <row r="973" spans="1:9" s="1" customFormat="1" ht="14.15" x14ac:dyDescent="0.35">
      <c r="A973" s="310"/>
      <c r="B973" s="53" t="s">
        <v>33</v>
      </c>
      <c r="C973" s="49">
        <f t="shared" si="244"/>
        <v>92</v>
      </c>
      <c r="D973" s="49">
        <v>0</v>
      </c>
      <c r="E973" s="49">
        <v>92</v>
      </c>
      <c r="F973" s="49">
        <v>0</v>
      </c>
      <c r="G973" s="49">
        <v>0</v>
      </c>
      <c r="H973" s="49">
        <v>0</v>
      </c>
      <c r="I973" s="49">
        <v>0</v>
      </c>
    </row>
    <row r="974" spans="1:9" s="168" customFormat="1" ht="12.75" customHeight="1" x14ac:dyDescent="0.3">
      <c r="A974" s="58" t="s">
        <v>361</v>
      </c>
      <c r="B974" s="47" t="s">
        <v>32</v>
      </c>
      <c r="C974" s="49">
        <f t="shared" si="244"/>
        <v>33</v>
      </c>
      <c r="D974" s="49">
        <v>0</v>
      </c>
      <c r="E974" s="49">
        <v>33</v>
      </c>
      <c r="F974" s="49">
        <v>0</v>
      </c>
      <c r="G974" s="49">
        <v>0</v>
      </c>
      <c r="H974" s="49">
        <v>0</v>
      </c>
      <c r="I974" s="49">
        <v>0</v>
      </c>
    </row>
    <row r="975" spans="1:9" s="1" customFormat="1" ht="14.15" x14ac:dyDescent="0.35">
      <c r="A975" s="310"/>
      <c r="B975" s="53" t="s">
        <v>33</v>
      </c>
      <c r="C975" s="49">
        <f t="shared" si="244"/>
        <v>33</v>
      </c>
      <c r="D975" s="49">
        <v>0</v>
      </c>
      <c r="E975" s="49">
        <v>33</v>
      </c>
      <c r="F975" s="49">
        <v>0</v>
      </c>
      <c r="G975" s="49">
        <v>0</v>
      </c>
      <c r="H975" s="49">
        <v>0</v>
      </c>
      <c r="I975" s="49">
        <v>0</v>
      </c>
    </row>
    <row r="976" spans="1:9" s="168" customFormat="1" ht="12.75" customHeight="1" x14ac:dyDescent="0.3">
      <c r="A976" s="58" t="s">
        <v>370</v>
      </c>
      <c r="B976" s="47" t="s">
        <v>32</v>
      </c>
      <c r="C976" s="49">
        <f t="shared" si="244"/>
        <v>38.5</v>
      </c>
      <c r="D976" s="49">
        <v>0</v>
      </c>
      <c r="E976" s="49">
        <v>38.5</v>
      </c>
      <c r="F976" s="49">
        <v>0</v>
      </c>
      <c r="G976" s="49">
        <v>0</v>
      </c>
      <c r="H976" s="49">
        <v>0</v>
      </c>
      <c r="I976" s="49">
        <v>0</v>
      </c>
    </row>
    <row r="977" spans="1:9" s="1" customFormat="1" ht="14.15" x14ac:dyDescent="0.35">
      <c r="A977" s="310"/>
      <c r="B977" s="53" t="s">
        <v>33</v>
      </c>
      <c r="C977" s="49">
        <f t="shared" si="244"/>
        <v>38.5</v>
      </c>
      <c r="D977" s="49">
        <v>0</v>
      </c>
      <c r="E977" s="49">
        <v>38.5</v>
      </c>
      <c r="F977" s="49">
        <v>0</v>
      </c>
      <c r="G977" s="49">
        <v>0</v>
      </c>
      <c r="H977" s="49">
        <v>0</v>
      </c>
      <c r="I977" s="49">
        <v>0</v>
      </c>
    </row>
    <row r="978" spans="1:9" s="168" customFormat="1" ht="12.75" customHeight="1" x14ac:dyDescent="0.35">
      <c r="A978" s="319" t="s">
        <v>371</v>
      </c>
      <c r="B978" s="47" t="s">
        <v>32</v>
      </c>
      <c r="C978" s="49">
        <f t="shared" si="244"/>
        <v>2500</v>
      </c>
      <c r="D978" s="49">
        <v>0</v>
      </c>
      <c r="E978" s="49">
        <v>2500</v>
      </c>
      <c r="F978" s="49">
        <v>0</v>
      </c>
      <c r="G978" s="49">
        <v>0</v>
      </c>
      <c r="H978" s="49">
        <v>0</v>
      </c>
      <c r="I978" s="49">
        <v>0</v>
      </c>
    </row>
    <row r="979" spans="1:9" s="1" customFormat="1" ht="14.15" x14ac:dyDescent="0.35">
      <c r="A979" s="310"/>
      <c r="B979" s="53" t="s">
        <v>33</v>
      </c>
      <c r="C979" s="49">
        <f t="shared" si="244"/>
        <v>2500</v>
      </c>
      <c r="D979" s="49">
        <v>0</v>
      </c>
      <c r="E979" s="49">
        <v>2500</v>
      </c>
      <c r="F979" s="49">
        <v>0</v>
      </c>
      <c r="G979" s="49">
        <v>0</v>
      </c>
      <c r="H979" s="49">
        <v>0</v>
      </c>
      <c r="I979" s="49">
        <v>0</v>
      </c>
    </row>
    <row r="980" spans="1:9" s="14" customFormat="1" ht="24.9" x14ac:dyDescent="0.3">
      <c r="A980" s="132" t="s">
        <v>372</v>
      </c>
      <c r="B980" s="12" t="s">
        <v>32</v>
      </c>
      <c r="C980" s="36">
        <f t="shared" si="244"/>
        <v>8433.2999999999993</v>
      </c>
      <c r="D980" s="36">
        <f>D982+D984+D986+D988+D990+D992+D994+D996+D998+D1000+D1002+D1004+D1006+D1008+D1010+D1012+D1014+D1016+D1018+D1020+D1022+D1024+D1026+D1028+D1030+D1032+D1034+D1036+D1038+D1040+D1042+D1044+D1046</f>
        <v>197.3</v>
      </c>
      <c r="E980" s="36">
        <f t="shared" ref="E980:I981" si="258">E982+E984+E986+E988+E990+E992+E994+E996+E998+E1000+E1002+E1004+E1006+E1008+E1010+E1012+E1014+E1016+E1018+E1020+E1022+E1024+E1026+E1028+E1030+E1032+E1034+E1036+E1038+E1040+E1042+E1044+E1046</f>
        <v>8236</v>
      </c>
      <c r="F980" s="36">
        <f t="shared" si="258"/>
        <v>0</v>
      </c>
      <c r="G980" s="36">
        <f t="shared" si="258"/>
        <v>0</v>
      </c>
      <c r="H980" s="36">
        <f t="shared" si="258"/>
        <v>0</v>
      </c>
      <c r="I980" s="36">
        <f t="shared" si="258"/>
        <v>0</v>
      </c>
    </row>
    <row r="981" spans="1:9" s="14" customFormat="1" x14ac:dyDescent="0.3">
      <c r="A981" s="19"/>
      <c r="B981" s="23" t="s">
        <v>33</v>
      </c>
      <c r="C981" s="36">
        <f t="shared" si="244"/>
        <v>8433.2999999999993</v>
      </c>
      <c r="D981" s="36">
        <f>D983+D985+D987+D989+D991+D993+D995+D997+D999+D1001+D1003+D1005+D1007+D1009+D1011+D1013+D1015+D1017+D1019+D1021+D1023+D1025+D1027+D1029+D1031+D1033+D1035+D1037+D1039+D1041+D1043+D1045+D1047</f>
        <v>197.3</v>
      </c>
      <c r="E981" s="36">
        <f t="shared" si="258"/>
        <v>8236</v>
      </c>
      <c r="F981" s="36">
        <f t="shared" si="258"/>
        <v>0</v>
      </c>
      <c r="G981" s="36">
        <f t="shared" si="258"/>
        <v>0</v>
      </c>
      <c r="H981" s="36">
        <f t="shared" si="258"/>
        <v>0</v>
      </c>
      <c r="I981" s="36">
        <f t="shared" si="258"/>
        <v>0</v>
      </c>
    </row>
    <row r="982" spans="1:9" s="65" customFormat="1" ht="14.15" x14ac:dyDescent="0.35">
      <c r="A982" s="276" t="s">
        <v>373</v>
      </c>
      <c r="B982" s="40" t="s">
        <v>32</v>
      </c>
      <c r="C982" s="41">
        <f t="shared" ref="C982:C1109" si="259">D982+E982+F982+G982+H982+I982</f>
        <v>82</v>
      </c>
      <c r="D982" s="41">
        <v>41</v>
      </c>
      <c r="E982" s="41">
        <v>41</v>
      </c>
      <c r="F982" s="41">
        <v>0</v>
      </c>
      <c r="G982" s="41">
        <v>0</v>
      </c>
      <c r="H982" s="41">
        <v>0</v>
      </c>
      <c r="I982" s="41">
        <v>0</v>
      </c>
    </row>
    <row r="983" spans="1:9" s="42" customFormat="1" x14ac:dyDescent="0.3">
      <c r="A983" s="63"/>
      <c r="B983" s="44" t="s">
        <v>33</v>
      </c>
      <c r="C983" s="41">
        <f t="shared" si="259"/>
        <v>82</v>
      </c>
      <c r="D983" s="41">
        <v>41</v>
      </c>
      <c r="E983" s="41">
        <v>41</v>
      </c>
      <c r="F983" s="41">
        <v>0</v>
      </c>
      <c r="G983" s="41">
        <v>0</v>
      </c>
      <c r="H983" s="41">
        <v>0</v>
      </c>
      <c r="I983" s="41">
        <v>0</v>
      </c>
    </row>
    <row r="984" spans="1:9" s="65" customFormat="1" ht="14.15" x14ac:dyDescent="0.35">
      <c r="A984" s="276" t="s">
        <v>374</v>
      </c>
      <c r="B984" s="40" t="s">
        <v>32</v>
      </c>
      <c r="C984" s="41">
        <f t="shared" si="259"/>
        <v>31.4</v>
      </c>
      <c r="D984" s="41">
        <v>31.4</v>
      </c>
      <c r="E984" s="41">
        <v>0</v>
      </c>
      <c r="F984" s="41">
        <v>0</v>
      </c>
      <c r="G984" s="41">
        <v>0</v>
      </c>
      <c r="H984" s="41">
        <v>0</v>
      </c>
      <c r="I984" s="41">
        <v>0</v>
      </c>
    </row>
    <row r="985" spans="1:9" s="42" customFormat="1" x14ac:dyDescent="0.3">
      <c r="A985" s="63"/>
      <c r="B985" s="44" t="s">
        <v>33</v>
      </c>
      <c r="C985" s="41">
        <f t="shared" si="259"/>
        <v>31.4</v>
      </c>
      <c r="D985" s="41">
        <v>31.4</v>
      </c>
      <c r="E985" s="41">
        <v>0</v>
      </c>
      <c r="F985" s="41">
        <v>0</v>
      </c>
      <c r="G985" s="41">
        <v>0</v>
      </c>
      <c r="H985" s="41">
        <v>0</v>
      </c>
      <c r="I985" s="41">
        <v>0</v>
      </c>
    </row>
    <row r="986" spans="1:9" s="65" customFormat="1" ht="14.15" x14ac:dyDescent="0.35">
      <c r="A986" s="271" t="s">
        <v>375</v>
      </c>
      <c r="B986" s="40" t="s">
        <v>32</v>
      </c>
      <c r="C986" s="41">
        <f t="shared" si="259"/>
        <v>49</v>
      </c>
      <c r="D986" s="41">
        <v>49</v>
      </c>
      <c r="E986" s="41">
        <v>0</v>
      </c>
      <c r="F986" s="41">
        <v>0</v>
      </c>
      <c r="G986" s="41">
        <v>0</v>
      </c>
      <c r="H986" s="41">
        <v>0</v>
      </c>
      <c r="I986" s="41">
        <v>0</v>
      </c>
    </row>
    <row r="987" spans="1:9" s="42" customFormat="1" x14ac:dyDescent="0.3">
      <c r="A987" s="63"/>
      <c r="B987" s="44" t="s">
        <v>33</v>
      </c>
      <c r="C987" s="41">
        <f t="shared" si="259"/>
        <v>49</v>
      </c>
      <c r="D987" s="41">
        <v>49</v>
      </c>
      <c r="E987" s="41">
        <v>0</v>
      </c>
      <c r="F987" s="41">
        <v>0</v>
      </c>
      <c r="G987" s="41">
        <v>0</v>
      </c>
      <c r="H987" s="41">
        <v>0</v>
      </c>
      <c r="I987" s="41">
        <v>0</v>
      </c>
    </row>
    <row r="988" spans="1:9" s="65" customFormat="1" ht="14.15" x14ac:dyDescent="0.35">
      <c r="A988" s="276" t="s">
        <v>376</v>
      </c>
      <c r="B988" s="40" t="s">
        <v>32</v>
      </c>
      <c r="C988" s="41">
        <f t="shared" si="259"/>
        <v>6</v>
      </c>
      <c r="D988" s="41">
        <v>6</v>
      </c>
      <c r="E988" s="41">
        <v>0</v>
      </c>
      <c r="F988" s="41">
        <v>0</v>
      </c>
      <c r="G988" s="41">
        <v>0</v>
      </c>
      <c r="H988" s="41">
        <v>0</v>
      </c>
      <c r="I988" s="41">
        <v>0</v>
      </c>
    </row>
    <row r="989" spans="1:9" s="42" customFormat="1" x14ac:dyDescent="0.3">
      <c r="A989" s="63"/>
      <c r="B989" s="44" t="s">
        <v>33</v>
      </c>
      <c r="C989" s="41">
        <f t="shared" si="259"/>
        <v>6</v>
      </c>
      <c r="D989" s="41">
        <v>6</v>
      </c>
      <c r="E989" s="41">
        <v>0</v>
      </c>
      <c r="F989" s="41">
        <v>0</v>
      </c>
      <c r="G989" s="41">
        <v>0</v>
      </c>
      <c r="H989" s="41">
        <v>0</v>
      </c>
      <c r="I989" s="41">
        <v>0</v>
      </c>
    </row>
    <row r="990" spans="1:9" s="65" customFormat="1" ht="14.15" x14ac:dyDescent="0.35">
      <c r="A990" s="276" t="s">
        <v>377</v>
      </c>
      <c r="B990" s="40" t="s">
        <v>32</v>
      </c>
      <c r="C990" s="41">
        <f t="shared" si="259"/>
        <v>11.8</v>
      </c>
      <c r="D990" s="41">
        <v>11.8</v>
      </c>
      <c r="E990" s="41">
        <v>0</v>
      </c>
      <c r="F990" s="41">
        <v>0</v>
      </c>
      <c r="G990" s="41">
        <v>0</v>
      </c>
      <c r="H990" s="41">
        <v>0</v>
      </c>
      <c r="I990" s="41">
        <v>0</v>
      </c>
    </row>
    <row r="991" spans="1:9" s="42" customFormat="1" x14ac:dyDescent="0.3">
      <c r="A991" s="63"/>
      <c r="B991" s="44" t="s">
        <v>33</v>
      </c>
      <c r="C991" s="41">
        <f t="shared" si="259"/>
        <v>11.8</v>
      </c>
      <c r="D991" s="41">
        <v>11.8</v>
      </c>
      <c r="E991" s="41">
        <v>0</v>
      </c>
      <c r="F991" s="41">
        <v>0</v>
      </c>
      <c r="G991" s="41">
        <v>0</v>
      </c>
      <c r="H991" s="41">
        <v>0</v>
      </c>
      <c r="I991" s="41">
        <v>0</v>
      </c>
    </row>
    <row r="992" spans="1:9" s="65" customFormat="1" ht="16.5" customHeight="1" x14ac:dyDescent="0.3">
      <c r="A992" s="320" t="s">
        <v>378</v>
      </c>
      <c r="B992" s="40" t="s">
        <v>32</v>
      </c>
      <c r="C992" s="41">
        <f t="shared" si="259"/>
        <v>50</v>
      </c>
      <c r="D992" s="41">
        <v>50</v>
      </c>
      <c r="E992" s="41">
        <v>0</v>
      </c>
      <c r="F992" s="41">
        <v>0</v>
      </c>
      <c r="G992" s="41">
        <v>0</v>
      </c>
      <c r="H992" s="41">
        <v>0</v>
      </c>
      <c r="I992" s="41">
        <v>0</v>
      </c>
    </row>
    <row r="993" spans="1:9" s="42" customFormat="1" x14ac:dyDescent="0.3">
      <c r="A993" s="63"/>
      <c r="B993" s="44" t="s">
        <v>33</v>
      </c>
      <c r="C993" s="41">
        <f t="shared" si="259"/>
        <v>50</v>
      </c>
      <c r="D993" s="41">
        <v>50</v>
      </c>
      <c r="E993" s="41">
        <v>0</v>
      </c>
      <c r="F993" s="41">
        <v>0</v>
      </c>
      <c r="G993" s="41">
        <v>0</v>
      </c>
      <c r="H993" s="41">
        <v>0</v>
      </c>
      <c r="I993" s="41">
        <v>0</v>
      </c>
    </row>
    <row r="994" spans="1:9" s="65" customFormat="1" ht="14.15" x14ac:dyDescent="0.35">
      <c r="A994" s="321" t="s">
        <v>379</v>
      </c>
      <c r="B994" s="40" t="s">
        <v>32</v>
      </c>
      <c r="C994" s="41">
        <f t="shared" si="259"/>
        <v>8.1</v>
      </c>
      <c r="D994" s="41">
        <v>8.1</v>
      </c>
      <c r="E994" s="41">
        <v>0</v>
      </c>
      <c r="F994" s="41">
        <v>0</v>
      </c>
      <c r="G994" s="41">
        <v>0</v>
      </c>
      <c r="H994" s="41">
        <v>0</v>
      </c>
      <c r="I994" s="41">
        <v>0</v>
      </c>
    </row>
    <row r="995" spans="1:9" s="42" customFormat="1" x14ac:dyDescent="0.3">
      <c r="A995" s="63"/>
      <c r="B995" s="44" t="s">
        <v>33</v>
      </c>
      <c r="C995" s="41">
        <f t="shared" si="259"/>
        <v>8.1</v>
      </c>
      <c r="D995" s="41">
        <v>8.1</v>
      </c>
      <c r="E995" s="41">
        <v>0</v>
      </c>
      <c r="F995" s="41">
        <v>0</v>
      </c>
      <c r="G995" s="41">
        <v>0</v>
      </c>
      <c r="H995" s="41">
        <v>0</v>
      </c>
      <c r="I995" s="41">
        <v>0</v>
      </c>
    </row>
    <row r="996" spans="1:9" s="65" customFormat="1" x14ac:dyDescent="0.3">
      <c r="A996" s="322" t="s">
        <v>380</v>
      </c>
      <c r="B996" s="40" t="s">
        <v>32</v>
      </c>
      <c r="C996" s="41">
        <f t="shared" si="259"/>
        <v>16</v>
      </c>
      <c r="D996" s="41">
        <v>0</v>
      </c>
      <c r="E996" s="41">
        <v>16</v>
      </c>
      <c r="F996" s="41">
        <v>0</v>
      </c>
      <c r="G996" s="41">
        <v>0</v>
      </c>
      <c r="H996" s="41">
        <v>0</v>
      </c>
      <c r="I996" s="41">
        <v>0</v>
      </c>
    </row>
    <row r="997" spans="1:9" s="42" customFormat="1" x14ac:dyDescent="0.3">
      <c r="A997" s="63"/>
      <c r="B997" s="44" t="s">
        <v>33</v>
      </c>
      <c r="C997" s="41">
        <f t="shared" si="259"/>
        <v>16</v>
      </c>
      <c r="D997" s="41">
        <v>0</v>
      </c>
      <c r="E997" s="41">
        <v>16</v>
      </c>
      <c r="F997" s="41">
        <v>0</v>
      </c>
      <c r="G997" s="41">
        <v>0</v>
      </c>
      <c r="H997" s="41">
        <v>0</v>
      </c>
      <c r="I997" s="41">
        <v>0</v>
      </c>
    </row>
    <row r="998" spans="1:9" s="65" customFormat="1" ht="14.15" x14ac:dyDescent="0.35">
      <c r="A998" s="276" t="s">
        <v>381</v>
      </c>
      <c r="B998" s="40" t="s">
        <v>32</v>
      </c>
      <c r="C998" s="41">
        <f t="shared" si="259"/>
        <v>0</v>
      </c>
      <c r="D998" s="41">
        <v>0</v>
      </c>
      <c r="E998" s="41">
        <f>36-36</f>
        <v>0</v>
      </c>
      <c r="F998" s="41">
        <v>0</v>
      </c>
      <c r="G998" s="41">
        <v>0</v>
      </c>
      <c r="H998" s="41">
        <v>0</v>
      </c>
      <c r="I998" s="41">
        <v>0</v>
      </c>
    </row>
    <row r="999" spans="1:9" s="42" customFormat="1" x14ac:dyDescent="0.3">
      <c r="A999" s="63"/>
      <c r="B999" s="44" t="s">
        <v>33</v>
      </c>
      <c r="C999" s="41">
        <f t="shared" si="259"/>
        <v>0</v>
      </c>
      <c r="D999" s="41">
        <v>0</v>
      </c>
      <c r="E999" s="41">
        <f>36-36</f>
        <v>0</v>
      </c>
      <c r="F999" s="41">
        <v>0</v>
      </c>
      <c r="G999" s="41">
        <v>0</v>
      </c>
      <c r="H999" s="41">
        <v>0</v>
      </c>
      <c r="I999" s="41">
        <v>0</v>
      </c>
    </row>
    <row r="1000" spans="1:9" s="65" customFormat="1" ht="14.15" x14ac:dyDescent="0.35">
      <c r="A1000" s="276" t="s">
        <v>382</v>
      </c>
      <c r="B1000" s="40" t="s">
        <v>32</v>
      </c>
      <c r="C1000" s="41">
        <f t="shared" si="259"/>
        <v>37</v>
      </c>
      <c r="D1000" s="41">
        <v>0</v>
      </c>
      <c r="E1000" s="41">
        <v>37</v>
      </c>
      <c r="F1000" s="41">
        <v>0</v>
      </c>
      <c r="G1000" s="41">
        <v>0</v>
      </c>
      <c r="H1000" s="41">
        <v>0</v>
      </c>
      <c r="I1000" s="41">
        <v>0</v>
      </c>
    </row>
    <row r="1001" spans="1:9" s="42" customFormat="1" x14ac:dyDescent="0.3">
      <c r="A1001" s="63"/>
      <c r="B1001" s="44" t="s">
        <v>33</v>
      </c>
      <c r="C1001" s="41">
        <f t="shared" si="259"/>
        <v>37</v>
      </c>
      <c r="D1001" s="41">
        <v>0</v>
      </c>
      <c r="E1001" s="41">
        <v>37</v>
      </c>
      <c r="F1001" s="41">
        <v>0</v>
      </c>
      <c r="G1001" s="41">
        <v>0</v>
      </c>
      <c r="H1001" s="41">
        <v>0</v>
      </c>
      <c r="I1001" s="41">
        <v>0</v>
      </c>
    </row>
    <row r="1002" spans="1:9" s="65" customFormat="1" ht="14.15" x14ac:dyDescent="0.35">
      <c r="A1002" s="276" t="s">
        <v>383</v>
      </c>
      <c r="B1002" s="40" t="s">
        <v>32</v>
      </c>
      <c r="C1002" s="41">
        <f t="shared" si="259"/>
        <v>22</v>
      </c>
      <c r="D1002" s="41">
        <v>0</v>
      </c>
      <c r="E1002" s="41">
        <f>12+10</f>
        <v>22</v>
      </c>
      <c r="F1002" s="41">
        <v>0</v>
      </c>
      <c r="G1002" s="41">
        <v>0</v>
      </c>
      <c r="H1002" s="41">
        <v>0</v>
      </c>
      <c r="I1002" s="41">
        <v>0</v>
      </c>
    </row>
    <row r="1003" spans="1:9" s="42" customFormat="1" x14ac:dyDescent="0.3">
      <c r="A1003" s="63"/>
      <c r="B1003" s="44" t="s">
        <v>33</v>
      </c>
      <c r="C1003" s="41">
        <f t="shared" si="259"/>
        <v>22</v>
      </c>
      <c r="D1003" s="41">
        <v>0</v>
      </c>
      <c r="E1003" s="41">
        <f>12+10</f>
        <v>22</v>
      </c>
      <c r="F1003" s="41">
        <v>0</v>
      </c>
      <c r="G1003" s="41">
        <v>0</v>
      </c>
      <c r="H1003" s="41">
        <v>0</v>
      </c>
      <c r="I1003" s="41">
        <v>0</v>
      </c>
    </row>
    <row r="1004" spans="1:9" s="65" customFormat="1" ht="14.15" x14ac:dyDescent="0.3">
      <c r="A1004" s="323" t="s">
        <v>384</v>
      </c>
      <c r="B1004" s="40" t="s">
        <v>32</v>
      </c>
      <c r="C1004" s="41">
        <f t="shared" si="259"/>
        <v>2047</v>
      </c>
      <c r="D1004" s="41">
        <v>0</v>
      </c>
      <c r="E1004" s="41">
        <v>2047</v>
      </c>
      <c r="F1004" s="41">
        <v>0</v>
      </c>
      <c r="G1004" s="41">
        <v>0</v>
      </c>
      <c r="H1004" s="41">
        <v>0</v>
      </c>
      <c r="I1004" s="41">
        <v>0</v>
      </c>
    </row>
    <row r="1005" spans="1:9" s="42" customFormat="1" x14ac:dyDescent="0.3">
      <c r="A1005" s="63"/>
      <c r="B1005" s="44" t="s">
        <v>33</v>
      </c>
      <c r="C1005" s="41">
        <f t="shared" si="259"/>
        <v>2047</v>
      </c>
      <c r="D1005" s="41">
        <v>0</v>
      </c>
      <c r="E1005" s="41">
        <v>2047</v>
      </c>
      <c r="F1005" s="41">
        <v>0</v>
      </c>
      <c r="G1005" s="41">
        <v>0</v>
      </c>
      <c r="H1005" s="41">
        <v>0</v>
      </c>
      <c r="I1005" s="41">
        <v>0</v>
      </c>
    </row>
    <row r="1006" spans="1:9" s="65" customFormat="1" ht="14.15" x14ac:dyDescent="0.3">
      <c r="A1006" s="323" t="s">
        <v>385</v>
      </c>
      <c r="B1006" s="40" t="s">
        <v>32</v>
      </c>
      <c r="C1006" s="41">
        <f t="shared" si="259"/>
        <v>1700</v>
      </c>
      <c r="D1006" s="41">
        <v>0</v>
      </c>
      <c r="E1006" s="41">
        <v>1700</v>
      </c>
      <c r="F1006" s="41">
        <v>0</v>
      </c>
      <c r="G1006" s="41">
        <v>0</v>
      </c>
      <c r="H1006" s="41">
        <v>0</v>
      </c>
      <c r="I1006" s="41">
        <v>0</v>
      </c>
    </row>
    <row r="1007" spans="1:9" s="42" customFormat="1" x14ac:dyDescent="0.3">
      <c r="A1007" s="63"/>
      <c r="B1007" s="44" t="s">
        <v>33</v>
      </c>
      <c r="C1007" s="41">
        <f t="shared" si="259"/>
        <v>1700</v>
      </c>
      <c r="D1007" s="41">
        <v>0</v>
      </c>
      <c r="E1007" s="41">
        <v>1700</v>
      </c>
      <c r="F1007" s="41">
        <v>0</v>
      </c>
      <c r="G1007" s="41">
        <v>0</v>
      </c>
      <c r="H1007" s="41">
        <v>0</v>
      </c>
      <c r="I1007" s="41">
        <v>0</v>
      </c>
    </row>
    <row r="1008" spans="1:9" s="65" customFormat="1" ht="28.3" x14ac:dyDescent="0.3">
      <c r="A1008" s="323" t="s">
        <v>386</v>
      </c>
      <c r="B1008" s="40" t="s">
        <v>32</v>
      </c>
      <c r="C1008" s="41">
        <f t="shared" si="259"/>
        <v>708</v>
      </c>
      <c r="D1008" s="41">
        <v>0</v>
      </c>
      <c r="E1008" s="41">
        <v>708</v>
      </c>
      <c r="F1008" s="41">
        <v>0</v>
      </c>
      <c r="G1008" s="41">
        <v>0</v>
      </c>
      <c r="H1008" s="41">
        <v>0</v>
      </c>
      <c r="I1008" s="41">
        <v>0</v>
      </c>
    </row>
    <row r="1009" spans="1:9" s="42" customFormat="1" x14ac:dyDescent="0.3">
      <c r="A1009" s="63"/>
      <c r="B1009" s="44" t="s">
        <v>33</v>
      </c>
      <c r="C1009" s="41">
        <f t="shared" si="259"/>
        <v>708</v>
      </c>
      <c r="D1009" s="41">
        <v>0</v>
      </c>
      <c r="E1009" s="41">
        <v>708</v>
      </c>
      <c r="F1009" s="41">
        <v>0</v>
      </c>
      <c r="G1009" s="41">
        <v>0</v>
      </c>
      <c r="H1009" s="41">
        <v>0</v>
      </c>
      <c r="I1009" s="41">
        <v>0</v>
      </c>
    </row>
    <row r="1010" spans="1:9" s="65" customFormat="1" ht="28.3" x14ac:dyDescent="0.3">
      <c r="A1010" s="323" t="s">
        <v>387</v>
      </c>
      <c r="B1010" s="40" t="s">
        <v>32</v>
      </c>
      <c r="C1010" s="41">
        <f t="shared" si="259"/>
        <v>687</v>
      </c>
      <c r="D1010" s="41">
        <v>0</v>
      </c>
      <c r="E1010" s="41">
        <v>687</v>
      </c>
      <c r="F1010" s="41">
        <v>0</v>
      </c>
      <c r="G1010" s="41">
        <v>0</v>
      </c>
      <c r="H1010" s="41">
        <v>0</v>
      </c>
      <c r="I1010" s="41">
        <v>0</v>
      </c>
    </row>
    <row r="1011" spans="1:9" s="42" customFormat="1" x14ac:dyDescent="0.3">
      <c r="A1011" s="63"/>
      <c r="B1011" s="44" t="s">
        <v>33</v>
      </c>
      <c r="C1011" s="41">
        <f t="shared" si="259"/>
        <v>687</v>
      </c>
      <c r="D1011" s="41">
        <v>0</v>
      </c>
      <c r="E1011" s="41">
        <v>687</v>
      </c>
      <c r="F1011" s="41">
        <v>0</v>
      </c>
      <c r="G1011" s="41">
        <v>0</v>
      </c>
      <c r="H1011" s="41">
        <v>0</v>
      </c>
      <c r="I1011" s="41">
        <v>0</v>
      </c>
    </row>
    <row r="1012" spans="1:9" s="65" customFormat="1" ht="14.15" x14ac:dyDescent="0.3">
      <c r="A1012" s="323" t="s">
        <v>388</v>
      </c>
      <c r="B1012" s="40" t="s">
        <v>32</v>
      </c>
      <c r="C1012" s="41">
        <f t="shared" si="259"/>
        <v>560</v>
      </c>
      <c r="D1012" s="41">
        <v>0</v>
      </c>
      <c r="E1012" s="41">
        <v>560</v>
      </c>
      <c r="F1012" s="41">
        <v>0</v>
      </c>
      <c r="G1012" s="41">
        <v>0</v>
      </c>
      <c r="H1012" s="41">
        <v>0</v>
      </c>
      <c r="I1012" s="41">
        <v>0</v>
      </c>
    </row>
    <row r="1013" spans="1:9" s="42" customFormat="1" x14ac:dyDescent="0.3">
      <c r="A1013" s="63"/>
      <c r="B1013" s="44" t="s">
        <v>33</v>
      </c>
      <c r="C1013" s="41">
        <f t="shared" si="259"/>
        <v>560</v>
      </c>
      <c r="D1013" s="41">
        <v>0</v>
      </c>
      <c r="E1013" s="41">
        <v>560</v>
      </c>
      <c r="F1013" s="41">
        <v>0</v>
      </c>
      <c r="G1013" s="41">
        <v>0</v>
      </c>
      <c r="H1013" s="41">
        <v>0</v>
      </c>
      <c r="I1013" s="41">
        <v>0</v>
      </c>
    </row>
    <row r="1014" spans="1:9" s="65" customFormat="1" ht="14.15" x14ac:dyDescent="0.3">
      <c r="A1014" s="323" t="s">
        <v>389</v>
      </c>
      <c r="B1014" s="40" t="s">
        <v>32</v>
      </c>
      <c r="C1014" s="41">
        <f t="shared" si="259"/>
        <v>335</v>
      </c>
      <c r="D1014" s="41">
        <v>0</v>
      </c>
      <c r="E1014" s="41">
        <v>335</v>
      </c>
      <c r="F1014" s="41">
        <v>0</v>
      </c>
      <c r="G1014" s="41">
        <v>0</v>
      </c>
      <c r="H1014" s="41">
        <v>0</v>
      </c>
      <c r="I1014" s="41">
        <v>0</v>
      </c>
    </row>
    <row r="1015" spans="1:9" s="42" customFormat="1" x14ac:dyDescent="0.3">
      <c r="A1015" s="63"/>
      <c r="B1015" s="44" t="s">
        <v>33</v>
      </c>
      <c r="C1015" s="41">
        <f t="shared" si="259"/>
        <v>335</v>
      </c>
      <c r="D1015" s="41">
        <v>0</v>
      </c>
      <c r="E1015" s="41">
        <v>335</v>
      </c>
      <c r="F1015" s="41">
        <v>0</v>
      </c>
      <c r="G1015" s="41">
        <v>0</v>
      </c>
      <c r="H1015" s="41">
        <v>0</v>
      </c>
      <c r="I1015" s="41">
        <v>0</v>
      </c>
    </row>
    <row r="1016" spans="1:9" s="65" customFormat="1" ht="14.15" x14ac:dyDescent="0.3">
      <c r="A1016" s="324" t="s">
        <v>390</v>
      </c>
      <c r="B1016" s="40" t="s">
        <v>32</v>
      </c>
      <c r="C1016" s="41">
        <f t="shared" si="259"/>
        <v>275</v>
      </c>
      <c r="D1016" s="41">
        <v>0</v>
      </c>
      <c r="E1016" s="41">
        <v>275</v>
      </c>
      <c r="F1016" s="41">
        <v>0</v>
      </c>
      <c r="G1016" s="41">
        <v>0</v>
      </c>
      <c r="H1016" s="41">
        <v>0</v>
      </c>
      <c r="I1016" s="41">
        <v>0</v>
      </c>
    </row>
    <row r="1017" spans="1:9" s="42" customFormat="1" x14ac:dyDescent="0.3">
      <c r="A1017" s="63"/>
      <c r="B1017" s="44" t="s">
        <v>33</v>
      </c>
      <c r="C1017" s="41">
        <f t="shared" si="259"/>
        <v>275</v>
      </c>
      <c r="D1017" s="41">
        <v>0</v>
      </c>
      <c r="E1017" s="41">
        <v>275</v>
      </c>
      <c r="F1017" s="41">
        <v>0</v>
      </c>
      <c r="G1017" s="41">
        <v>0</v>
      </c>
      <c r="H1017" s="41">
        <v>0</v>
      </c>
      <c r="I1017" s="41">
        <v>0</v>
      </c>
    </row>
    <row r="1018" spans="1:9" s="65" customFormat="1" ht="14.15" x14ac:dyDescent="0.3">
      <c r="A1018" s="323" t="s">
        <v>391</v>
      </c>
      <c r="B1018" s="40" t="s">
        <v>32</v>
      </c>
      <c r="C1018" s="41">
        <f t="shared" si="259"/>
        <v>284</v>
      </c>
      <c r="D1018" s="41">
        <v>0</v>
      </c>
      <c r="E1018" s="41">
        <v>284</v>
      </c>
      <c r="F1018" s="41">
        <v>0</v>
      </c>
      <c r="G1018" s="41">
        <v>0</v>
      </c>
      <c r="H1018" s="41">
        <v>0</v>
      </c>
      <c r="I1018" s="41">
        <v>0</v>
      </c>
    </row>
    <row r="1019" spans="1:9" s="42" customFormat="1" x14ac:dyDescent="0.3">
      <c r="A1019" s="63"/>
      <c r="B1019" s="44" t="s">
        <v>33</v>
      </c>
      <c r="C1019" s="41">
        <f t="shared" si="259"/>
        <v>284</v>
      </c>
      <c r="D1019" s="41">
        <v>0</v>
      </c>
      <c r="E1019" s="41">
        <v>284</v>
      </c>
      <c r="F1019" s="41">
        <v>0</v>
      </c>
      <c r="G1019" s="41">
        <v>0</v>
      </c>
      <c r="H1019" s="41">
        <v>0</v>
      </c>
      <c r="I1019" s="41">
        <v>0</v>
      </c>
    </row>
    <row r="1020" spans="1:9" s="65" customFormat="1" ht="14.15" x14ac:dyDescent="0.3">
      <c r="A1020" s="323" t="s">
        <v>392</v>
      </c>
      <c r="B1020" s="40" t="s">
        <v>32</v>
      </c>
      <c r="C1020" s="41">
        <f t="shared" si="259"/>
        <v>268</v>
      </c>
      <c r="D1020" s="41">
        <v>0</v>
      </c>
      <c r="E1020" s="41">
        <v>268</v>
      </c>
      <c r="F1020" s="41">
        <v>0</v>
      </c>
      <c r="G1020" s="41">
        <v>0</v>
      </c>
      <c r="H1020" s="41">
        <v>0</v>
      </c>
      <c r="I1020" s="41">
        <v>0</v>
      </c>
    </row>
    <row r="1021" spans="1:9" s="42" customFormat="1" x14ac:dyDescent="0.3">
      <c r="A1021" s="63"/>
      <c r="B1021" s="44" t="s">
        <v>33</v>
      </c>
      <c r="C1021" s="41">
        <f t="shared" si="259"/>
        <v>268</v>
      </c>
      <c r="D1021" s="41">
        <v>0</v>
      </c>
      <c r="E1021" s="41">
        <v>268</v>
      </c>
      <c r="F1021" s="41">
        <v>0</v>
      </c>
      <c r="G1021" s="41">
        <v>0</v>
      </c>
      <c r="H1021" s="41">
        <v>0</v>
      </c>
      <c r="I1021" s="41">
        <v>0</v>
      </c>
    </row>
    <row r="1022" spans="1:9" s="65" customFormat="1" ht="18" customHeight="1" x14ac:dyDescent="0.3">
      <c r="A1022" s="324" t="s">
        <v>393</v>
      </c>
      <c r="B1022" s="40" t="s">
        <v>32</v>
      </c>
      <c r="C1022" s="41">
        <f t="shared" si="259"/>
        <v>167</v>
      </c>
      <c r="D1022" s="41">
        <v>0</v>
      </c>
      <c r="E1022" s="41">
        <v>167</v>
      </c>
      <c r="F1022" s="41">
        <v>0</v>
      </c>
      <c r="G1022" s="41">
        <v>0</v>
      </c>
      <c r="H1022" s="41">
        <v>0</v>
      </c>
      <c r="I1022" s="41">
        <v>0</v>
      </c>
    </row>
    <row r="1023" spans="1:9" s="42" customFormat="1" x14ac:dyDescent="0.3">
      <c r="A1023" s="63"/>
      <c r="B1023" s="44" t="s">
        <v>33</v>
      </c>
      <c r="C1023" s="41">
        <f t="shared" si="259"/>
        <v>167</v>
      </c>
      <c r="D1023" s="41">
        <v>0</v>
      </c>
      <c r="E1023" s="41">
        <v>167</v>
      </c>
      <c r="F1023" s="41">
        <v>0</v>
      </c>
      <c r="G1023" s="41">
        <v>0</v>
      </c>
      <c r="H1023" s="41">
        <v>0</v>
      </c>
      <c r="I1023" s="41">
        <v>0</v>
      </c>
    </row>
    <row r="1024" spans="1:9" s="65" customFormat="1" ht="14.15" x14ac:dyDescent="0.3">
      <c r="A1024" s="323" t="s">
        <v>394</v>
      </c>
      <c r="B1024" s="40" t="s">
        <v>32</v>
      </c>
      <c r="C1024" s="41">
        <f t="shared" si="259"/>
        <v>134</v>
      </c>
      <c r="D1024" s="41">
        <v>0</v>
      </c>
      <c r="E1024" s="41">
        <v>134</v>
      </c>
      <c r="F1024" s="41">
        <v>0</v>
      </c>
      <c r="G1024" s="41">
        <v>0</v>
      </c>
      <c r="H1024" s="41">
        <v>0</v>
      </c>
      <c r="I1024" s="41">
        <v>0</v>
      </c>
    </row>
    <row r="1025" spans="1:9" s="42" customFormat="1" x14ac:dyDescent="0.3">
      <c r="A1025" s="63"/>
      <c r="B1025" s="44" t="s">
        <v>33</v>
      </c>
      <c r="C1025" s="41">
        <f t="shared" si="259"/>
        <v>134</v>
      </c>
      <c r="D1025" s="41">
        <v>0</v>
      </c>
      <c r="E1025" s="41">
        <v>134</v>
      </c>
      <c r="F1025" s="41">
        <v>0</v>
      </c>
      <c r="G1025" s="41">
        <v>0</v>
      </c>
      <c r="H1025" s="41">
        <v>0</v>
      </c>
      <c r="I1025" s="41">
        <v>0</v>
      </c>
    </row>
    <row r="1026" spans="1:9" s="65" customFormat="1" ht="14.15" x14ac:dyDescent="0.3">
      <c r="A1026" s="323" t="s">
        <v>395</v>
      </c>
      <c r="B1026" s="40" t="s">
        <v>32</v>
      </c>
      <c r="C1026" s="41">
        <f t="shared" si="259"/>
        <v>269</v>
      </c>
      <c r="D1026" s="41">
        <v>0</v>
      </c>
      <c r="E1026" s="41">
        <v>269</v>
      </c>
      <c r="F1026" s="41">
        <v>0</v>
      </c>
      <c r="G1026" s="41">
        <v>0</v>
      </c>
      <c r="H1026" s="41">
        <v>0</v>
      </c>
      <c r="I1026" s="41">
        <v>0</v>
      </c>
    </row>
    <row r="1027" spans="1:9" s="42" customFormat="1" x14ac:dyDescent="0.3">
      <c r="A1027" s="63"/>
      <c r="B1027" s="44" t="s">
        <v>33</v>
      </c>
      <c r="C1027" s="41">
        <f t="shared" si="259"/>
        <v>269</v>
      </c>
      <c r="D1027" s="41">
        <v>0</v>
      </c>
      <c r="E1027" s="41">
        <v>269</v>
      </c>
      <c r="F1027" s="41">
        <v>0</v>
      </c>
      <c r="G1027" s="41">
        <v>0</v>
      </c>
      <c r="H1027" s="41">
        <v>0</v>
      </c>
      <c r="I1027" s="41">
        <v>0</v>
      </c>
    </row>
    <row r="1028" spans="1:9" s="65" customFormat="1" ht="14.15" x14ac:dyDescent="0.3">
      <c r="A1028" s="323" t="s">
        <v>396</v>
      </c>
      <c r="B1028" s="40" t="s">
        <v>32</v>
      </c>
      <c r="C1028" s="41">
        <f t="shared" si="259"/>
        <v>115</v>
      </c>
      <c r="D1028" s="41">
        <v>0</v>
      </c>
      <c r="E1028" s="41">
        <v>115</v>
      </c>
      <c r="F1028" s="41">
        <v>0</v>
      </c>
      <c r="G1028" s="41">
        <v>0</v>
      </c>
      <c r="H1028" s="41">
        <v>0</v>
      </c>
      <c r="I1028" s="41">
        <v>0</v>
      </c>
    </row>
    <row r="1029" spans="1:9" s="42" customFormat="1" x14ac:dyDescent="0.3">
      <c r="A1029" s="63"/>
      <c r="B1029" s="44" t="s">
        <v>33</v>
      </c>
      <c r="C1029" s="41">
        <f t="shared" si="259"/>
        <v>115</v>
      </c>
      <c r="D1029" s="41">
        <v>0</v>
      </c>
      <c r="E1029" s="41">
        <v>115</v>
      </c>
      <c r="F1029" s="41">
        <v>0</v>
      </c>
      <c r="G1029" s="41">
        <v>0</v>
      </c>
      <c r="H1029" s="41">
        <v>0</v>
      </c>
      <c r="I1029" s="41">
        <v>0</v>
      </c>
    </row>
    <row r="1030" spans="1:9" s="65" customFormat="1" ht="14.15" x14ac:dyDescent="0.3">
      <c r="A1030" s="323" t="s">
        <v>397</v>
      </c>
      <c r="B1030" s="40" t="s">
        <v>32</v>
      </c>
      <c r="C1030" s="41">
        <f t="shared" si="259"/>
        <v>153</v>
      </c>
      <c r="D1030" s="41">
        <v>0</v>
      </c>
      <c r="E1030" s="41">
        <v>153</v>
      </c>
      <c r="F1030" s="41">
        <v>0</v>
      </c>
      <c r="G1030" s="41">
        <v>0</v>
      </c>
      <c r="H1030" s="41">
        <v>0</v>
      </c>
      <c r="I1030" s="41">
        <v>0</v>
      </c>
    </row>
    <row r="1031" spans="1:9" s="42" customFormat="1" x14ac:dyDescent="0.3">
      <c r="A1031" s="63"/>
      <c r="B1031" s="44" t="s">
        <v>33</v>
      </c>
      <c r="C1031" s="41">
        <f t="shared" si="259"/>
        <v>153</v>
      </c>
      <c r="D1031" s="41">
        <v>0</v>
      </c>
      <c r="E1031" s="41">
        <v>153</v>
      </c>
      <c r="F1031" s="41">
        <v>0</v>
      </c>
      <c r="G1031" s="41">
        <v>0</v>
      </c>
      <c r="H1031" s="41">
        <v>0</v>
      </c>
      <c r="I1031" s="41">
        <v>0</v>
      </c>
    </row>
    <row r="1032" spans="1:9" s="65" customFormat="1" ht="14.15" x14ac:dyDescent="0.3">
      <c r="A1032" s="323" t="s">
        <v>398</v>
      </c>
      <c r="B1032" s="40" t="s">
        <v>32</v>
      </c>
      <c r="C1032" s="41">
        <f t="shared" si="259"/>
        <v>180</v>
      </c>
      <c r="D1032" s="41">
        <v>0</v>
      </c>
      <c r="E1032" s="41">
        <v>180</v>
      </c>
      <c r="F1032" s="41">
        <v>0</v>
      </c>
      <c r="G1032" s="41">
        <v>0</v>
      </c>
      <c r="H1032" s="41">
        <v>0</v>
      </c>
      <c r="I1032" s="41">
        <v>0</v>
      </c>
    </row>
    <row r="1033" spans="1:9" s="42" customFormat="1" x14ac:dyDescent="0.3">
      <c r="A1033" s="63"/>
      <c r="B1033" s="44" t="s">
        <v>33</v>
      </c>
      <c r="C1033" s="41">
        <f t="shared" si="259"/>
        <v>180</v>
      </c>
      <c r="D1033" s="41">
        <v>0</v>
      </c>
      <c r="E1033" s="41">
        <v>180</v>
      </c>
      <c r="F1033" s="41">
        <v>0</v>
      </c>
      <c r="G1033" s="41">
        <v>0</v>
      </c>
      <c r="H1033" s="41">
        <v>0</v>
      </c>
      <c r="I1033" s="41">
        <v>0</v>
      </c>
    </row>
    <row r="1034" spans="1:9" s="65" customFormat="1" ht="14.15" x14ac:dyDescent="0.3">
      <c r="A1034" s="323" t="s">
        <v>399</v>
      </c>
      <c r="B1034" s="40" t="s">
        <v>32</v>
      </c>
      <c r="C1034" s="41">
        <f t="shared" si="259"/>
        <v>42</v>
      </c>
      <c r="D1034" s="41">
        <v>0</v>
      </c>
      <c r="E1034" s="41">
        <v>42</v>
      </c>
      <c r="F1034" s="41">
        <v>0</v>
      </c>
      <c r="G1034" s="41">
        <v>0</v>
      </c>
      <c r="H1034" s="41">
        <v>0</v>
      </c>
      <c r="I1034" s="41">
        <v>0</v>
      </c>
    </row>
    <row r="1035" spans="1:9" s="42" customFormat="1" x14ac:dyDescent="0.3">
      <c r="A1035" s="63"/>
      <c r="B1035" s="44" t="s">
        <v>33</v>
      </c>
      <c r="C1035" s="41">
        <f t="shared" si="259"/>
        <v>42</v>
      </c>
      <c r="D1035" s="41">
        <v>0</v>
      </c>
      <c r="E1035" s="41">
        <v>42</v>
      </c>
      <c r="F1035" s="41">
        <v>0</v>
      </c>
      <c r="G1035" s="41">
        <v>0</v>
      </c>
      <c r="H1035" s="41">
        <v>0</v>
      </c>
      <c r="I1035" s="41">
        <v>0</v>
      </c>
    </row>
    <row r="1036" spans="1:9" s="65" customFormat="1" ht="14.15" x14ac:dyDescent="0.3">
      <c r="A1036" s="323" t="s">
        <v>400</v>
      </c>
      <c r="B1036" s="40" t="s">
        <v>32</v>
      </c>
      <c r="C1036" s="41">
        <f t="shared" si="259"/>
        <v>54</v>
      </c>
      <c r="D1036" s="41">
        <v>0</v>
      </c>
      <c r="E1036" s="41">
        <v>54</v>
      </c>
      <c r="F1036" s="41">
        <v>0</v>
      </c>
      <c r="G1036" s="41">
        <v>0</v>
      </c>
      <c r="H1036" s="41">
        <v>0</v>
      </c>
      <c r="I1036" s="41">
        <v>0</v>
      </c>
    </row>
    <row r="1037" spans="1:9" s="42" customFormat="1" x14ac:dyDescent="0.3">
      <c r="A1037" s="63"/>
      <c r="B1037" s="44" t="s">
        <v>33</v>
      </c>
      <c r="C1037" s="41">
        <f t="shared" si="259"/>
        <v>54</v>
      </c>
      <c r="D1037" s="41">
        <v>0</v>
      </c>
      <c r="E1037" s="41">
        <v>54</v>
      </c>
      <c r="F1037" s="41">
        <v>0</v>
      </c>
      <c r="G1037" s="41">
        <v>0</v>
      </c>
      <c r="H1037" s="41">
        <v>0</v>
      </c>
      <c r="I1037" s="41">
        <v>0</v>
      </c>
    </row>
    <row r="1038" spans="1:9" s="65" customFormat="1" ht="14.15" x14ac:dyDescent="0.3">
      <c r="A1038" s="323" t="s">
        <v>401</v>
      </c>
      <c r="B1038" s="40" t="s">
        <v>32</v>
      </c>
      <c r="C1038" s="41">
        <f t="shared" si="259"/>
        <v>28</v>
      </c>
      <c r="D1038" s="41">
        <v>0</v>
      </c>
      <c r="E1038" s="41">
        <v>28</v>
      </c>
      <c r="F1038" s="41">
        <v>0</v>
      </c>
      <c r="G1038" s="41">
        <v>0</v>
      </c>
      <c r="H1038" s="41">
        <v>0</v>
      </c>
      <c r="I1038" s="41">
        <v>0</v>
      </c>
    </row>
    <row r="1039" spans="1:9" s="42" customFormat="1" x14ac:dyDescent="0.3">
      <c r="A1039" s="63"/>
      <c r="B1039" s="44" t="s">
        <v>33</v>
      </c>
      <c r="C1039" s="41">
        <f t="shared" si="259"/>
        <v>28</v>
      </c>
      <c r="D1039" s="41">
        <v>0</v>
      </c>
      <c r="E1039" s="41">
        <v>28</v>
      </c>
      <c r="F1039" s="41">
        <v>0</v>
      </c>
      <c r="G1039" s="41">
        <v>0</v>
      </c>
      <c r="H1039" s="41">
        <v>0</v>
      </c>
      <c r="I1039" s="41">
        <v>0</v>
      </c>
    </row>
    <row r="1040" spans="1:9" s="65" customFormat="1" ht="14.15" x14ac:dyDescent="0.3">
      <c r="A1040" s="323" t="s">
        <v>402</v>
      </c>
      <c r="B1040" s="40" t="s">
        <v>32</v>
      </c>
      <c r="C1040" s="41">
        <f t="shared" si="259"/>
        <v>34</v>
      </c>
      <c r="D1040" s="41">
        <v>0</v>
      </c>
      <c r="E1040" s="41">
        <v>34</v>
      </c>
      <c r="F1040" s="41">
        <v>0</v>
      </c>
      <c r="G1040" s="41">
        <v>0</v>
      </c>
      <c r="H1040" s="41">
        <v>0</v>
      </c>
      <c r="I1040" s="41">
        <v>0</v>
      </c>
    </row>
    <row r="1041" spans="1:9" s="42" customFormat="1" x14ac:dyDescent="0.3">
      <c r="A1041" s="63"/>
      <c r="B1041" s="44" t="s">
        <v>33</v>
      </c>
      <c r="C1041" s="41">
        <f t="shared" si="259"/>
        <v>34</v>
      </c>
      <c r="D1041" s="41">
        <v>0</v>
      </c>
      <c r="E1041" s="41">
        <v>34</v>
      </c>
      <c r="F1041" s="41">
        <v>0</v>
      </c>
      <c r="G1041" s="41">
        <v>0</v>
      </c>
      <c r="H1041" s="41">
        <v>0</v>
      </c>
      <c r="I1041" s="41">
        <v>0</v>
      </c>
    </row>
    <row r="1042" spans="1:9" s="65" customFormat="1" ht="14.15" x14ac:dyDescent="0.3">
      <c r="A1042" s="323" t="s">
        <v>403</v>
      </c>
      <c r="B1042" s="40" t="s">
        <v>32</v>
      </c>
      <c r="C1042" s="41">
        <f t="shared" si="259"/>
        <v>18</v>
      </c>
      <c r="D1042" s="41">
        <v>0</v>
      </c>
      <c r="E1042" s="41">
        <v>18</v>
      </c>
      <c r="F1042" s="41">
        <v>0</v>
      </c>
      <c r="G1042" s="41">
        <v>0</v>
      </c>
      <c r="H1042" s="41">
        <v>0</v>
      </c>
      <c r="I1042" s="41">
        <v>0</v>
      </c>
    </row>
    <row r="1043" spans="1:9" s="42" customFormat="1" x14ac:dyDescent="0.3">
      <c r="A1043" s="63"/>
      <c r="B1043" s="44" t="s">
        <v>33</v>
      </c>
      <c r="C1043" s="41">
        <f t="shared" si="259"/>
        <v>18</v>
      </c>
      <c r="D1043" s="41">
        <v>0</v>
      </c>
      <c r="E1043" s="41">
        <v>18</v>
      </c>
      <c r="F1043" s="41">
        <v>0</v>
      </c>
      <c r="G1043" s="41">
        <v>0</v>
      </c>
      <c r="H1043" s="41">
        <v>0</v>
      </c>
      <c r="I1043" s="41">
        <v>0</v>
      </c>
    </row>
    <row r="1044" spans="1:9" s="65" customFormat="1" ht="14.15" x14ac:dyDescent="0.3">
      <c r="A1044" s="275" t="s">
        <v>404</v>
      </c>
      <c r="B1044" s="40" t="s">
        <v>32</v>
      </c>
      <c r="C1044" s="41">
        <f t="shared" si="259"/>
        <v>36</v>
      </c>
      <c r="D1044" s="41">
        <v>0</v>
      </c>
      <c r="E1044" s="41">
        <v>36</v>
      </c>
      <c r="F1044" s="41">
        <v>0</v>
      </c>
      <c r="G1044" s="41">
        <v>0</v>
      </c>
      <c r="H1044" s="41">
        <v>0</v>
      </c>
      <c r="I1044" s="41">
        <v>0</v>
      </c>
    </row>
    <row r="1045" spans="1:9" s="42" customFormat="1" x14ac:dyDescent="0.3">
      <c r="A1045" s="63"/>
      <c r="B1045" s="44" t="s">
        <v>33</v>
      </c>
      <c r="C1045" s="41">
        <f t="shared" si="259"/>
        <v>36</v>
      </c>
      <c r="D1045" s="41">
        <v>0</v>
      </c>
      <c r="E1045" s="41">
        <v>36</v>
      </c>
      <c r="F1045" s="41">
        <v>0</v>
      </c>
      <c r="G1045" s="41">
        <v>0</v>
      </c>
      <c r="H1045" s="41">
        <v>0</v>
      </c>
      <c r="I1045" s="41">
        <v>0</v>
      </c>
    </row>
    <row r="1046" spans="1:9" s="65" customFormat="1" ht="14.15" x14ac:dyDescent="0.3">
      <c r="A1046" s="323" t="s">
        <v>400</v>
      </c>
      <c r="B1046" s="40" t="s">
        <v>32</v>
      </c>
      <c r="C1046" s="41">
        <f t="shared" si="259"/>
        <v>26</v>
      </c>
      <c r="D1046" s="41">
        <v>0</v>
      </c>
      <c r="E1046" s="41">
        <v>26</v>
      </c>
      <c r="F1046" s="41">
        <v>0</v>
      </c>
      <c r="G1046" s="41">
        <v>0</v>
      </c>
      <c r="H1046" s="41">
        <v>0</v>
      </c>
      <c r="I1046" s="41">
        <v>0</v>
      </c>
    </row>
    <row r="1047" spans="1:9" s="42" customFormat="1" x14ac:dyDescent="0.3">
      <c r="A1047" s="63"/>
      <c r="B1047" s="44" t="s">
        <v>33</v>
      </c>
      <c r="C1047" s="41">
        <f t="shared" si="259"/>
        <v>26</v>
      </c>
      <c r="D1047" s="41">
        <v>0</v>
      </c>
      <c r="E1047" s="41">
        <v>26</v>
      </c>
      <c r="F1047" s="41">
        <v>0</v>
      </c>
      <c r="G1047" s="41">
        <v>0</v>
      </c>
      <c r="H1047" s="41">
        <v>0</v>
      </c>
      <c r="I1047" s="41">
        <v>0</v>
      </c>
    </row>
    <row r="1048" spans="1:9" s="126" customFormat="1" x14ac:dyDescent="0.3">
      <c r="A1048" s="308" t="s">
        <v>405</v>
      </c>
      <c r="B1048" s="124" t="s">
        <v>32</v>
      </c>
      <c r="C1048" s="122">
        <f t="shared" si="259"/>
        <v>1558.95</v>
      </c>
      <c r="D1048" s="122">
        <f>D1050+D1052+D1054+D1056+D1058+D1060+D1062+D1064+D1066+D1068+D1070+D1072+D1074+D1076+D1078+D1080+D1082+D1084+D1086</f>
        <v>93.95</v>
      </c>
      <c r="E1048" s="122">
        <f t="shared" ref="E1048:I1049" si="260">E1050+E1052+E1054+E1056+E1058+E1060+E1062+E1064+E1066+E1068+E1070+E1072+E1074+E1076+E1078+E1080+E1082+E1084+E1086</f>
        <v>1465</v>
      </c>
      <c r="F1048" s="122">
        <f t="shared" si="260"/>
        <v>0</v>
      </c>
      <c r="G1048" s="122">
        <f t="shared" si="260"/>
        <v>0</v>
      </c>
      <c r="H1048" s="122">
        <f t="shared" si="260"/>
        <v>0</v>
      </c>
      <c r="I1048" s="122">
        <f t="shared" si="260"/>
        <v>0</v>
      </c>
    </row>
    <row r="1049" spans="1:9" s="126" customFormat="1" x14ac:dyDescent="0.3">
      <c r="A1049" s="127"/>
      <c r="B1049" s="128" t="s">
        <v>33</v>
      </c>
      <c r="C1049" s="122">
        <f t="shared" si="259"/>
        <v>1558.95</v>
      </c>
      <c r="D1049" s="122">
        <f>D1051+D1053+D1055+D1057+D1059+D1061+D1063+D1065+D1067+D1069+D1071+D1073+D1075+D1077+D1079+D1081+D1083+D1085+D1087</f>
        <v>93.95</v>
      </c>
      <c r="E1049" s="122">
        <f t="shared" si="260"/>
        <v>1465</v>
      </c>
      <c r="F1049" s="122">
        <f t="shared" si="260"/>
        <v>0</v>
      </c>
      <c r="G1049" s="122">
        <f t="shared" si="260"/>
        <v>0</v>
      </c>
      <c r="H1049" s="122">
        <f t="shared" si="260"/>
        <v>0</v>
      </c>
      <c r="I1049" s="122">
        <f t="shared" si="260"/>
        <v>0</v>
      </c>
    </row>
    <row r="1050" spans="1:9" s="65" customFormat="1" ht="14.15" x14ac:dyDescent="0.35">
      <c r="A1050" s="317" t="s">
        <v>354</v>
      </c>
      <c r="B1050" s="40" t="s">
        <v>32</v>
      </c>
      <c r="C1050" s="41">
        <f t="shared" si="259"/>
        <v>23.12</v>
      </c>
      <c r="D1050" s="41">
        <v>23.12</v>
      </c>
      <c r="E1050" s="41">
        <v>0</v>
      </c>
      <c r="F1050" s="41">
        <v>0</v>
      </c>
      <c r="G1050" s="41">
        <v>0</v>
      </c>
      <c r="H1050" s="41">
        <v>0</v>
      </c>
      <c r="I1050" s="41">
        <v>0</v>
      </c>
    </row>
    <row r="1051" spans="1:9" s="42" customFormat="1" x14ac:dyDescent="0.3">
      <c r="A1051" s="63"/>
      <c r="B1051" s="44" t="s">
        <v>33</v>
      </c>
      <c r="C1051" s="41">
        <f t="shared" si="259"/>
        <v>23.12</v>
      </c>
      <c r="D1051" s="41">
        <v>23.12</v>
      </c>
      <c r="E1051" s="41">
        <v>0</v>
      </c>
      <c r="F1051" s="41">
        <v>0</v>
      </c>
      <c r="G1051" s="41">
        <v>0</v>
      </c>
      <c r="H1051" s="41">
        <v>0</v>
      </c>
      <c r="I1051" s="41">
        <v>0</v>
      </c>
    </row>
    <row r="1052" spans="1:9" s="65" customFormat="1" x14ac:dyDescent="0.3">
      <c r="A1052" s="325" t="s">
        <v>406</v>
      </c>
      <c r="B1052" s="40" t="s">
        <v>32</v>
      </c>
      <c r="C1052" s="41">
        <f t="shared" si="259"/>
        <v>2.78</v>
      </c>
      <c r="D1052" s="41">
        <v>2.78</v>
      </c>
      <c r="E1052" s="41">
        <v>0</v>
      </c>
      <c r="F1052" s="41">
        <v>0</v>
      </c>
      <c r="G1052" s="41">
        <v>0</v>
      </c>
      <c r="H1052" s="41">
        <v>0</v>
      </c>
      <c r="I1052" s="41">
        <v>0</v>
      </c>
    </row>
    <row r="1053" spans="1:9" s="42" customFormat="1" x14ac:dyDescent="0.3">
      <c r="A1053" s="63"/>
      <c r="B1053" s="44" t="s">
        <v>33</v>
      </c>
      <c r="C1053" s="41">
        <f t="shared" si="259"/>
        <v>2.78</v>
      </c>
      <c r="D1053" s="41">
        <v>2.78</v>
      </c>
      <c r="E1053" s="41">
        <v>0</v>
      </c>
      <c r="F1053" s="41">
        <v>0</v>
      </c>
      <c r="G1053" s="41">
        <v>0</v>
      </c>
      <c r="H1053" s="41">
        <v>0</v>
      </c>
      <c r="I1053" s="41">
        <v>0</v>
      </c>
    </row>
    <row r="1054" spans="1:9" s="65" customFormat="1" ht="14.15" x14ac:dyDescent="0.35">
      <c r="A1054" s="326" t="s">
        <v>407</v>
      </c>
      <c r="B1054" s="40" t="s">
        <v>32</v>
      </c>
      <c r="C1054" s="41">
        <f t="shared" si="259"/>
        <v>18.7</v>
      </c>
      <c r="D1054" s="41">
        <v>18.7</v>
      </c>
      <c r="E1054" s="41">
        <v>0</v>
      </c>
      <c r="F1054" s="41">
        <v>0</v>
      </c>
      <c r="G1054" s="41">
        <v>0</v>
      </c>
      <c r="H1054" s="41">
        <v>0</v>
      </c>
      <c r="I1054" s="41">
        <v>0</v>
      </c>
    </row>
    <row r="1055" spans="1:9" s="42" customFormat="1" x14ac:dyDescent="0.3">
      <c r="A1055" s="63"/>
      <c r="B1055" s="44" t="s">
        <v>33</v>
      </c>
      <c r="C1055" s="41">
        <f t="shared" si="259"/>
        <v>18.7</v>
      </c>
      <c r="D1055" s="41">
        <v>18.7</v>
      </c>
      <c r="E1055" s="41">
        <v>0</v>
      </c>
      <c r="F1055" s="41">
        <v>0</v>
      </c>
      <c r="G1055" s="41">
        <v>0</v>
      </c>
      <c r="H1055" s="41">
        <v>0</v>
      </c>
      <c r="I1055" s="41">
        <v>0</v>
      </c>
    </row>
    <row r="1056" spans="1:9" s="65" customFormat="1" ht="14.15" x14ac:dyDescent="0.35">
      <c r="A1056" s="327" t="s">
        <v>408</v>
      </c>
      <c r="B1056" s="40" t="s">
        <v>32</v>
      </c>
      <c r="C1056" s="41">
        <f t="shared" si="259"/>
        <v>44.27</v>
      </c>
      <c r="D1056" s="41">
        <v>44.27</v>
      </c>
      <c r="E1056" s="41">
        <v>0</v>
      </c>
      <c r="F1056" s="41">
        <v>0</v>
      </c>
      <c r="G1056" s="41">
        <v>0</v>
      </c>
      <c r="H1056" s="41">
        <v>0</v>
      </c>
      <c r="I1056" s="41">
        <v>0</v>
      </c>
    </row>
    <row r="1057" spans="1:9" s="42" customFormat="1" x14ac:dyDescent="0.3">
      <c r="A1057" s="63"/>
      <c r="B1057" s="44" t="s">
        <v>33</v>
      </c>
      <c r="C1057" s="41">
        <f t="shared" si="259"/>
        <v>44.27</v>
      </c>
      <c r="D1057" s="41">
        <v>44.27</v>
      </c>
      <c r="E1057" s="41">
        <v>0</v>
      </c>
      <c r="F1057" s="41">
        <v>0</v>
      </c>
      <c r="G1057" s="41">
        <v>0</v>
      </c>
      <c r="H1057" s="41">
        <v>0</v>
      </c>
      <c r="I1057" s="41">
        <v>0</v>
      </c>
    </row>
    <row r="1058" spans="1:9" s="65" customFormat="1" ht="13.5" customHeight="1" x14ac:dyDescent="0.35">
      <c r="A1058" s="327" t="s">
        <v>409</v>
      </c>
      <c r="B1058" s="40" t="s">
        <v>32</v>
      </c>
      <c r="C1058" s="41">
        <f t="shared" si="259"/>
        <v>5.08</v>
      </c>
      <c r="D1058" s="41">
        <v>5.08</v>
      </c>
      <c r="E1058" s="41">
        <v>0</v>
      </c>
      <c r="F1058" s="41">
        <v>0</v>
      </c>
      <c r="G1058" s="41">
        <v>0</v>
      </c>
      <c r="H1058" s="41">
        <v>0</v>
      </c>
      <c r="I1058" s="41">
        <v>0</v>
      </c>
    </row>
    <row r="1059" spans="1:9" s="42" customFormat="1" x14ac:dyDescent="0.3">
      <c r="A1059" s="63"/>
      <c r="B1059" s="44" t="s">
        <v>33</v>
      </c>
      <c r="C1059" s="41">
        <f t="shared" si="259"/>
        <v>5.08</v>
      </c>
      <c r="D1059" s="41">
        <v>5.08</v>
      </c>
      <c r="E1059" s="41">
        <v>0</v>
      </c>
      <c r="F1059" s="41">
        <v>0</v>
      </c>
      <c r="G1059" s="41">
        <v>0</v>
      </c>
      <c r="H1059" s="41">
        <v>0</v>
      </c>
      <c r="I1059" s="41">
        <v>0</v>
      </c>
    </row>
    <row r="1060" spans="1:9" s="65" customFormat="1" ht="28.3" x14ac:dyDescent="0.35">
      <c r="A1060" s="328" t="s">
        <v>410</v>
      </c>
      <c r="B1060" s="40" t="s">
        <v>32</v>
      </c>
      <c r="C1060" s="41">
        <f t="shared" si="259"/>
        <v>213</v>
      </c>
      <c r="D1060" s="41">
        <v>0</v>
      </c>
      <c r="E1060" s="41">
        <v>213</v>
      </c>
      <c r="F1060" s="41">
        <v>0</v>
      </c>
      <c r="G1060" s="41">
        <v>0</v>
      </c>
      <c r="H1060" s="41">
        <v>0</v>
      </c>
      <c r="I1060" s="41">
        <v>0</v>
      </c>
    </row>
    <row r="1061" spans="1:9" s="42" customFormat="1" x14ac:dyDescent="0.3">
      <c r="A1061" s="63"/>
      <c r="B1061" s="44" t="s">
        <v>33</v>
      </c>
      <c r="C1061" s="41">
        <f t="shared" si="259"/>
        <v>213</v>
      </c>
      <c r="D1061" s="41">
        <v>0</v>
      </c>
      <c r="E1061" s="41">
        <v>213</v>
      </c>
      <c r="F1061" s="41">
        <v>0</v>
      </c>
      <c r="G1061" s="41">
        <v>0</v>
      </c>
      <c r="H1061" s="41">
        <v>0</v>
      </c>
      <c r="I1061" s="41">
        <v>0</v>
      </c>
    </row>
    <row r="1062" spans="1:9" s="65" customFormat="1" ht="14.15" x14ac:dyDescent="0.35">
      <c r="A1062" s="328" t="s">
        <v>411</v>
      </c>
      <c r="B1062" s="40" t="s">
        <v>32</v>
      </c>
      <c r="C1062" s="41">
        <f t="shared" si="259"/>
        <v>200</v>
      </c>
      <c r="D1062" s="41">
        <v>0</v>
      </c>
      <c r="E1062" s="41">
        <v>200</v>
      </c>
      <c r="F1062" s="41">
        <v>0</v>
      </c>
      <c r="G1062" s="41">
        <v>0</v>
      </c>
      <c r="H1062" s="41">
        <v>0</v>
      </c>
      <c r="I1062" s="41">
        <v>0</v>
      </c>
    </row>
    <row r="1063" spans="1:9" s="42" customFormat="1" x14ac:dyDescent="0.3">
      <c r="A1063" s="63"/>
      <c r="B1063" s="44" t="s">
        <v>33</v>
      </c>
      <c r="C1063" s="41">
        <f t="shared" si="259"/>
        <v>200</v>
      </c>
      <c r="D1063" s="41">
        <v>0</v>
      </c>
      <c r="E1063" s="41">
        <v>200</v>
      </c>
      <c r="F1063" s="41">
        <v>0</v>
      </c>
      <c r="G1063" s="41">
        <v>0</v>
      </c>
      <c r="H1063" s="41">
        <v>0</v>
      </c>
      <c r="I1063" s="41">
        <v>0</v>
      </c>
    </row>
    <row r="1064" spans="1:9" s="65" customFormat="1" ht="14.15" x14ac:dyDescent="0.35">
      <c r="A1064" s="327" t="s">
        <v>412</v>
      </c>
      <c r="B1064" s="40" t="s">
        <v>32</v>
      </c>
      <c r="C1064" s="41">
        <f t="shared" si="259"/>
        <v>90</v>
      </c>
      <c r="D1064" s="41">
        <v>0</v>
      </c>
      <c r="E1064" s="41">
        <v>90</v>
      </c>
      <c r="F1064" s="41">
        <v>0</v>
      </c>
      <c r="G1064" s="41">
        <v>0</v>
      </c>
      <c r="H1064" s="41">
        <v>0</v>
      </c>
      <c r="I1064" s="41">
        <v>0</v>
      </c>
    </row>
    <row r="1065" spans="1:9" s="42" customFormat="1" x14ac:dyDescent="0.3">
      <c r="A1065" s="63"/>
      <c r="B1065" s="44" t="s">
        <v>33</v>
      </c>
      <c r="C1065" s="41">
        <f t="shared" si="259"/>
        <v>90</v>
      </c>
      <c r="D1065" s="41">
        <v>0</v>
      </c>
      <c r="E1065" s="41">
        <v>90</v>
      </c>
      <c r="F1065" s="41">
        <v>0</v>
      </c>
      <c r="G1065" s="41">
        <v>0</v>
      </c>
      <c r="H1065" s="41">
        <v>0</v>
      </c>
      <c r="I1065" s="41">
        <v>0</v>
      </c>
    </row>
    <row r="1066" spans="1:9" s="65" customFormat="1" ht="14.15" x14ac:dyDescent="0.35">
      <c r="A1066" s="328" t="s">
        <v>413</v>
      </c>
      <c r="B1066" s="40" t="s">
        <v>32</v>
      </c>
      <c r="C1066" s="41">
        <f t="shared" si="259"/>
        <v>700</v>
      </c>
      <c r="D1066" s="41">
        <v>0</v>
      </c>
      <c r="E1066" s="41">
        <v>700</v>
      </c>
      <c r="F1066" s="41">
        <v>0</v>
      </c>
      <c r="G1066" s="41">
        <v>0</v>
      </c>
      <c r="H1066" s="41">
        <v>0</v>
      </c>
      <c r="I1066" s="41">
        <v>0</v>
      </c>
    </row>
    <row r="1067" spans="1:9" s="42" customFormat="1" x14ac:dyDescent="0.3">
      <c r="A1067" s="63"/>
      <c r="B1067" s="44" t="s">
        <v>33</v>
      </c>
      <c r="C1067" s="41">
        <f t="shared" si="259"/>
        <v>700</v>
      </c>
      <c r="D1067" s="41">
        <v>0</v>
      </c>
      <c r="E1067" s="41">
        <v>700</v>
      </c>
      <c r="F1067" s="41">
        <v>0</v>
      </c>
      <c r="G1067" s="41">
        <v>0</v>
      </c>
      <c r="H1067" s="41">
        <v>0</v>
      </c>
      <c r="I1067" s="41">
        <v>0</v>
      </c>
    </row>
    <row r="1068" spans="1:9" s="65" customFormat="1" ht="14.15" x14ac:dyDescent="0.35">
      <c r="A1068" s="328" t="s">
        <v>414</v>
      </c>
      <c r="B1068" s="40" t="s">
        <v>32</v>
      </c>
      <c r="C1068" s="41">
        <f t="shared" si="259"/>
        <v>10</v>
      </c>
      <c r="D1068" s="41">
        <v>0</v>
      </c>
      <c r="E1068" s="41">
        <v>10</v>
      </c>
      <c r="F1068" s="41">
        <v>0</v>
      </c>
      <c r="G1068" s="41">
        <v>0</v>
      </c>
      <c r="H1068" s="41">
        <v>0</v>
      </c>
      <c r="I1068" s="41">
        <v>0</v>
      </c>
    </row>
    <row r="1069" spans="1:9" s="42" customFormat="1" x14ac:dyDescent="0.3">
      <c r="A1069" s="63"/>
      <c r="B1069" s="44" t="s">
        <v>33</v>
      </c>
      <c r="C1069" s="41">
        <f t="shared" si="259"/>
        <v>10</v>
      </c>
      <c r="D1069" s="41">
        <v>0</v>
      </c>
      <c r="E1069" s="41">
        <v>10</v>
      </c>
      <c r="F1069" s="41">
        <v>0</v>
      </c>
      <c r="G1069" s="41">
        <v>0</v>
      </c>
      <c r="H1069" s="41">
        <v>0</v>
      </c>
      <c r="I1069" s="41">
        <v>0</v>
      </c>
    </row>
    <row r="1070" spans="1:9" s="65" customFormat="1" ht="14.15" x14ac:dyDescent="0.35">
      <c r="A1070" s="328" t="s">
        <v>415</v>
      </c>
      <c r="B1070" s="40" t="s">
        <v>32</v>
      </c>
      <c r="C1070" s="41">
        <f t="shared" si="259"/>
        <v>5</v>
      </c>
      <c r="D1070" s="41">
        <v>0</v>
      </c>
      <c r="E1070" s="41">
        <v>5</v>
      </c>
      <c r="F1070" s="41">
        <v>0</v>
      </c>
      <c r="G1070" s="41">
        <v>0</v>
      </c>
      <c r="H1070" s="41">
        <v>0</v>
      </c>
      <c r="I1070" s="41">
        <v>0</v>
      </c>
    </row>
    <row r="1071" spans="1:9" s="42" customFormat="1" x14ac:dyDescent="0.3">
      <c r="A1071" s="63"/>
      <c r="B1071" s="44" t="s">
        <v>33</v>
      </c>
      <c r="C1071" s="41">
        <f t="shared" si="259"/>
        <v>5</v>
      </c>
      <c r="D1071" s="41">
        <v>0</v>
      </c>
      <c r="E1071" s="41">
        <v>5</v>
      </c>
      <c r="F1071" s="41">
        <v>0</v>
      </c>
      <c r="G1071" s="41">
        <v>0</v>
      </c>
      <c r="H1071" s="41">
        <v>0</v>
      </c>
      <c r="I1071" s="41">
        <v>0</v>
      </c>
    </row>
    <row r="1072" spans="1:9" s="65" customFormat="1" ht="14.15" x14ac:dyDescent="0.35">
      <c r="A1072" s="328" t="s">
        <v>416</v>
      </c>
      <c r="B1072" s="40" t="s">
        <v>32</v>
      </c>
      <c r="C1072" s="41">
        <f t="shared" si="259"/>
        <v>37</v>
      </c>
      <c r="D1072" s="41">
        <v>0</v>
      </c>
      <c r="E1072" s="41">
        <v>37</v>
      </c>
      <c r="F1072" s="41">
        <v>0</v>
      </c>
      <c r="G1072" s="41">
        <v>0</v>
      </c>
      <c r="H1072" s="41">
        <v>0</v>
      </c>
      <c r="I1072" s="41">
        <v>0</v>
      </c>
    </row>
    <row r="1073" spans="1:9" s="42" customFormat="1" x14ac:dyDescent="0.3">
      <c r="A1073" s="63"/>
      <c r="B1073" s="44" t="s">
        <v>33</v>
      </c>
      <c r="C1073" s="41">
        <f t="shared" si="259"/>
        <v>37</v>
      </c>
      <c r="D1073" s="41">
        <v>0</v>
      </c>
      <c r="E1073" s="41">
        <v>37</v>
      </c>
      <c r="F1073" s="41">
        <v>0</v>
      </c>
      <c r="G1073" s="41">
        <v>0</v>
      </c>
      <c r="H1073" s="41">
        <v>0</v>
      </c>
      <c r="I1073" s="41">
        <v>0</v>
      </c>
    </row>
    <row r="1074" spans="1:9" s="65" customFormat="1" ht="13.5" customHeight="1" x14ac:dyDescent="0.35">
      <c r="A1074" s="327" t="s">
        <v>417</v>
      </c>
      <c r="B1074" s="40" t="s">
        <v>32</v>
      </c>
      <c r="C1074" s="41">
        <f t="shared" si="259"/>
        <v>25</v>
      </c>
      <c r="D1074" s="41">
        <v>0</v>
      </c>
      <c r="E1074" s="41">
        <v>25</v>
      </c>
      <c r="F1074" s="41">
        <v>0</v>
      </c>
      <c r="G1074" s="41">
        <v>0</v>
      </c>
      <c r="H1074" s="41">
        <v>0</v>
      </c>
      <c r="I1074" s="41">
        <v>0</v>
      </c>
    </row>
    <row r="1075" spans="1:9" s="42" customFormat="1" x14ac:dyDescent="0.3">
      <c r="A1075" s="63"/>
      <c r="B1075" s="44" t="s">
        <v>33</v>
      </c>
      <c r="C1075" s="41">
        <f t="shared" si="259"/>
        <v>25</v>
      </c>
      <c r="D1075" s="41">
        <v>0</v>
      </c>
      <c r="E1075" s="41">
        <v>25</v>
      </c>
      <c r="F1075" s="41">
        <v>0</v>
      </c>
      <c r="G1075" s="41">
        <v>0</v>
      </c>
      <c r="H1075" s="41">
        <v>0</v>
      </c>
      <c r="I1075" s="41">
        <v>0</v>
      </c>
    </row>
    <row r="1076" spans="1:9" s="65" customFormat="1" ht="14.15" x14ac:dyDescent="0.35">
      <c r="A1076" s="328" t="s">
        <v>418</v>
      </c>
      <c r="B1076" s="40" t="s">
        <v>32</v>
      </c>
      <c r="C1076" s="41">
        <f t="shared" si="259"/>
        <v>50</v>
      </c>
      <c r="D1076" s="41">
        <v>0</v>
      </c>
      <c r="E1076" s="41">
        <v>50</v>
      </c>
      <c r="F1076" s="41">
        <v>0</v>
      </c>
      <c r="G1076" s="41">
        <v>0</v>
      </c>
      <c r="H1076" s="41">
        <v>0</v>
      </c>
      <c r="I1076" s="41">
        <v>0</v>
      </c>
    </row>
    <row r="1077" spans="1:9" s="42" customFormat="1" x14ac:dyDescent="0.3">
      <c r="A1077" s="63"/>
      <c r="B1077" s="44" t="s">
        <v>33</v>
      </c>
      <c r="C1077" s="41">
        <f t="shared" si="259"/>
        <v>50</v>
      </c>
      <c r="D1077" s="41">
        <v>0</v>
      </c>
      <c r="E1077" s="41">
        <v>50</v>
      </c>
      <c r="F1077" s="41">
        <v>0</v>
      </c>
      <c r="G1077" s="41">
        <v>0</v>
      </c>
      <c r="H1077" s="41">
        <v>0</v>
      </c>
      <c r="I1077" s="41">
        <v>0</v>
      </c>
    </row>
    <row r="1078" spans="1:9" s="65" customFormat="1" ht="14.15" x14ac:dyDescent="0.35">
      <c r="A1078" s="328" t="s">
        <v>419</v>
      </c>
      <c r="B1078" s="40" t="s">
        <v>32</v>
      </c>
      <c r="C1078" s="41">
        <f t="shared" si="259"/>
        <v>5</v>
      </c>
      <c r="D1078" s="41">
        <v>0</v>
      </c>
      <c r="E1078" s="41">
        <v>5</v>
      </c>
      <c r="F1078" s="41">
        <v>0</v>
      </c>
      <c r="G1078" s="41">
        <v>0</v>
      </c>
      <c r="H1078" s="41">
        <v>0</v>
      </c>
      <c r="I1078" s="41">
        <v>0</v>
      </c>
    </row>
    <row r="1079" spans="1:9" s="42" customFormat="1" x14ac:dyDescent="0.3">
      <c r="A1079" s="63"/>
      <c r="B1079" s="44" t="s">
        <v>33</v>
      </c>
      <c r="C1079" s="41">
        <f t="shared" si="259"/>
        <v>5</v>
      </c>
      <c r="D1079" s="41">
        <v>0</v>
      </c>
      <c r="E1079" s="41">
        <v>5</v>
      </c>
      <c r="F1079" s="41">
        <v>0</v>
      </c>
      <c r="G1079" s="41">
        <v>0</v>
      </c>
      <c r="H1079" s="41">
        <v>0</v>
      </c>
      <c r="I1079" s="41">
        <v>0</v>
      </c>
    </row>
    <row r="1080" spans="1:9" s="65" customFormat="1" ht="14.15" x14ac:dyDescent="0.35">
      <c r="A1080" s="328" t="s">
        <v>420</v>
      </c>
      <c r="B1080" s="40" t="s">
        <v>32</v>
      </c>
      <c r="C1080" s="41">
        <f t="shared" si="259"/>
        <v>5</v>
      </c>
      <c r="D1080" s="41">
        <v>0</v>
      </c>
      <c r="E1080" s="41">
        <v>5</v>
      </c>
      <c r="F1080" s="41">
        <v>0</v>
      </c>
      <c r="G1080" s="41">
        <v>0</v>
      </c>
      <c r="H1080" s="41">
        <v>0</v>
      </c>
      <c r="I1080" s="41">
        <v>0</v>
      </c>
    </row>
    <row r="1081" spans="1:9" s="42" customFormat="1" x14ac:dyDescent="0.3">
      <c r="A1081" s="63"/>
      <c r="B1081" s="44" t="s">
        <v>33</v>
      </c>
      <c r="C1081" s="41">
        <f t="shared" si="259"/>
        <v>5</v>
      </c>
      <c r="D1081" s="41">
        <v>0</v>
      </c>
      <c r="E1081" s="41">
        <v>5</v>
      </c>
      <c r="F1081" s="41">
        <v>0</v>
      </c>
      <c r="G1081" s="41">
        <v>0</v>
      </c>
      <c r="H1081" s="41">
        <v>0</v>
      </c>
      <c r="I1081" s="41">
        <v>0</v>
      </c>
    </row>
    <row r="1082" spans="1:9" s="65" customFormat="1" ht="14.15" x14ac:dyDescent="0.35">
      <c r="A1082" s="328" t="s">
        <v>421</v>
      </c>
      <c r="B1082" s="40" t="s">
        <v>32</v>
      </c>
      <c r="C1082" s="41">
        <f t="shared" si="259"/>
        <v>5</v>
      </c>
      <c r="D1082" s="41">
        <v>0</v>
      </c>
      <c r="E1082" s="41">
        <v>5</v>
      </c>
      <c r="F1082" s="41">
        <v>0</v>
      </c>
      <c r="G1082" s="41">
        <v>0</v>
      </c>
      <c r="H1082" s="41">
        <v>0</v>
      </c>
      <c r="I1082" s="41">
        <v>0</v>
      </c>
    </row>
    <row r="1083" spans="1:9" s="42" customFormat="1" x14ac:dyDescent="0.3">
      <c r="A1083" s="63"/>
      <c r="B1083" s="44" t="s">
        <v>33</v>
      </c>
      <c r="C1083" s="41">
        <f t="shared" si="259"/>
        <v>5</v>
      </c>
      <c r="D1083" s="41">
        <v>0</v>
      </c>
      <c r="E1083" s="41">
        <v>5</v>
      </c>
      <c r="F1083" s="41">
        <v>0</v>
      </c>
      <c r="G1083" s="41">
        <v>0</v>
      </c>
      <c r="H1083" s="41">
        <v>0</v>
      </c>
      <c r="I1083" s="41">
        <v>0</v>
      </c>
    </row>
    <row r="1084" spans="1:9" s="65" customFormat="1" ht="14.15" x14ac:dyDescent="0.3">
      <c r="A1084" s="314" t="s">
        <v>422</v>
      </c>
      <c r="B1084" s="40" t="s">
        <v>32</v>
      </c>
      <c r="C1084" s="41">
        <f t="shared" si="259"/>
        <v>110</v>
      </c>
      <c r="D1084" s="41">
        <v>0</v>
      </c>
      <c r="E1084" s="41">
        <v>110</v>
      </c>
      <c r="F1084" s="41">
        <v>0</v>
      </c>
      <c r="G1084" s="41">
        <v>0</v>
      </c>
      <c r="H1084" s="41">
        <v>0</v>
      </c>
      <c r="I1084" s="41">
        <v>0</v>
      </c>
    </row>
    <row r="1085" spans="1:9" s="42" customFormat="1" x14ac:dyDescent="0.3">
      <c r="A1085" s="63"/>
      <c r="B1085" s="44" t="s">
        <v>33</v>
      </c>
      <c r="C1085" s="41">
        <f t="shared" si="259"/>
        <v>110</v>
      </c>
      <c r="D1085" s="41">
        <v>0</v>
      </c>
      <c r="E1085" s="41">
        <v>110</v>
      </c>
      <c r="F1085" s="41">
        <v>0</v>
      </c>
      <c r="G1085" s="41">
        <v>0</v>
      </c>
      <c r="H1085" s="41">
        <v>0</v>
      </c>
      <c r="I1085" s="41">
        <v>0</v>
      </c>
    </row>
    <row r="1086" spans="1:9" s="65" customFormat="1" ht="14.15" x14ac:dyDescent="0.35">
      <c r="A1086" s="317" t="s">
        <v>423</v>
      </c>
      <c r="B1086" s="40" t="s">
        <v>32</v>
      </c>
      <c r="C1086" s="41">
        <f t="shared" si="259"/>
        <v>10</v>
      </c>
      <c r="D1086" s="41">
        <v>0</v>
      </c>
      <c r="E1086" s="41">
        <v>10</v>
      </c>
      <c r="F1086" s="41">
        <v>0</v>
      </c>
      <c r="G1086" s="41">
        <v>0</v>
      </c>
      <c r="H1086" s="41">
        <v>0</v>
      </c>
      <c r="I1086" s="41">
        <v>0</v>
      </c>
    </row>
    <row r="1087" spans="1:9" s="42" customFormat="1" x14ac:dyDescent="0.3">
      <c r="A1087" s="63"/>
      <c r="B1087" s="44" t="s">
        <v>33</v>
      </c>
      <c r="C1087" s="41">
        <f t="shared" si="259"/>
        <v>10</v>
      </c>
      <c r="D1087" s="41">
        <v>0</v>
      </c>
      <c r="E1087" s="41">
        <v>10</v>
      </c>
      <c r="F1087" s="41">
        <v>0</v>
      </c>
      <c r="G1087" s="41">
        <v>0</v>
      </c>
      <c r="H1087" s="41">
        <v>0</v>
      </c>
      <c r="I1087" s="41">
        <v>0</v>
      </c>
    </row>
    <row r="1088" spans="1:9" s="126" customFormat="1" x14ac:dyDescent="0.3">
      <c r="A1088" s="308" t="s">
        <v>424</v>
      </c>
      <c r="B1088" s="124" t="s">
        <v>32</v>
      </c>
      <c r="C1088" s="122">
        <f t="shared" si="259"/>
        <v>36</v>
      </c>
      <c r="D1088" s="122">
        <f>D1104+D1106</f>
        <v>0</v>
      </c>
      <c r="E1088" s="122">
        <f t="shared" ref="E1088:I1089" si="261">E1104+E1106</f>
        <v>36</v>
      </c>
      <c r="F1088" s="122">
        <f t="shared" si="261"/>
        <v>0</v>
      </c>
      <c r="G1088" s="122">
        <f t="shared" si="261"/>
        <v>0</v>
      </c>
      <c r="H1088" s="122">
        <f t="shared" si="261"/>
        <v>0</v>
      </c>
      <c r="I1088" s="122">
        <f t="shared" si="261"/>
        <v>0</v>
      </c>
    </row>
    <row r="1089" spans="1:9" s="126" customFormat="1" x14ac:dyDescent="0.3">
      <c r="A1089" s="127"/>
      <c r="B1089" s="128" t="s">
        <v>33</v>
      </c>
      <c r="C1089" s="122">
        <f t="shared" si="259"/>
        <v>36</v>
      </c>
      <c r="D1089" s="122">
        <f>D1105+D1107</f>
        <v>0</v>
      </c>
      <c r="E1089" s="122">
        <f t="shared" si="261"/>
        <v>36</v>
      </c>
      <c r="F1089" s="122">
        <f t="shared" si="261"/>
        <v>0</v>
      </c>
      <c r="G1089" s="122">
        <f t="shared" si="261"/>
        <v>0</v>
      </c>
      <c r="H1089" s="122">
        <f t="shared" si="261"/>
        <v>0</v>
      </c>
      <c r="I1089" s="122">
        <f t="shared" si="261"/>
        <v>0</v>
      </c>
    </row>
    <row r="1090" spans="1:9" s="260" customFormat="1" hidden="1" x14ac:dyDescent="0.3">
      <c r="A1090" s="329" t="s">
        <v>44</v>
      </c>
      <c r="B1090" s="262" t="s">
        <v>32</v>
      </c>
      <c r="C1090" s="179" t="e">
        <f t="shared" si="259"/>
        <v>#REF!</v>
      </c>
      <c r="D1090" s="122" t="e">
        <f>#REF!+#REF!+#REF!+#REF!+#REF!+#REF!+#REF!+#REF!+D1108</f>
        <v>#REF!</v>
      </c>
      <c r="E1090" s="143">
        <f t="shared" ref="E1090:E1103" si="262">100+49</f>
        <v>149</v>
      </c>
      <c r="F1090" s="179">
        <f t="shared" ref="F1090:I1091" si="263">F1092</f>
        <v>0</v>
      </c>
      <c r="G1090" s="179">
        <f t="shared" si="263"/>
        <v>0</v>
      </c>
      <c r="H1090" s="179">
        <f t="shared" si="263"/>
        <v>0</v>
      </c>
      <c r="I1090" s="179">
        <f t="shared" si="263"/>
        <v>0</v>
      </c>
    </row>
    <row r="1091" spans="1:9" s="260" customFormat="1" hidden="1" x14ac:dyDescent="0.3">
      <c r="A1091" s="302"/>
      <c r="B1091" s="263" t="s">
        <v>33</v>
      </c>
      <c r="C1091" s="179" t="e">
        <f t="shared" si="259"/>
        <v>#REF!</v>
      </c>
      <c r="D1091" s="122" t="e">
        <f>#REF!+#REF!+#REF!+#REF!+#REF!+#REF!+#REF!+#REF!+D1109</f>
        <v>#REF!</v>
      </c>
      <c r="E1091" s="143">
        <f t="shared" si="262"/>
        <v>149</v>
      </c>
      <c r="F1091" s="179">
        <f t="shared" si="263"/>
        <v>0</v>
      </c>
      <c r="G1091" s="179">
        <f t="shared" si="263"/>
        <v>0</v>
      </c>
      <c r="H1091" s="179">
        <f t="shared" si="263"/>
        <v>0</v>
      </c>
      <c r="I1091" s="179">
        <f t="shared" si="263"/>
        <v>0</v>
      </c>
    </row>
    <row r="1092" spans="1:9" s="260" customFormat="1" hidden="1" x14ac:dyDescent="0.3">
      <c r="A1092" s="178" t="s">
        <v>425</v>
      </c>
      <c r="B1092" s="150" t="s">
        <v>32</v>
      </c>
      <c r="C1092" s="179" t="e">
        <f t="shared" si="259"/>
        <v>#REF!</v>
      </c>
      <c r="D1092" s="122" t="e">
        <f>#REF!+#REF!+#REF!+#REF!+#REF!+#REF!+#REF!+D1108+#REF!</f>
        <v>#REF!</v>
      </c>
      <c r="E1092" s="143">
        <f t="shared" si="262"/>
        <v>149</v>
      </c>
      <c r="F1092" s="179">
        <v>0</v>
      </c>
      <c r="G1092" s="179">
        <v>0</v>
      </c>
      <c r="H1092" s="179">
        <v>0</v>
      </c>
      <c r="I1092" s="179">
        <v>0</v>
      </c>
    </row>
    <row r="1093" spans="1:9" s="260" customFormat="1" hidden="1" x14ac:dyDescent="0.3">
      <c r="A1093" s="268"/>
      <c r="B1093" s="99" t="s">
        <v>33</v>
      </c>
      <c r="C1093" s="179" t="e">
        <f t="shared" si="259"/>
        <v>#REF!</v>
      </c>
      <c r="D1093" s="122" t="e">
        <f>#REF!+#REF!+#REF!+#REF!+#REF!+#REF!+#REF!+D1109+#REF!</f>
        <v>#REF!</v>
      </c>
      <c r="E1093" s="143">
        <f t="shared" si="262"/>
        <v>149</v>
      </c>
      <c r="F1093" s="179">
        <v>0</v>
      </c>
      <c r="G1093" s="179">
        <v>0</v>
      </c>
      <c r="H1093" s="179">
        <v>0</v>
      </c>
      <c r="I1093" s="179">
        <v>0</v>
      </c>
    </row>
    <row r="1094" spans="1:9" s="260" customFormat="1" hidden="1" x14ac:dyDescent="0.3">
      <c r="A1094" s="329" t="s">
        <v>45</v>
      </c>
      <c r="B1094" s="262" t="s">
        <v>32</v>
      </c>
      <c r="C1094" s="179" t="e">
        <f t="shared" si="259"/>
        <v>#REF!</v>
      </c>
      <c r="D1094" s="122" t="e">
        <f>#REF!+#REF!+#REF!+#REF!+#REF!+#REF!+D1108+#REF!+#REF!</f>
        <v>#REF!</v>
      </c>
      <c r="E1094" s="143">
        <f t="shared" si="262"/>
        <v>149</v>
      </c>
      <c r="F1094" s="179">
        <f t="shared" ref="F1094:I1095" si="264">F1096+F1098+F1100+F1102</f>
        <v>0</v>
      </c>
      <c r="G1094" s="179">
        <f t="shared" si="264"/>
        <v>0</v>
      </c>
      <c r="H1094" s="179">
        <f t="shared" si="264"/>
        <v>0</v>
      </c>
      <c r="I1094" s="179">
        <f t="shared" si="264"/>
        <v>0</v>
      </c>
    </row>
    <row r="1095" spans="1:9" s="260" customFormat="1" hidden="1" x14ac:dyDescent="0.3">
      <c r="A1095" s="302"/>
      <c r="B1095" s="263" t="s">
        <v>33</v>
      </c>
      <c r="C1095" s="179" t="e">
        <f t="shared" si="259"/>
        <v>#REF!</v>
      </c>
      <c r="D1095" s="122" t="e">
        <f>#REF!+#REF!+#REF!+#REF!+#REF!+#REF!+D1109+#REF!+#REF!</f>
        <v>#REF!</v>
      </c>
      <c r="E1095" s="143">
        <f t="shared" si="262"/>
        <v>149</v>
      </c>
      <c r="F1095" s="179">
        <f t="shared" si="264"/>
        <v>0</v>
      </c>
      <c r="G1095" s="179">
        <f t="shared" si="264"/>
        <v>0</v>
      </c>
      <c r="H1095" s="179">
        <f t="shared" si="264"/>
        <v>0</v>
      </c>
      <c r="I1095" s="179">
        <f t="shared" si="264"/>
        <v>0</v>
      </c>
    </row>
    <row r="1096" spans="1:9" s="260" customFormat="1" hidden="1" x14ac:dyDescent="0.3">
      <c r="A1096" s="178" t="s">
        <v>425</v>
      </c>
      <c r="B1096" s="150" t="s">
        <v>32</v>
      </c>
      <c r="C1096" s="179" t="e">
        <f t="shared" si="259"/>
        <v>#REF!</v>
      </c>
      <c r="D1096" s="122" t="e">
        <f>#REF!+#REF!+#REF!+#REF!+#REF!+D1108+#REF!+#REF!+#REF!</f>
        <v>#REF!</v>
      </c>
      <c r="E1096" s="143">
        <f t="shared" si="262"/>
        <v>149</v>
      </c>
      <c r="F1096" s="179">
        <v>0</v>
      </c>
      <c r="G1096" s="179">
        <v>0</v>
      </c>
      <c r="H1096" s="179">
        <v>0</v>
      </c>
      <c r="I1096" s="179">
        <v>0</v>
      </c>
    </row>
    <row r="1097" spans="1:9" s="260" customFormat="1" hidden="1" x14ac:dyDescent="0.3">
      <c r="A1097" s="268"/>
      <c r="B1097" s="99" t="s">
        <v>33</v>
      </c>
      <c r="C1097" s="179" t="e">
        <f t="shared" si="259"/>
        <v>#REF!</v>
      </c>
      <c r="D1097" s="122" t="e">
        <f>#REF!+#REF!+#REF!+#REF!+#REF!+D1109+#REF!+#REF!+#REF!</f>
        <v>#REF!</v>
      </c>
      <c r="E1097" s="143">
        <f t="shared" si="262"/>
        <v>149</v>
      </c>
      <c r="F1097" s="179">
        <v>0</v>
      </c>
      <c r="G1097" s="179">
        <v>0</v>
      </c>
      <c r="H1097" s="179">
        <v>0</v>
      </c>
      <c r="I1097" s="179">
        <v>0</v>
      </c>
    </row>
    <row r="1098" spans="1:9" s="260" customFormat="1" hidden="1" x14ac:dyDescent="0.3">
      <c r="A1098" s="267" t="s">
        <v>426</v>
      </c>
      <c r="B1098" s="155" t="s">
        <v>32</v>
      </c>
      <c r="C1098" s="179" t="e">
        <f t="shared" si="259"/>
        <v>#REF!</v>
      </c>
      <c r="D1098" s="122" t="e">
        <f>#REF!+#REF!+#REF!+#REF!+D1108+#REF!+#REF!+#REF!+#REF!</f>
        <v>#REF!</v>
      </c>
      <c r="E1098" s="143">
        <f t="shared" si="262"/>
        <v>149</v>
      </c>
      <c r="F1098" s="179">
        <v>0</v>
      </c>
      <c r="G1098" s="179">
        <v>0</v>
      </c>
      <c r="H1098" s="179">
        <v>0</v>
      </c>
      <c r="I1098" s="179">
        <v>0</v>
      </c>
    </row>
    <row r="1099" spans="1:9" s="260" customFormat="1" hidden="1" x14ac:dyDescent="0.3">
      <c r="A1099" s="268"/>
      <c r="B1099" s="99" t="s">
        <v>33</v>
      </c>
      <c r="C1099" s="179" t="e">
        <f t="shared" si="259"/>
        <v>#REF!</v>
      </c>
      <c r="D1099" s="122" t="e">
        <f>#REF!+#REF!+#REF!+#REF!+D1109+#REF!+#REF!+#REF!+#REF!</f>
        <v>#REF!</v>
      </c>
      <c r="E1099" s="143">
        <f t="shared" si="262"/>
        <v>149</v>
      </c>
      <c r="F1099" s="179">
        <v>0</v>
      </c>
      <c r="G1099" s="179">
        <v>0</v>
      </c>
      <c r="H1099" s="179">
        <v>0</v>
      </c>
      <c r="I1099" s="179">
        <v>0</v>
      </c>
    </row>
    <row r="1100" spans="1:9" s="260" customFormat="1" hidden="1" x14ac:dyDescent="0.3">
      <c r="A1100" s="178" t="s">
        <v>427</v>
      </c>
      <c r="B1100" s="150" t="s">
        <v>32</v>
      </c>
      <c r="C1100" s="179" t="e">
        <f t="shared" si="259"/>
        <v>#REF!</v>
      </c>
      <c r="D1100" s="122" t="e">
        <f>#REF!+#REF!+#REF!+D1108+#REF!+#REF!+#REF!+#REF!+#REF!</f>
        <v>#REF!</v>
      </c>
      <c r="E1100" s="143">
        <f t="shared" si="262"/>
        <v>149</v>
      </c>
      <c r="F1100" s="179">
        <v>0</v>
      </c>
      <c r="G1100" s="179">
        <v>0</v>
      </c>
      <c r="H1100" s="179">
        <v>0</v>
      </c>
      <c r="I1100" s="179">
        <v>0</v>
      </c>
    </row>
    <row r="1101" spans="1:9" s="260" customFormat="1" hidden="1" x14ac:dyDescent="0.3">
      <c r="A1101" s="268"/>
      <c r="B1101" s="99" t="s">
        <v>33</v>
      </c>
      <c r="C1101" s="179" t="e">
        <f t="shared" si="259"/>
        <v>#REF!</v>
      </c>
      <c r="D1101" s="122" t="e">
        <f>#REF!+#REF!+#REF!+D1109+#REF!+#REF!+#REF!+#REF!+#REF!</f>
        <v>#REF!</v>
      </c>
      <c r="E1101" s="143">
        <f t="shared" si="262"/>
        <v>149</v>
      </c>
      <c r="F1101" s="179">
        <v>0</v>
      </c>
      <c r="G1101" s="179">
        <v>0</v>
      </c>
      <c r="H1101" s="179">
        <v>0</v>
      </c>
      <c r="I1101" s="179">
        <v>0</v>
      </c>
    </row>
    <row r="1102" spans="1:9" s="100" customFormat="1" hidden="1" x14ac:dyDescent="0.3">
      <c r="A1102" s="178" t="s">
        <v>428</v>
      </c>
      <c r="B1102" s="155" t="s">
        <v>32</v>
      </c>
      <c r="C1102" s="97" t="e">
        <f t="shared" si="259"/>
        <v>#REF!</v>
      </c>
      <c r="D1102" s="122" t="e">
        <f>#REF!+#REF!+D1108+#REF!+#REF!+#REF!+#REF!+#REF!+#REF!</f>
        <v>#REF!</v>
      </c>
      <c r="E1102" s="143">
        <f t="shared" si="262"/>
        <v>149</v>
      </c>
      <c r="F1102" s="97">
        <v>0</v>
      </c>
      <c r="G1102" s="97">
        <v>0</v>
      </c>
      <c r="H1102" s="97">
        <v>0</v>
      </c>
      <c r="I1102" s="97">
        <v>0</v>
      </c>
    </row>
    <row r="1103" spans="1:9" s="100" customFormat="1" hidden="1" x14ac:dyDescent="0.3">
      <c r="A1103" s="130"/>
      <c r="B1103" s="99" t="s">
        <v>33</v>
      </c>
      <c r="C1103" s="97" t="e">
        <f t="shared" si="259"/>
        <v>#REF!</v>
      </c>
      <c r="D1103" s="122" t="e">
        <f>#REF!+#REF!+D1109+#REF!+#REF!+#REF!+#REF!+#REF!+#REF!</f>
        <v>#REF!</v>
      </c>
      <c r="E1103" s="143">
        <f t="shared" si="262"/>
        <v>149</v>
      </c>
      <c r="F1103" s="97">
        <v>0</v>
      </c>
      <c r="G1103" s="97">
        <v>0</v>
      </c>
      <c r="H1103" s="97">
        <v>0</v>
      </c>
      <c r="I1103" s="97">
        <v>0</v>
      </c>
    </row>
    <row r="1104" spans="1:9" s="65" customFormat="1" ht="12.75" customHeight="1" x14ac:dyDescent="0.35">
      <c r="A1104" s="220" t="s">
        <v>429</v>
      </c>
      <c r="B1104" s="47" t="s">
        <v>32</v>
      </c>
      <c r="C1104" s="49">
        <f t="shared" si="259"/>
        <v>36</v>
      </c>
      <c r="D1104" s="49">
        <v>0</v>
      </c>
      <c r="E1104" s="49">
        <v>36</v>
      </c>
      <c r="F1104" s="49">
        <v>0</v>
      </c>
      <c r="G1104" s="49">
        <v>0</v>
      </c>
      <c r="H1104" s="49">
        <v>0</v>
      </c>
      <c r="I1104" s="49">
        <v>0</v>
      </c>
    </row>
    <row r="1105" spans="1:9" s="65" customFormat="1" ht="14.15" x14ac:dyDescent="0.35">
      <c r="A1105" s="310"/>
      <c r="B1105" s="53" t="s">
        <v>33</v>
      </c>
      <c r="C1105" s="49">
        <f t="shared" si="259"/>
        <v>36</v>
      </c>
      <c r="D1105" s="49">
        <v>0</v>
      </c>
      <c r="E1105" s="49">
        <v>36</v>
      </c>
      <c r="F1105" s="49">
        <v>0</v>
      </c>
      <c r="G1105" s="49">
        <v>0</v>
      </c>
      <c r="H1105" s="49">
        <v>0</v>
      </c>
      <c r="I1105" s="49">
        <v>0</v>
      </c>
    </row>
    <row r="1106" spans="1:9" s="65" customFormat="1" ht="12.75" customHeight="1" x14ac:dyDescent="0.35">
      <c r="A1106" s="278" t="s">
        <v>430</v>
      </c>
      <c r="B1106" s="47" t="s">
        <v>32</v>
      </c>
      <c r="C1106" s="49">
        <f t="shared" si="259"/>
        <v>0</v>
      </c>
      <c r="D1106" s="49">
        <v>0</v>
      </c>
      <c r="E1106" s="49">
        <f>110-110</f>
        <v>0</v>
      </c>
      <c r="F1106" s="49">
        <v>0</v>
      </c>
      <c r="G1106" s="49">
        <v>0</v>
      </c>
      <c r="H1106" s="49">
        <v>0</v>
      </c>
      <c r="I1106" s="49">
        <v>0</v>
      </c>
    </row>
    <row r="1107" spans="1:9" s="42" customFormat="1" ht="14.15" x14ac:dyDescent="0.35">
      <c r="A1107" s="310"/>
      <c r="B1107" s="53" t="s">
        <v>33</v>
      </c>
      <c r="C1107" s="49">
        <f t="shared" si="259"/>
        <v>0</v>
      </c>
      <c r="D1107" s="49">
        <v>0</v>
      </c>
      <c r="E1107" s="49">
        <f>110-110</f>
        <v>0</v>
      </c>
      <c r="F1107" s="49">
        <v>0</v>
      </c>
      <c r="G1107" s="49">
        <v>0</v>
      </c>
      <c r="H1107" s="49">
        <v>0</v>
      </c>
      <c r="I1107" s="49">
        <v>0</v>
      </c>
    </row>
    <row r="1108" spans="1:9" s="126" customFormat="1" x14ac:dyDescent="0.3">
      <c r="A1108" s="308" t="s">
        <v>431</v>
      </c>
      <c r="B1108" s="124" t="s">
        <v>32</v>
      </c>
      <c r="C1108" s="122">
        <f t="shared" si="259"/>
        <v>769</v>
      </c>
      <c r="D1108" s="122">
        <f>D1110+D1112</f>
        <v>0</v>
      </c>
      <c r="E1108" s="122">
        <f t="shared" ref="E1108:I1109" si="265">E1110+E1112</f>
        <v>769</v>
      </c>
      <c r="F1108" s="122">
        <f t="shared" si="265"/>
        <v>0</v>
      </c>
      <c r="G1108" s="122">
        <f t="shared" si="265"/>
        <v>0</v>
      </c>
      <c r="H1108" s="122">
        <f t="shared" si="265"/>
        <v>0</v>
      </c>
      <c r="I1108" s="122">
        <f t="shared" si="265"/>
        <v>0</v>
      </c>
    </row>
    <row r="1109" spans="1:9" s="126" customFormat="1" x14ac:dyDescent="0.3">
      <c r="A1109" s="127"/>
      <c r="B1109" s="128" t="s">
        <v>33</v>
      </c>
      <c r="C1109" s="122">
        <f t="shared" si="259"/>
        <v>769</v>
      </c>
      <c r="D1109" s="122">
        <f>D1111+D1113</f>
        <v>0</v>
      </c>
      <c r="E1109" s="122">
        <f t="shared" si="265"/>
        <v>769</v>
      </c>
      <c r="F1109" s="122">
        <f t="shared" si="265"/>
        <v>0</v>
      </c>
      <c r="G1109" s="122">
        <f t="shared" si="265"/>
        <v>0</v>
      </c>
      <c r="H1109" s="122">
        <f t="shared" si="265"/>
        <v>0</v>
      </c>
      <c r="I1109" s="122">
        <f t="shared" si="265"/>
        <v>0</v>
      </c>
    </row>
    <row r="1110" spans="1:9" s="65" customFormat="1" x14ac:dyDescent="0.3">
      <c r="A1110" s="114" t="s">
        <v>432</v>
      </c>
      <c r="B1110" s="40" t="s">
        <v>32</v>
      </c>
      <c r="C1110" s="41">
        <f t="shared" ref="C1110:C1181" si="266">D1110+E1110+F1110+G1110+H1110+I1110</f>
        <v>7</v>
      </c>
      <c r="D1110" s="41">
        <v>0</v>
      </c>
      <c r="E1110" s="41">
        <v>7</v>
      </c>
      <c r="F1110" s="41">
        <v>0</v>
      </c>
      <c r="G1110" s="41">
        <v>0</v>
      </c>
      <c r="H1110" s="41">
        <v>0</v>
      </c>
      <c r="I1110" s="41">
        <v>0</v>
      </c>
    </row>
    <row r="1111" spans="1:9" s="42" customFormat="1" x14ac:dyDescent="0.3">
      <c r="A1111" s="63"/>
      <c r="B1111" s="44" t="s">
        <v>33</v>
      </c>
      <c r="C1111" s="41">
        <f t="shared" si="266"/>
        <v>7</v>
      </c>
      <c r="D1111" s="41">
        <v>0</v>
      </c>
      <c r="E1111" s="41">
        <v>7</v>
      </c>
      <c r="F1111" s="41">
        <v>0</v>
      </c>
      <c r="G1111" s="41">
        <v>0</v>
      </c>
      <c r="H1111" s="41">
        <v>0</v>
      </c>
      <c r="I1111" s="41">
        <v>0</v>
      </c>
    </row>
    <row r="1112" spans="1:9" s="65" customFormat="1" ht="14.15" x14ac:dyDescent="0.35">
      <c r="A1112" s="330" t="s">
        <v>433</v>
      </c>
      <c r="B1112" s="40" t="s">
        <v>32</v>
      </c>
      <c r="C1112" s="41">
        <f t="shared" si="266"/>
        <v>762</v>
      </c>
      <c r="D1112" s="41">
        <v>0</v>
      </c>
      <c r="E1112" s="41">
        <v>762</v>
      </c>
      <c r="F1112" s="41">
        <v>0</v>
      </c>
      <c r="G1112" s="41">
        <v>0</v>
      </c>
      <c r="H1112" s="41">
        <v>0</v>
      </c>
      <c r="I1112" s="41">
        <v>0</v>
      </c>
    </row>
    <row r="1113" spans="1:9" s="42" customFormat="1" x14ac:dyDescent="0.3">
      <c r="A1113" s="63"/>
      <c r="B1113" s="44" t="s">
        <v>33</v>
      </c>
      <c r="C1113" s="41">
        <f t="shared" si="266"/>
        <v>762</v>
      </c>
      <c r="D1113" s="41">
        <v>0</v>
      </c>
      <c r="E1113" s="41">
        <v>762</v>
      </c>
      <c r="F1113" s="41">
        <v>0</v>
      </c>
      <c r="G1113" s="41">
        <v>0</v>
      </c>
      <c r="H1113" s="41">
        <v>0</v>
      </c>
      <c r="I1113" s="41">
        <v>0</v>
      </c>
    </row>
    <row r="1114" spans="1:9" s="126" customFormat="1" x14ac:dyDescent="0.3">
      <c r="A1114" s="308" t="s">
        <v>434</v>
      </c>
      <c r="B1114" s="124" t="s">
        <v>32</v>
      </c>
      <c r="C1114" s="122">
        <f t="shared" si="266"/>
        <v>1203.05</v>
      </c>
      <c r="D1114" s="122">
        <f>D1116+D1118+D1120+D1122+D1124+D1126+D1128+D1130+D1132</f>
        <v>1074.05</v>
      </c>
      <c r="E1114" s="122">
        <f t="shared" ref="E1114:I1115" si="267">E1116+E1118+E1120+E1122+E1124+E1126+E1128+E1130+E1132</f>
        <v>129</v>
      </c>
      <c r="F1114" s="122">
        <f t="shared" si="267"/>
        <v>0</v>
      </c>
      <c r="G1114" s="122">
        <f t="shared" si="267"/>
        <v>0</v>
      </c>
      <c r="H1114" s="122">
        <f t="shared" si="267"/>
        <v>0</v>
      </c>
      <c r="I1114" s="122">
        <f t="shared" si="267"/>
        <v>0</v>
      </c>
    </row>
    <row r="1115" spans="1:9" s="126" customFormat="1" x14ac:dyDescent="0.3">
      <c r="A1115" s="127"/>
      <c r="B1115" s="128" t="s">
        <v>33</v>
      </c>
      <c r="C1115" s="122">
        <f t="shared" si="266"/>
        <v>1203.05</v>
      </c>
      <c r="D1115" s="122">
        <f>D1117+D1119+D1121+D1123+D1125+D1127+D1129+D1131+D1133</f>
        <v>1074.05</v>
      </c>
      <c r="E1115" s="122">
        <f t="shared" si="267"/>
        <v>129</v>
      </c>
      <c r="F1115" s="122">
        <f t="shared" si="267"/>
        <v>0</v>
      </c>
      <c r="G1115" s="122">
        <f t="shared" si="267"/>
        <v>0</v>
      </c>
      <c r="H1115" s="122">
        <f t="shared" si="267"/>
        <v>0</v>
      </c>
      <c r="I1115" s="122">
        <f t="shared" si="267"/>
        <v>0</v>
      </c>
    </row>
    <row r="1116" spans="1:9" s="65" customFormat="1" ht="12.75" customHeight="1" x14ac:dyDescent="0.35">
      <c r="A1116" s="331" t="s">
        <v>435</v>
      </c>
      <c r="B1116" s="40" t="s">
        <v>32</v>
      </c>
      <c r="C1116" s="41">
        <f t="shared" si="266"/>
        <v>45</v>
      </c>
      <c r="D1116" s="41">
        <v>0</v>
      </c>
      <c r="E1116" s="41">
        <v>45</v>
      </c>
      <c r="F1116" s="41">
        <v>0</v>
      </c>
      <c r="G1116" s="41">
        <v>0</v>
      </c>
      <c r="H1116" s="41">
        <v>0</v>
      </c>
      <c r="I1116" s="41">
        <v>0</v>
      </c>
    </row>
    <row r="1117" spans="1:9" s="65" customFormat="1" ht="14.15" x14ac:dyDescent="0.35">
      <c r="A1117" s="332"/>
      <c r="B1117" s="44" t="s">
        <v>33</v>
      </c>
      <c r="C1117" s="41">
        <f t="shared" si="266"/>
        <v>45</v>
      </c>
      <c r="D1117" s="41">
        <v>0</v>
      </c>
      <c r="E1117" s="41">
        <v>45</v>
      </c>
      <c r="F1117" s="41">
        <v>0</v>
      </c>
      <c r="G1117" s="41">
        <v>0</v>
      </c>
      <c r="H1117" s="41">
        <v>0</v>
      </c>
      <c r="I1117" s="41">
        <v>0</v>
      </c>
    </row>
    <row r="1118" spans="1:9" s="65" customFormat="1" ht="12.75" customHeight="1" x14ac:dyDescent="0.35">
      <c r="A1118" s="331" t="s">
        <v>436</v>
      </c>
      <c r="B1118" s="40" t="s">
        <v>32</v>
      </c>
      <c r="C1118" s="41">
        <f t="shared" si="266"/>
        <v>52.05</v>
      </c>
      <c r="D1118" s="41">
        <v>52.05</v>
      </c>
      <c r="E1118" s="41">
        <v>0</v>
      </c>
      <c r="F1118" s="41">
        <v>0</v>
      </c>
      <c r="G1118" s="41">
        <v>0</v>
      </c>
      <c r="H1118" s="41">
        <v>0</v>
      </c>
      <c r="I1118" s="41">
        <v>0</v>
      </c>
    </row>
    <row r="1119" spans="1:9" s="65" customFormat="1" ht="14.15" x14ac:dyDescent="0.35">
      <c r="A1119" s="332"/>
      <c r="B1119" s="44" t="s">
        <v>33</v>
      </c>
      <c r="C1119" s="41">
        <f t="shared" si="266"/>
        <v>52.05</v>
      </c>
      <c r="D1119" s="41">
        <v>52.05</v>
      </c>
      <c r="E1119" s="41">
        <v>0</v>
      </c>
      <c r="F1119" s="41">
        <v>0</v>
      </c>
      <c r="G1119" s="41">
        <v>0</v>
      </c>
      <c r="H1119" s="41">
        <v>0</v>
      </c>
      <c r="I1119" s="41">
        <v>0</v>
      </c>
    </row>
    <row r="1120" spans="1:9" s="65" customFormat="1" ht="12.75" customHeight="1" x14ac:dyDescent="0.35">
      <c r="A1120" s="331" t="s">
        <v>437</v>
      </c>
      <c r="B1120" s="40" t="s">
        <v>32</v>
      </c>
      <c r="C1120" s="41">
        <f t="shared" si="266"/>
        <v>44</v>
      </c>
      <c r="D1120" s="41">
        <v>44</v>
      </c>
      <c r="E1120" s="41">
        <v>0</v>
      </c>
      <c r="F1120" s="41">
        <v>0</v>
      </c>
      <c r="G1120" s="41">
        <v>0</v>
      </c>
      <c r="H1120" s="41">
        <v>0</v>
      </c>
      <c r="I1120" s="41">
        <v>0</v>
      </c>
    </row>
    <row r="1121" spans="1:9" s="65" customFormat="1" ht="14.15" x14ac:dyDescent="0.35">
      <c r="A1121" s="332"/>
      <c r="B1121" s="44" t="s">
        <v>33</v>
      </c>
      <c r="C1121" s="41">
        <f t="shared" si="266"/>
        <v>44</v>
      </c>
      <c r="D1121" s="41">
        <v>44</v>
      </c>
      <c r="E1121" s="41">
        <v>0</v>
      </c>
      <c r="F1121" s="41">
        <v>0</v>
      </c>
      <c r="G1121" s="41">
        <v>0</v>
      </c>
      <c r="H1121" s="41">
        <v>0</v>
      </c>
      <c r="I1121" s="41">
        <v>0</v>
      </c>
    </row>
    <row r="1122" spans="1:9" s="65" customFormat="1" ht="12.75" customHeight="1" x14ac:dyDescent="0.35">
      <c r="A1122" s="220" t="s">
        <v>438</v>
      </c>
      <c r="B1122" s="40" t="s">
        <v>32</v>
      </c>
      <c r="C1122" s="41">
        <f t="shared" si="266"/>
        <v>974</v>
      </c>
      <c r="D1122" s="41">
        <v>974</v>
      </c>
      <c r="E1122" s="41">
        <v>0</v>
      </c>
      <c r="F1122" s="41">
        <v>0</v>
      </c>
      <c r="G1122" s="41">
        <v>0</v>
      </c>
      <c r="H1122" s="41">
        <v>0</v>
      </c>
      <c r="I1122" s="41">
        <v>0</v>
      </c>
    </row>
    <row r="1123" spans="1:9" s="65" customFormat="1" ht="14.15" x14ac:dyDescent="0.35">
      <c r="A1123" s="332"/>
      <c r="B1123" s="44" t="s">
        <v>33</v>
      </c>
      <c r="C1123" s="41">
        <f t="shared" si="266"/>
        <v>974</v>
      </c>
      <c r="D1123" s="41">
        <v>974</v>
      </c>
      <c r="E1123" s="41">
        <v>0</v>
      </c>
      <c r="F1123" s="41">
        <v>0</v>
      </c>
      <c r="G1123" s="41">
        <v>0</v>
      </c>
      <c r="H1123" s="41">
        <v>0</v>
      </c>
      <c r="I1123" s="41">
        <v>0</v>
      </c>
    </row>
    <row r="1124" spans="1:9" s="65" customFormat="1" ht="12.75" customHeight="1" x14ac:dyDescent="0.35">
      <c r="A1124" s="333" t="s">
        <v>439</v>
      </c>
      <c r="B1124" s="40" t="s">
        <v>32</v>
      </c>
      <c r="C1124" s="41">
        <f t="shared" si="266"/>
        <v>7</v>
      </c>
      <c r="D1124" s="41">
        <v>0</v>
      </c>
      <c r="E1124" s="41">
        <v>7</v>
      </c>
      <c r="F1124" s="41">
        <v>0</v>
      </c>
      <c r="G1124" s="41">
        <v>0</v>
      </c>
      <c r="H1124" s="41">
        <v>0</v>
      </c>
      <c r="I1124" s="41">
        <v>0</v>
      </c>
    </row>
    <row r="1125" spans="1:9" s="65" customFormat="1" ht="14.15" x14ac:dyDescent="0.35">
      <c r="A1125" s="332"/>
      <c r="B1125" s="44" t="s">
        <v>33</v>
      </c>
      <c r="C1125" s="41">
        <f t="shared" si="266"/>
        <v>7</v>
      </c>
      <c r="D1125" s="41">
        <v>0</v>
      </c>
      <c r="E1125" s="41">
        <v>7</v>
      </c>
      <c r="F1125" s="41">
        <v>0</v>
      </c>
      <c r="G1125" s="41">
        <v>0</v>
      </c>
      <c r="H1125" s="41">
        <v>0</v>
      </c>
      <c r="I1125" s="41">
        <v>0</v>
      </c>
    </row>
    <row r="1126" spans="1:9" s="65" customFormat="1" ht="12.75" customHeight="1" x14ac:dyDescent="0.35">
      <c r="A1126" s="333" t="s">
        <v>440</v>
      </c>
      <c r="B1126" s="40" t="s">
        <v>32</v>
      </c>
      <c r="C1126" s="41">
        <f t="shared" si="266"/>
        <v>54</v>
      </c>
      <c r="D1126" s="41">
        <v>0</v>
      </c>
      <c r="E1126" s="41">
        <v>54</v>
      </c>
      <c r="F1126" s="41">
        <v>0</v>
      </c>
      <c r="G1126" s="41">
        <v>0</v>
      </c>
      <c r="H1126" s="41">
        <v>0</v>
      </c>
      <c r="I1126" s="41">
        <v>0</v>
      </c>
    </row>
    <row r="1127" spans="1:9" s="65" customFormat="1" ht="14.15" x14ac:dyDescent="0.35">
      <c r="A1127" s="332"/>
      <c r="B1127" s="44" t="s">
        <v>33</v>
      </c>
      <c r="C1127" s="41">
        <f t="shared" si="266"/>
        <v>54</v>
      </c>
      <c r="D1127" s="41">
        <v>0</v>
      </c>
      <c r="E1127" s="41">
        <v>54</v>
      </c>
      <c r="F1127" s="41">
        <v>0</v>
      </c>
      <c r="G1127" s="41">
        <v>0</v>
      </c>
      <c r="H1127" s="41">
        <v>0</v>
      </c>
      <c r="I1127" s="41">
        <v>0</v>
      </c>
    </row>
    <row r="1128" spans="1:9" s="65" customFormat="1" ht="12.75" customHeight="1" x14ac:dyDescent="0.35">
      <c r="A1128" s="333" t="s">
        <v>441</v>
      </c>
      <c r="B1128" s="40" t="s">
        <v>32</v>
      </c>
      <c r="C1128" s="41">
        <f t="shared" si="266"/>
        <v>4</v>
      </c>
      <c r="D1128" s="41">
        <v>4</v>
      </c>
      <c r="E1128" s="41">
        <v>0</v>
      </c>
      <c r="F1128" s="41">
        <v>0</v>
      </c>
      <c r="G1128" s="41">
        <v>0</v>
      </c>
      <c r="H1128" s="41">
        <v>0</v>
      </c>
      <c r="I1128" s="41">
        <v>0</v>
      </c>
    </row>
    <row r="1129" spans="1:9" s="65" customFormat="1" ht="13.5" customHeight="1" x14ac:dyDescent="0.35">
      <c r="A1129" s="332"/>
      <c r="B1129" s="44" t="s">
        <v>33</v>
      </c>
      <c r="C1129" s="41">
        <f t="shared" si="266"/>
        <v>4</v>
      </c>
      <c r="D1129" s="41">
        <v>4</v>
      </c>
      <c r="E1129" s="41">
        <v>0</v>
      </c>
      <c r="F1129" s="41">
        <v>0</v>
      </c>
      <c r="G1129" s="41">
        <v>0</v>
      </c>
      <c r="H1129" s="41">
        <v>0</v>
      </c>
      <c r="I1129" s="41">
        <v>0</v>
      </c>
    </row>
    <row r="1130" spans="1:9" s="65" customFormat="1" ht="12.75" customHeight="1" x14ac:dyDescent="0.35">
      <c r="A1130" s="317" t="s">
        <v>442</v>
      </c>
      <c r="B1130" s="40" t="s">
        <v>32</v>
      </c>
      <c r="C1130" s="41">
        <f t="shared" si="266"/>
        <v>10</v>
      </c>
      <c r="D1130" s="41">
        <v>0</v>
      </c>
      <c r="E1130" s="41">
        <v>10</v>
      </c>
      <c r="F1130" s="41">
        <v>0</v>
      </c>
      <c r="G1130" s="41">
        <v>0</v>
      </c>
      <c r="H1130" s="41">
        <v>0</v>
      </c>
      <c r="I1130" s="41">
        <v>0</v>
      </c>
    </row>
    <row r="1131" spans="1:9" s="65" customFormat="1" ht="13.5" customHeight="1" x14ac:dyDescent="0.35">
      <c r="A1131" s="332"/>
      <c r="B1131" s="44" t="s">
        <v>33</v>
      </c>
      <c r="C1131" s="41">
        <f t="shared" si="266"/>
        <v>10</v>
      </c>
      <c r="D1131" s="41">
        <v>0</v>
      </c>
      <c r="E1131" s="41">
        <v>10</v>
      </c>
      <c r="F1131" s="41">
        <v>0</v>
      </c>
      <c r="G1131" s="41">
        <v>0</v>
      </c>
      <c r="H1131" s="41">
        <v>0</v>
      </c>
      <c r="I1131" s="41">
        <v>0</v>
      </c>
    </row>
    <row r="1132" spans="1:9" s="65" customFormat="1" ht="12.75" customHeight="1" x14ac:dyDescent="0.35">
      <c r="A1132" s="317" t="s">
        <v>443</v>
      </c>
      <c r="B1132" s="40" t="s">
        <v>32</v>
      </c>
      <c r="C1132" s="41">
        <f t="shared" si="266"/>
        <v>13</v>
      </c>
      <c r="D1132" s="41">
        <v>0</v>
      </c>
      <c r="E1132" s="41">
        <v>13</v>
      </c>
      <c r="F1132" s="41">
        <v>0</v>
      </c>
      <c r="G1132" s="41">
        <v>0</v>
      </c>
      <c r="H1132" s="41">
        <v>0</v>
      </c>
      <c r="I1132" s="41">
        <v>0</v>
      </c>
    </row>
    <row r="1133" spans="1:9" s="65" customFormat="1" ht="13.5" customHeight="1" x14ac:dyDescent="0.35">
      <c r="A1133" s="332"/>
      <c r="B1133" s="44" t="s">
        <v>33</v>
      </c>
      <c r="C1133" s="41">
        <f t="shared" si="266"/>
        <v>13</v>
      </c>
      <c r="D1133" s="41">
        <v>0</v>
      </c>
      <c r="E1133" s="41">
        <v>13</v>
      </c>
      <c r="F1133" s="41">
        <v>0</v>
      </c>
      <c r="G1133" s="41">
        <v>0</v>
      </c>
      <c r="H1133" s="41">
        <v>0</v>
      </c>
      <c r="I1133" s="41">
        <v>0</v>
      </c>
    </row>
    <row r="1134" spans="1:9" s="126" customFormat="1" x14ac:dyDescent="0.3">
      <c r="A1134" s="148" t="s">
        <v>444</v>
      </c>
      <c r="B1134" s="124" t="s">
        <v>32</v>
      </c>
      <c r="C1134" s="122">
        <f t="shared" si="266"/>
        <v>181.1</v>
      </c>
      <c r="D1134" s="122">
        <f>D1136+D1138+D1140+D1142+D1144</f>
        <v>25.1</v>
      </c>
      <c r="E1134" s="122">
        <f t="shared" ref="E1134:I1135" si="268">E1136+E1138+E1140+E1142+E1144</f>
        <v>156</v>
      </c>
      <c r="F1134" s="122">
        <f t="shared" si="268"/>
        <v>0</v>
      </c>
      <c r="G1134" s="122">
        <f t="shared" si="268"/>
        <v>0</v>
      </c>
      <c r="H1134" s="122">
        <f t="shared" si="268"/>
        <v>0</v>
      </c>
      <c r="I1134" s="122">
        <f t="shared" si="268"/>
        <v>0</v>
      </c>
    </row>
    <row r="1135" spans="1:9" s="126" customFormat="1" x14ac:dyDescent="0.3">
      <c r="A1135" s="127"/>
      <c r="B1135" s="128" t="s">
        <v>33</v>
      </c>
      <c r="C1135" s="122">
        <f t="shared" si="266"/>
        <v>181.1</v>
      </c>
      <c r="D1135" s="122">
        <f>D1137+D1139+D1141+D1143+D1145</f>
        <v>25.1</v>
      </c>
      <c r="E1135" s="122">
        <f t="shared" si="268"/>
        <v>156</v>
      </c>
      <c r="F1135" s="122">
        <f t="shared" si="268"/>
        <v>0</v>
      </c>
      <c r="G1135" s="122">
        <f t="shared" si="268"/>
        <v>0</v>
      </c>
      <c r="H1135" s="122">
        <f t="shared" si="268"/>
        <v>0</v>
      </c>
      <c r="I1135" s="122">
        <f t="shared" si="268"/>
        <v>0</v>
      </c>
    </row>
    <row r="1136" spans="1:9" s="65" customFormat="1" ht="12.75" customHeight="1" x14ac:dyDescent="0.3">
      <c r="A1136" s="334" t="s">
        <v>445</v>
      </c>
      <c r="B1136" s="40" t="s">
        <v>32</v>
      </c>
      <c r="C1136" s="41">
        <f t="shared" si="266"/>
        <v>20</v>
      </c>
      <c r="D1136" s="41">
        <v>20</v>
      </c>
      <c r="E1136" s="41">
        <v>0</v>
      </c>
      <c r="F1136" s="41">
        <v>0</v>
      </c>
      <c r="G1136" s="41">
        <v>0</v>
      </c>
      <c r="H1136" s="41">
        <v>0</v>
      </c>
      <c r="I1136" s="41">
        <v>0</v>
      </c>
    </row>
    <row r="1137" spans="1:15" s="65" customFormat="1" ht="15.45" x14ac:dyDescent="0.4">
      <c r="A1137" s="335"/>
      <c r="B1137" s="44" t="s">
        <v>33</v>
      </c>
      <c r="C1137" s="41">
        <f t="shared" si="266"/>
        <v>20</v>
      </c>
      <c r="D1137" s="41">
        <v>20</v>
      </c>
      <c r="E1137" s="41">
        <v>0</v>
      </c>
      <c r="F1137" s="41">
        <v>0</v>
      </c>
      <c r="G1137" s="41">
        <v>0</v>
      </c>
      <c r="H1137" s="41">
        <v>0</v>
      </c>
      <c r="I1137" s="41">
        <v>0</v>
      </c>
    </row>
    <row r="1138" spans="1:15" s="65" customFormat="1" ht="12.75" customHeight="1" x14ac:dyDescent="0.3">
      <c r="A1138" s="336" t="s">
        <v>354</v>
      </c>
      <c r="B1138" s="40" t="s">
        <v>32</v>
      </c>
      <c r="C1138" s="41">
        <f t="shared" si="266"/>
        <v>5.0999999999999996</v>
      </c>
      <c r="D1138" s="41">
        <v>5.0999999999999996</v>
      </c>
      <c r="E1138" s="41">
        <v>0</v>
      </c>
      <c r="F1138" s="41">
        <v>0</v>
      </c>
      <c r="G1138" s="41">
        <v>0</v>
      </c>
      <c r="H1138" s="41">
        <v>0</v>
      </c>
      <c r="I1138" s="41">
        <v>0</v>
      </c>
    </row>
    <row r="1139" spans="1:15" s="65" customFormat="1" ht="15.45" x14ac:dyDescent="0.4">
      <c r="A1139" s="335"/>
      <c r="B1139" s="44" t="s">
        <v>33</v>
      </c>
      <c r="C1139" s="41">
        <f t="shared" si="266"/>
        <v>5.0999999999999996</v>
      </c>
      <c r="D1139" s="41">
        <v>5.0999999999999996</v>
      </c>
      <c r="E1139" s="41">
        <v>0</v>
      </c>
      <c r="F1139" s="41">
        <v>0</v>
      </c>
      <c r="G1139" s="41">
        <v>0</v>
      </c>
      <c r="H1139" s="41">
        <v>0</v>
      </c>
      <c r="I1139" s="41">
        <v>0</v>
      </c>
    </row>
    <row r="1140" spans="1:15" s="65" customFormat="1" ht="12.75" customHeight="1" x14ac:dyDescent="0.3">
      <c r="A1140" s="336" t="s">
        <v>354</v>
      </c>
      <c r="B1140" s="40" t="s">
        <v>32</v>
      </c>
      <c r="C1140" s="41">
        <f t="shared" si="266"/>
        <v>31</v>
      </c>
      <c r="D1140" s="41">
        <v>0</v>
      </c>
      <c r="E1140" s="41">
        <v>31</v>
      </c>
      <c r="F1140" s="41">
        <v>0</v>
      </c>
      <c r="G1140" s="41">
        <v>0</v>
      </c>
      <c r="H1140" s="41">
        <v>0</v>
      </c>
      <c r="I1140" s="41">
        <v>0</v>
      </c>
    </row>
    <row r="1141" spans="1:15" s="65" customFormat="1" ht="15.45" x14ac:dyDescent="0.4">
      <c r="A1141" s="335"/>
      <c r="B1141" s="44" t="s">
        <v>33</v>
      </c>
      <c r="C1141" s="41">
        <f t="shared" si="266"/>
        <v>31</v>
      </c>
      <c r="D1141" s="41">
        <v>0</v>
      </c>
      <c r="E1141" s="41">
        <v>31</v>
      </c>
      <c r="F1141" s="41">
        <v>0</v>
      </c>
      <c r="G1141" s="41">
        <v>0</v>
      </c>
      <c r="H1141" s="41">
        <v>0</v>
      </c>
      <c r="I1141" s="41">
        <v>0</v>
      </c>
    </row>
    <row r="1142" spans="1:15" s="65" customFormat="1" ht="17.25" customHeight="1" x14ac:dyDescent="0.3">
      <c r="A1142" s="129" t="s">
        <v>446</v>
      </c>
      <c r="B1142" s="40" t="s">
        <v>32</v>
      </c>
      <c r="C1142" s="41">
        <f t="shared" si="266"/>
        <v>122</v>
      </c>
      <c r="D1142" s="41">
        <v>0</v>
      </c>
      <c r="E1142" s="41">
        <v>122</v>
      </c>
      <c r="F1142" s="41">
        <v>0</v>
      </c>
      <c r="G1142" s="41">
        <v>0</v>
      </c>
      <c r="H1142" s="41">
        <v>0</v>
      </c>
      <c r="I1142" s="41">
        <v>0</v>
      </c>
    </row>
    <row r="1143" spans="1:15" s="65" customFormat="1" ht="15.45" x14ac:dyDescent="0.4">
      <c r="A1143" s="335"/>
      <c r="B1143" s="44" t="s">
        <v>33</v>
      </c>
      <c r="C1143" s="41">
        <f t="shared" si="266"/>
        <v>122</v>
      </c>
      <c r="D1143" s="41">
        <v>0</v>
      </c>
      <c r="E1143" s="41">
        <v>122</v>
      </c>
      <c r="F1143" s="41">
        <v>0</v>
      </c>
      <c r="G1143" s="41">
        <v>0</v>
      </c>
      <c r="H1143" s="41">
        <v>0</v>
      </c>
      <c r="I1143" s="41">
        <v>0</v>
      </c>
    </row>
    <row r="1144" spans="1:15" s="65" customFormat="1" ht="16.5" customHeight="1" x14ac:dyDescent="0.3">
      <c r="A1144" s="129" t="s">
        <v>447</v>
      </c>
      <c r="B1144" s="40" t="s">
        <v>32</v>
      </c>
      <c r="C1144" s="41">
        <f t="shared" si="266"/>
        <v>3</v>
      </c>
      <c r="D1144" s="41">
        <v>0</v>
      </c>
      <c r="E1144" s="41">
        <v>3</v>
      </c>
      <c r="F1144" s="41">
        <v>0</v>
      </c>
      <c r="G1144" s="41">
        <v>0</v>
      </c>
      <c r="H1144" s="41">
        <v>0</v>
      </c>
      <c r="I1144" s="41">
        <v>0</v>
      </c>
    </row>
    <row r="1145" spans="1:15" s="65" customFormat="1" ht="15.45" x14ac:dyDescent="0.4">
      <c r="A1145" s="335"/>
      <c r="B1145" s="44" t="s">
        <v>33</v>
      </c>
      <c r="C1145" s="41">
        <f t="shared" si="266"/>
        <v>3</v>
      </c>
      <c r="D1145" s="41">
        <v>0</v>
      </c>
      <c r="E1145" s="41">
        <v>3</v>
      </c>
      <c r="F1145" s="41">
        <v>0</v>
      </c>
      <c r="G1145" s="41">
        <v>0</v>
      </c>
      <c r="H1145" s="41">
        <v>0</v>
      </c>
      <c r="I1145" s="41">
        <v>0</v>
      </c>
    </row>
    <row r="1146" spans="1:15" s="100" customFormat="1" x14ac:dyDescent="0.3">
      <c r="A1146" s="89" t="s">
        <v>448</v>
      </c>
      <c r="B1146" s="150" t="s">
        <v>32</v>
      </c>
      <c r="C1146" s="97">
        <f t="shared" si="266"/>
        <v>74.5</v>
      </c>
      <c r="D1146" s="97">
        <f>D1148+D1150+D1152+D1154</f>
        <v>12</v>
      </c>
      <c r="E1146" s="97">
        <f t="shared" ref="E1146:I1147" si="269">E1148+E1150+E1152+E1154</f>
        <v>62.5</v>
      </c>
      <c r="F1146" s="97">
        <f t="shared" si="269"/>
        <v>0</v>
      </c>
      <c r="G1146" s="97">
        <f t="shared" si="269"/>
        <v>0</v>
      </c>
      <c r="H1146" s="97">
        <f t="shared" si="269"/>
        <v>0</v>
      </c>
      <c r="I1146" s="97">
        <f t="shared" si="269"/>
        <v>0</v>
      </c>
    </row>
    <row r="1147" spans="1:15" s="100" customFormat="1" x14ac:dyDescent="0.3">
      <c r="A1147" s="60"/>
      <c r="B1147" s="99" t="s">
        <v>33</v>
      </c>
      <c r="C1147" s="97">
        <f t="shared" si="266"/>
        <v>74.5</v>
      </c>
      <c r="D1147" s="97">
        <f>D1149+D1151+D1153+D1155</f>
        <v>12</v>
      </c>
      <c r="E1147" s="97">
        <f t="shared" si="269"/>
        <v>62.5</v>
      </c>
      <c r="F1147" s="97">
        <f t="shared" si="269"/>
        <v>0</v>
      </c>
      <c r="G1147" s="97">
        <f t="shared" si="269"/>
        <v>0</v>
      </c>
      <c r="H1147" s="97">
        <f t="shared" si="269"/>
        <v>0</v>
      </c>
      <c r="I1147" s="97">
        <f t="shared" si="269"/>
        <v>0</v>
      </c>
    </row>
    <row r="1148" spans="1:15" s="131" customFormat="1" ht="14.15" x14ac:dyDescent="0.3">
      <c r="A1148" s="275" t="s">
        <v>449</v>
      </c>
      <c r="B1148" s="92" t="s">
        <v>32</v>
      </c>
      <c r="C1148" s="97">
        <f t="shared" si="266"/>
        <v>12</v>
      </c>
      <c r="D1148" s="97">
        <v>12</v>
      </c>
      <c r="E1148" s="49">
        <v>0</v>
      </c>
      <c r="F1148" s="97">
        <v>0</v>
      </c>
      <c r="G1148" s="97">
        <v>0</v>
      </c>
      <c r="H1148" s="97">
        <v>0</v>
      </c>
      <c r="I1148" s="97">
        <v>0</v>
      </c>
      <c r="J1148" s="1110"/>
      <c r="K1148" s="1111"/>
      <c r="L1148" s="1111"/>
      <c r="M1148" s="1111"/>
      <c r="N1148" s="1111"/>
      <c r="O1148" s="1111"/>
    </row>
    <row r="1149" spans="1:15" s="131" customFormat="1" x14ac:dyDescent="0.3">
      <c r="A1149" s="82"/>
      <c r="B1149" s="95" t="s">
        <v>33</v>
      </c>
      <c r="C1149" s="97">
        <f t="shared" si="266"/>
        <v>12</v>
      </c>
      <c r="D1149" s="97">
        <v>12</v>
      </c>
      <c r="E1149" s="49">
        <v>0</v>
      </c>
      <c r="F1149" s="97">
        <v>0</v>
      </c>
      <c r="G1149" s="97">
        <v>0</v>
      </c>
      <c r="H1149" s="97">
        <v>0</v>
      </c>
      <c r="I1149" s="97">
        <v>0</v>
      </c>
      <c r="J1149" s="1110"/>
      <c r="K1149" s="1111"/>
      <c r="L1149" s="1111"/>
      <c r="M1149" s="1111"/>
      <c r="N1149" s="1111"/>
      <c r="O1149" s="1111"/>
    </row>
    <row r="1150" spans="1:15" s="131" customFormat="1" ht="14.15" x14ac:dyDescent="0.3">
      <c r="A1150" s="275" t="s">
        <v>450</v>
      </c>
      <c r="B1150" s="92" t="s">
        <v>32</v>
      </c>
      <c r="C1150" s="97">
        <f t="shared" si="266"/>
        <v>45.75</v>
      </c>
      <c r="D1150" s="97">
        <v>0</v>
      </c>
      <c r="E1150" s="49">
        <f>50-4.25</f>
        <v>45.75</v>
      </c>
      <c r="F1150" s="97">
        <v>0</v>
      </c>
      <c r="G1150" s="97">
        <v>0</v>
      </c>
      <c r="H1150" s="97">
        <v>0</v>
      </c>
      <c r="I1150" s="97">
        <v>0</v>
      </c>
      <c r="J1150" s="1110"/>
      <c r="K1150" s="1111"/>
      <c r="L1150" s="1111"/>
      <c r="M1150" s="1111"/>
      <c r="N1150" s="1111"/>
      <c r="O1150" s="1111"/>
    </row>
    <row r="1151" spans="1:15" s="131" customFormat="1" x14ac:dyDescent="0.3">
      <c r="A1151" s="82"/>
      <c r="B1151" s="95" t="s">
        <v>33</v>
      </c>
      <c r="C1151" s="97">
        <f t="shared" si="266"/>
        <v>45.75</v>
      </c>
      <c r="D1151" s="97">
        <v>0</v>
      </c>
      <c r="E1151" s="49">
        <f>50-4.25</f>
        <v>45.75</v>
      </c>
      <c r="F1151" s="97">
        <v>0</v>
      </c>
      <c r="G1151" s="97">
        <v>0</v>
      </c>
      <c r="H1151" s="97">
        <v>0</v>
      </c>
      <c r="I1151" s="97">
        <v>0</v>
      </c>
      <c r="J1151" s="1110"/>
      <c r="K1151" s="1111"/>
      <c r="L1151" s="1111"/>
      <c r="M1151" s="1111"/>
      <c r="N1151" s="1111"/>
      <c r="O1151" s="1111"/>
    </row>
    <row r="1152" spans="1:15" s="131" customFormat="1" ht="14.15" x14ac:dyDescent="0.35">
      <c r="A1152" s="276" t="s">
        <v>451</v>
      </c>
      <c r="B1152" s="92" t="s">
        <v>32</v>
      </c>
      <c r="C1152" s="97">
        <f t="shared" si="266"/>
        <v>9.75</v>
      </c>
      <c r="D1152" s="97">
        <v>0</v>
      </c>
      <c r="E1152" s="49">
        <f>12.5-2.75</f>
        <v>9.75</v>
      </c>
      <c r="F1152" s="97">
        <v>0</v>
      </c>
      <c r="G1152" s="97">
        <v>0</v>
      </c>
      <c r="H1152" s="97">
        <v>0</v>
      </c>
      <c r="I1152" s="97">
        <v>0</v>
      </c>
      <c r="J1152" s="1110"/>
      <c r="K1152" s="1111"/>
      <c r="L1152" s="1111"/>
      <c r="M1152" s="1111"/>
      <c r="N1152" s="1111"/>
      <c r="O1152" s="1111"/>
    </row>
    <row r="1153" spans="1:15" s="131" customFormat="1" x14ac:dyDescent="0.3">
      <c r="A1153" s="82"/>
      <c r="B1153" s="95" t="s">
        <v>33</v>
      </c>
      <c r="C1153" s="97">
        <f t="shared" si="266"/>
        <v>9.75</v>
      </c>
      <c r="D1153" s="97">
        <v>0</v>
      </c>
      <c r="E1153" s="49">
        <f>12.5-2.75</f>
        <v>9.75</v>
      </c>
      <c r="F1153" s="97">
        <v>0</v>
      </c>
      <c r="G1153" s="97">
        <v>0</v>
      </c>
      <c r="H1153" s="97">
        <v>0</v>
      </c>
      <c r="I1153" s="97">
        <v>0</v>
      </c>
      <c r="J1153" s="1110"/>
      <c r="K1153" s="1111"/>
      <c r="L1153" s="1111"/>
      <c r="M1153" s="1111"/>
      <c r="N1153" s="1111"/>
      <c r="O1153" s="1111"/>
    </row>
    <row r="1154" spans="1:15" s="131" customFormat="1" ht="14.15" x14ac:dyDescent="0.35">
      <c r="A1154" s="276" t="s">
        <v>452</v>
      </c>
      <c r="B1154" s="92" t="s">
        <v>32</v>
      </c>
      <c r="C1154" s="97">
        <f t="shared" si="266"/>
        <v>7</v>
      </c>
      <c r="D1154" s="97">
        <v>0</v>
      </c>
      <c r="E1154" s="49">
        <v>7</v>
      </c>
      <c r="F1154" s="97">
        <v>0</v>
      </c>
      <c r="G1154" s="97">
        <v>0</v>
      </c>
      <c r="H1154" s="97">
        <v>0</v>
      </c>
      <c r="I1154" s="97">
        <v>0</v>
      </c>
      <c r="J1154" s="1110"/>
      <c r="K1154" s="1111"/>
      <c r="L1154" s="1111"/>
      <c r="M1154" s="1111"/>
      <c r="N1154" s="1111"/>
      <c r="O1154" s="1111"/>
    </row>
    <row r="1155" spans="1:15" s="131" customFormat="1" x14ac:dyDescent="0.3">
      <c r="A1155" s="82"/>
      <c r="B1155" s="95" t="s">
        <v>33</v>
      </c>
      <c r="C1155" s="97">
        <f t="shared" si="266"/>
        <v>7</v>
      </c>
      <c r="D1155" s="97">
        <v>0</v>
      </c>
      <c r="E1155" s="49">
        <v>7</v>
      </c>
      <c r="F1155" s="97">
        <v>0</v>
      </c>
      <c r="G1155" s="97">
        <v>0</v>
      </c>
      <c r="H1155" s="97">
        <v>0</v>
      </c>
      <c r="I1155" s="97">
        <v>0</v>
      </c>
      <c r="J1155" s="1110"/>
      <c r="K1155" s="1111"/>
      <c r="L1155" s="1111"/>
      <c r="M1155" s="1111"/>
      <c r="N1155" s="1111"/>
      <c r="O1155" s="1111"/>
    </row>
    <row r="1156" spans="1:15" s="126" customFormat="1" x14ac:dyDescent="0.3">
      <c r="A1156" s="285" t="s">
        <v>45</v>
      </c>
      <c r="B1156" s="124" t="s">
        <v>32</v>
      </c>
      <c r="C1156" s="122">
        <f t="shared" si="266"/>
        <v>132.22</v>
      </c>
      <c r="D1156" s="122">
        <f t="shared" ref="D1156:I1157" si="270">D1158+D1164+D1178</f>
        <v>67.22</v>
      </c>
      <c r="E1156" s="122">
        <f t="shared" si="270"/>
        <v>65</v>
      </c>
      <c r="F1156" s="122">
        <f t="shared" si="270"/>
        <v>0</v>
      </c>
      <c r="G1156" s="122">
        <f t="shared" si="270"/>
        <v>0</v>
      </c>
      <c r="H1156" s="122">
        <f t="shared" si="270"/>
        <v>0</v>
      </c>
      <c r="I1156" s="122">
        <f t="shared" si="270"/>
        <v>0</v>
      </c>
    </row>
    <row r="1157" spans="1:15" s="126" customFormat="1" x14ac:dyDescent="0.3">
      <c r="A1157" s="127"/>
      <c r="B1157" s="128" t="s">
        <v>33</v>
      </c>
      <c r="C1157" s="122">
        <f t="shared" si="266"/>
        <v>132.22</v>
      </c>
      <c r="D1157" s="122">
        <f t="shared" si="270"/>
        <v>67.22</v>
      </c>
      <c r="E1157" s="122">
        <f t="shared" si="270"/>
        <v>65</v>
      </c>
      <c r="F1157" s="122">
        <f t="shared" si="270"/>
        <v>0</v>
      </c>
      <c r="G1157" s="122">
        <f t="shared" si="270"/>
        <v>0</v>
      </c>
      <c r="H1157" s="122">
        <f t="shared" si="270"/>
        <v>0</v>
      </c>
      <c r="I1157" s="122">
        <f t="shared" si="270"/>
        <v>0</v>
      </c>
    </row>
    <row r="1158" spans="1:15" s="14" customFormat="1" x14ac:dyDescent="0.3">
      <c r="A1158" s="148" t="s">
        <v>197</v>
      </c>
      <c r="B1158" s="12" t="s">
        <v>32</v>
      </c>
      <c r="C1158" s="36">
        <f t="shared" si="266"/>
        <v>9.5300000000000011</v>
      </c>
      <c r="D1158" s="36">
        <f>D1160+D1162</f>
        <v>9.5300000000000011</v>
      </c>
      <c r="E1158" s="36">
        <f t="shared" ref="E1158:I1159" si="271">E1160+E1162</f>
        <v>0</v>
      </c>
      <c r="F1158" s="36">
        <f t="shared" si="271"/>
        <v>0</v>
      </c>
      <c r="G1158" s="36">
        <f t="shared" si="271"/>
        <v>0</v>
      </c>
      <c r="H1158" s="36">
        <f t="shared" si="271"/>
        <v>0</v>
      </c>
      <c r="I1158" s="36">
        <f t="shared" si="271"/>
        <v>0</v>
      </c>
    </row>
    <row r="1159" spans="1:15" s="14" customFormat="1" x14ac:dyDescent="0.3">
      <c r="A1159" s="19"/>
      <c r="B1159" s="23" t="s">
        <v>33</v>
      </c>
      <c r="C1159" s="36">
        <f t="shared" si="266"/>
        <v>9.5300000000000011</v>
      </c>
      <c r="D1159" s="36">
        <f>D1161+D1163</f>
        <v>9.5300000000000011</v>
      </c>
      <c r="E1159" s="36">
        <f t="shared" si="271"/>
        <v>0</v>
      </c>
      <c r="F1159" s="36">
        <f t="shared" si="271"/>
        <v>0</v>
      </c>
      <c r="G1159" s="36">
        <f t="shared" si="271"/>
        <v>0</v>
      </c>
      <c r="H1159" s="36">
        <f t="shared" si="271"/>
        <v>0</v>
      </c>
      <c r="I1159" s="36">
        <f t="shared" si="271"/>
        <v>0</v>
      </c>
    </row>
    <row r="1160" spans="1:15" s="65" customFormat="1" ht="14.15" x14ac:dyDescent="0.35">
      <c r="A1160" s="328" t="s">
        <v>453</v>
      </c>
      <c r="B1160" s="40" t="s">
        <v>32</v>
      </c>
      <c r="C1160" s="41">
        <f t="shared" si="266"/>
        <v>4.17</v>
      </c>
      <c r="D1160" s="41">
        <v>4.17</v>
      </c>
      <c r="E1160" s="41">
        <v>0</v>
      </c>
      <c r="F1160" s="41">
        <v>0</v>
      </c>
      <c r="G1160" s="41">
        <v>0</v>
      </c>
      <c r="H1160" s="41">
        <v>0</v>
      </c>
      <c r="I1160" s="41">
        <v>0</v>
      </c>
    </row>
    <row r="1161" spans="1:15" s="42" customFormat="1" x14ac:dyDescent="0.3">
      <c r="A1161" s="63"/>
      <c r="B1161" s="44" t="s">
        <v>33</v>
      </c>
      <c r="C1161" s="41">
        <f t="shared" si="266"/>
        <v>4.17</v>
      </c>
      <c r="D1161" s="41">
        <v>4.17</v>
      </c>
      <c r="E1161" s="41">
        <v>0</v>
      </c>
      <c r="F1161" s="41">
        <v>0</v>
      </c>
      <c r="G1161" s="41">
        <v>0</v>
      </c>
      <c r="H1161" s="41">
        <v>0</v>
      </c>
      <c r="I1161" s="41">
        <v>0</v>
      </c>
    </row>
    <row r="1162" spans="1:15" s="65" customFormat="1" ht="14.15" x14ac:dyDescent="0.35">
      <c r="A1162" s="328" t="s">
        <v>454</v>
      </c>
      <c r="B1162" s="40" t="s">
        <v>32</v>
      </c>
      <c r="C1162" s="41">
        <f t="shared" si="266"/>
        <v>5.36</v>
      </c>
      <c r="D1162" s="41">
        <v>5.36</v>
      </c>
      <c r="E1162" s="41">
        <v>0</v>
      </c>
      <c r="F1162" s="41">
        <v>0</v>
      </c>
      <c r="G1162" s="41">
        <v>0</v>
      </c>
      <c r="H1162" s="41">
        <v>0</v>
      </c>
      <c r="I1162" s="41">
        <v>0</v>
      </c>
    </row>
    <row r="1163" spans="1:15" s="42" customFormat="1" x14ac:dyDescent="0.3">
      <c r="A1163" s="63"/>
      <c r="B1163" s="44" t="s">
        <v>33</v>
      </c>
      <c r="C1163" s="41">
        <f t="shared" si="266"/>
        <v>5.36</v>
      </c>
      <c r="D1163" s="41">
        <v>5.36</v>
      </c>
      <c r="E1163" s="41">
        <v>0</v>
      </c>
      <c r="F1163" s="41">
        <v>0</v>
      </c>
      <c r="G1163" s="41">
        <v>0</v>
      </c>
      <c r="H1163" s="41">
        <v>0</v>
      </c>
      <c r="I1163" s="41">
        <v>0</v>
      </c>
    </row>
    <row r="1164" spans="1:15" s="14" customFormat="1" x14ac:dyDescent="0.3">
      <c r="A1164" s="148" t="s">
        <v>455</v>
      </c>
      <c r="B1164" s="12" t="s">
        <v>32</v>
      </c>
      <c r="C1164" s="36">
        <f t="shared" si="266"/>
        <v>110.69</v>
      </c>
      <c r="D1164" s="36">
        <f>D1166+D1168+D1170+D1172+D1174+D1176</f>
        <v>45.69</v>
      </c>
      <c r="E1164" s="36">
        <f t="shared" ref="E1164:I1165" si="272">E1166+E1168+E1170+E1172+E1174+E1176</f>
        <v>65</v>
      </c>
      <c r="F1164" s="36">
        <f t="shared" si="272"/>
        <v>0</v>
      </c>
      <c r="G1164" s="36">
        <f t="shared" si="272"/>
        <v>0</v>
      </c>
      <c r="H1164" s="36">
        <f t="shared" si="272"/>
        <v>0</v>
      </c>
      <c r="I1164" s="36">
        <f t="shared" si="272"/>
        <v>0</v>
      </c>
    </row>
    <row r="1165" spans="1:15" s="14" customFormat="1" x14ac:dyDescent="0.3">
      <c r="A1165" s="337"/>
      <c r="B1165" s="23" t="s">
        <v>33</v>
      </c>
      <c r="C1165" s="36">
        <f t="shared" si="266"/>
        <v>110.69</v>
      </c>
      <c r="D1165" s="36">
        <f>D1167+D1169+D1171+D1173+D1175+D1177</f>
        <v>45.69</v>
      </c>
      <c r="E1165" s="36">
        <f t="shared" si="272"/>
        <v>65</v>
      </c>
      <c r="F1165" s="36">
        <f t="shared" si="272"/>
        <v>0</v>
      </c>
      <c r="G1165" s="36">
        <f t="shared" si="272"/>
        <v>0</v>
      </c>
      <c r="H1165" s="36">
        <f t="shared" si="272"/>
        <v>0</v>
      </c>
      <c r="I1165" s="36">
        <f t="shared" si="272"/>
        <v>0</v>
      </c>
    </row>
    <row r="1166" spans="1:15" s="65" customFormat="1" ht="14.15" x14ac:dyDescent="0.3">
      <c r="A1166" s="314" t="s">
        <v>456</v>
      </c>
      <c r="B1166" s="40" t="s">
        <v>32</v>
      </c>
      <c r="C1166" s="41">
        <f t="shared" si="266"/>
        <v>23.56</v>
      </c>
      <c r="D1166" s="41">
        <v>23.56</v>
      </c>
      <c r="E1166" s="41">
        <v>0</v>
      </c>
      <c r="F1166" s="41">
        <v>0</v>
      </c>
      <c r="G1166" s="41">
        <v>0</v>
      </c>
      <c r="H1166" s="41">
        <v>0</v>
      </c>
      <c r="I1166" s="41">
        <v>0</v>
      </c>
    </row>
    <row r="1167" spans="1:15" s="42" customFormat="1" x14ac:dyDescent="0.3">
      <c r="A1167" s="63"/>
      <c r="B1167" s="44" t="s">
        <v>33</v>
      </c>
      <c r="C1167" s="41">
        <f t="shared" si="266"/>
        <v>23.56</v>
      </c>
      <c r="D1167" s="41">
        <v>23.56</v>
      </c>
      <c r="E1167" s="41">
        <v>0</v>
      </c>
      <c r="F1167" s="41">
        <v>0</v>
      </c>
      <c r="G1167" s="41">
        <v>0</v>
      </c>
      <c r="H1167" s="41">
        <v>0</v>
      </c>
      <c r="I1167" s="41">
        <v>0</v>
      </c>
    </row>
    <row r="1168" spans="1:15" s="65" customFormat="1" ht="14.15" x14ac:dyDescent="0.3">
      <c r="A1168" s="314" t="s">
        <v>457</v>
      </c>
      <c r="B1168" s="40" t="s">
        <v>32</v>
      </c>
      <c r="C1168" s="41">
        <f t="shared" si="266"/>
        <v>22.13</v>
      </c>
      <c r="D1168" s="41">
        <v>22.13</v>
      </c>
      <c r="E1168" s="41">
        <v>0</v>
      </c>
      <c r="F1168" s="41">
        <v>0</v>
      </c>
      <c r="G1168" s="41">
        <v>0</v>
      </c>
      <c r="H1168" s="41">
        <v>0</v>
      </c>
      <c r="I1168" s="41">
        <v>0</v>
      </c>
    </row>
    <row r="1169" spans="1:9" s="42" customFormat="1" x14ac:dyDescent="0.3">
      <c r="A1169" s="63"/>
      <c r="B1169" s="44" t="s">
        <v>33</v>
      </c>
      <c r="C1169" s="41">
        <f t="shared" si="266"/>
        <v>22.13</v>
      </c>
      <c r="D1169" s="41">
        <v>22.13</v>
      </c>
      <c r="E1169" s="41">
        <v>0</v>
      </c>
      <c r="F1169" s="41">
        <v>0</v>
      </c>
      <c r="G1169" s="41">
        <v>0</v>
      </c>
      <c r="H1169" s="41">
        <v>0</v>
      </c>
      <c r="I1169" s="41">
        <v>0</v>
      </c>
    </row>
    <row r="1170" spans="1:9" s="65" customFormat="1" ht="24.9" x14ac:dyDescent="0.3">
      <c r="A1170" s="338" t="s">
        <v>458</v>
      </c>
      <c r="B1170" s="40" t="s">
        <v>32</v>
      </c>
      <c r="C1170" s="41">
        <f t="shared" si="266"/>
        <v>25</v>
      </c>
      <c r="D1170" s="41">
        <v>0</v>
      </c>
      <c r="E1170" s="41">
        <v>25</v>
      </c>
      <c r="F1170" s="41">
        <v>0</v>
      </c>
      <c r="G1170" s="41">
        <v>0</v>
      </c>
      <c r="H1170" s="41">
        <v>0</v>
      </c>
      <c r="I1170" s="41">
        <v>0</v>
      </c>
    </row>
    <row r="1171" spans="1:9" s="42" customFormat="1" x14ac:dyDescent="0.3">
      <c r="A1171" s="63"/>
      <c r="B1171" s="44" t="s">
        <v>33</v>
      </c>
      <c r="C1171" s="41">
        <f t="shared" si="266"/>
        <v>25</v>
      </c>
      <c r="D1171" s="41">
        <v>0</v>
      </c>
      <c r="E1171" s="41">
        <v>25</v>
      </c>
      <c r="F1171" s="41">
        <v>0</v>
      </c>
      <c r="G1171" s="41">
        <v>0</v>
      </c>
      <c r="H1171" s="41">
        <v>0</v>
      </c>
      <c r="I1171" s="41">
        <v>0</v>
      </c>
    </row>
    <row r="1172" spans="1:9" s="65" customFormat="1" ht="14.15" x14ac:dyDescent="0.3">
      <c r="A1172" s="314" t="s">
        <v>459</v>
      </c>
      <c r="B1172" s="40" t="s">
        <v>32</v>
      </c>
      <c r="C1172" s="41">
        <f t="shared" si="266"/>
        <v>6</v>
      </c>
      <c r="D1172" s="41">
        <v>0</v>
      </c>
      <c r="E1172" s="41">
        <v>6</v>
      </c>
      <c r="F1172" s="41">
        <v>0</v>
      </c>
      <c r="G1172" s="41">
        <v>0</v>
      </c>
      <c r="H1172" s="41">
        <v>0</v>
      </c>
      <c r="I1172" s="41">
        <v>0</v>
      </c>
    </row>
    <row r="1173" spans="1:9" s="42" customFormat="1" x14ac:dyDescent="0.3">
      <c r="A1173" s="63"/>
      <c r="B1173" s="44" t="s">
        <v>33</v>
      </c>
      <c r="C1173" s="41">
        <f t="shared" si="266"/>
        <v>6</v>
      </c>
      <c r="D1173" s="41">
        <v>0</v>
      </c>
      <c r="E1173" s="41">
        <v>6</v>
      </c>
      <c r="F1173" s="41">
        <v>0</v>
      </c>
      <c r="G1173" s="41">
        <v>0</v>
      </c>
      <c r="H1173" s="41">
        <v>0</v>
      </c>
      <c r="I1173" s="41">
        <v>0</v>
      </c>
    </row>
    <row r="1174" spans="1:9" s="65" customFormat="1" ht="14.15" x14ac:dyDescent="0.3">
      <c r="A1174" s="314" t="s">
        <v>460</v>
      </c>
      <c r="B1174" s="40" t="s">
        <v>32</v>
      </c>
      <c r="C1174" s="41">
        <f t="shared" si="266"/>
        <v>22</v>
      </c>
      <c r="D1174" s="41">
        <v>0</v>
      </c>
      <c r="E1174" s="41">
        <v>22</v>
      </c>
      <c r="F1174" s="41">
        <v>0</v>
      </c>
      <c r="G1174" s="41">
        <v>0</v>
      </c>
      <c r="H1174" s="41">
        <v>0</v>
      </c>
      <c r="I1174" s="41">
        <v>0</v>
      </c>
    </row>
    <row r="1175" spans="1:9" s="42" customFormat="1" x14ac:dyDescent="0.3">
      <c r="A1175" s="63"/>
      <c r="B1175" s="44" t="s">
        <v>33</v>
      </c>
      <c r="C1175" s="41">
        <f t="shared" si="266"/>
        <v>22</v>
      </c>
      <c r="D1175" s="41">
        <v>0</v>
      </c>
      <c r="E1175" s="41">
        <v>22</v>
      </c>
      <c r="F1175" s="41">
        <v>0</v>
      </c>
      <c r="G1175" s="41">
        <v>0</v>
      </c>
      <c r="H1175" s="41">
        <v>0</v>
      </c>
      <c r="I1175" s="41">
        <v>0</v>
      </c>
    </row>
    <row r="1176" spans="1:9" s="65" customFormat="1" x14ac:dyDescent="0.3">
      <c r="A1176" s="315" t="s">
        <v>461</v>
      </c>
      <c r="B1176" s="40" t="s">
        <v>32</v>
      </c>
      <c r="C1176" s="41">
        <f t="shared" si="266"/>
        <v>12</v>
      </c>
      <c r="D1176" s="41">
        <v>0</v>
      </c>
      <c r="E1176" s="41">
        <v>12</v>
      </c>
      <c r="F1176" s="41">
        <v>0</v>
      </c>
      <c r="G1176" s="41">
        <v>0</v>
      </c>
      <c r="H1176" s="41">
        <v>0</v>
      </c>
      <c r="I1176" s="41">
        <v>0</v>
      </c>
    </row>
    <row r="1177" spans="1:9" s="42" customFormat="1" x14ac:dyDescent="0.3">
      <c r="A1177" s="63"/>
      <c r="B1177" s="44" t="s">
        <v>33</v>
      </c>
      <c r="C1177" s="41">
        <f t="shared" si="266"/>
        <v>12</v>
      </c>
      <c r="D1177" s="41">
        <v>0</v>
      </c>
      <c r="E1177" s="41">
        <v>12</v>
      </c>
      <c r="F1177" s="41">
        <v>0</v>
      </c>
      <c r="G1177" s="41">
        <v>0</v>
      </c>
      <c r="H1177" s="41">
        <v>0</v>
      </c>
      <c r="I1177" s="41">
        <v>0</v>
      </c>
    </row>
    <row r="1178" spans="1:9" s="126" customFormat="1" x14ac:dyDescent="0.3">
      <c r="A1178" s="308" t="s">
        <v>462</v>
      </c>
      <c r="B1178" s="124" t="s">
        <v>32</v>
      </c>
      <c r="C1178" s="122">
        <f t="shared" si="266"/>
        <v>12</v>
      </c>
      <c r="D1178" s="122">
        <f>D1180</f>
        <v>12</v>
      </c>
      <c r="E1178" s="122">
        <f t="shared" ref="E1178:I1179" si="273">E1180</f>
        <v>0</v>
      </c>
      <c r="F1178" s="122">
        <f t="shared" si="273"/>
        <v>0</v>
      </c>
      <c r="G1178" s="122">
        <f t="shared" si="273"/>
        <v>0</v>
      </c>
      <c r="H1178" s="122">
        <f t="shared" si="273"/>
        <v>0</v>
      </c>
      <c r="I1178" s="122">
        <f t="shared" si="273"/>
        <v>0</v>
      </c>
    </row>
    <row r="1179" spans="1:9" s="126" customFormat="1" x14ac:dyDescent="0.3">
      <c r="A1179" s="127"/>
      <c r="B1179" s="128" t="s">
        <v>33</v>
      </c>
      <c r="C1179" s="122">
        <f t="shared" si="266"/>
        <v>12</v>
      </c>
      <c r="D1179" s="122">
        <f>D1181</f>
        <v>12</v>
      </c>
      <c r="E1179" s="122">
        <f t="shared" si="273"/>
        <v>0</v>
      </c>
      <c r="F1179" s="122">
        <f t="shared" si="273"/>
        <v>0</v>
      </c>
      <c r="G1179" s="122">
        <f t="shared" si="273"/>
        <v>0</v>
      </c>
      <c r="H1179" s="122">
        <f t="shared" si="273"/>
        <v>0</v>
      </c>
      <c r="I1179" s="122">
        <f t="shared" si="273"/>
        <v>0</v>
      </c>
    </row>
    <row r="1180" spans="1:9" s="65" customFormat="1" ht="12.75" customHeight="1" x14ac:dyDescent="0.35">
      <c r="A1180" s="333" t="s">
        <v>463</v>
      </c>
      <c r="B1180" s="40" t="s">
        <v>32</v>
      </c>
      <c r="C1180" s="41">
        <f t="shared" si="266"/>
        <v>12</v>
      </c>
      <c r="D1180" s="41">
        <v>12</v>
      </c>
      <c r="E1180" s="41">
        <v>0</v>
      </c>
      <c r="F1180" s="41">
        <v>0</v>
      </c>
      <c r="G1180" s="41">
        <v>0</v>
      </c>
      <c r="H1180" s="41">
        <v>0</v>
      </c>
      <c r="I1180" s="41">
        <v>0</v>
      </c>
    </row>
    <row r="1181" spans="1:9" s="65" customFormat="1" ht="14.15" x14ac:dyDescent="0.35">
      <c r="A1181" s="332"/>
      <c r="B1181" s="44" t="s">
        <v>33</v>
      </c>
      <c r="C1181" s="41">
        <f t="shared" si="266"/>
        <v>12</v>
      </c>
      <c r="D1181" s="41">
        <v>12</v>
      </c>
      <c r="E1181" s="41">
        <v>0</v>
      </c>
      <c r="F1181" s="41">
        <v>0</v>
      </c>
      <c r="G1181" s="41">
        <v>0</v>
      </c>
      <c r="H1181" s="41">
        <v>0</v>
      </c>
      <c r="I1181" s="41">
        <v>0</v>
      </c>
    </row>
    <row r="1182" spans="1:9" x14ac:dyDescent="0.3">
      <c r="A1182" s="1062" t="s">
        <v>464</v>
      </c>
      <c r="B1182" s="1064"/>
      <c r="C1182" s="1064"/>
      <c r="D1182" s="1064"/>
      <c r="E1182" s="1064"/>
      <c r="F1182" s="1064"/>
      <c r="G1182" s="1064"/>
      <c r="H1182" s="1064"/>
      <c r="I1182" s="1065"/>
    </row>
    <row r="1183" spans="1:9" x14ac:dyDescent="0.3">
      <c r="A1183" s="71" t="s">
        <v>57</v>
      </c>
      <c r="B1183" s="56" t="s">
        <v>32</v>
      </c>
      <c r="C1183" s="48">
        <f t="shared" ref="C1183:C1332" si="274">D1183+E1183+F1183+G1183+H1183+I1183</f>
        <v>8296.6200000000008</v>
      </c>
      <c r="D1183" s="48">
        <f t="shared" ref="D1183:I1184" si="275">D1185+D1211</f>
        <v>271.12</v>
      </c>
      <c r="E1183" s="48">
        <f t="shared" si="275"/>
        <v>8025.5</v>
      </c>
      <c r="F1183" s="48">
        <f t="shared" si="275"/>
        <v>0</v>
      </c>
      <c r="G1183" s="48">
        <f t="shared" si="275"/>
        <v>0</v>
      </c>
      <c r="H1183" s="48">
        <f t="shared" si="275"/>
        <v>0</v>
      </c>
      <c r="I1183" s="48">
        <f t="shared" si="275"/>
        <v>0</v>
      </c>
    </row>
    <row r="1184" spans="1:9" x14ac:dyDescent="0.3">
      <c r="A1184" s="60" t="s">
        <v>87</v>
      </c>
      <c r="B1184" s="38" t="s">
        <v>33</v>
      </c>
      <c r="C1184" s="48">
        <f t="shared" si="274"/>
        <v>8296.6200000000008</v>
      </c>
      <c r="D1184" s="48">
        <f t="shared" si="275"/>
        <v>271.12</v>
      </c>
      <c r="E1184" s="48">
        <f t="shared" si="275"/>
        <v>8025.5</v>
      </c>
      <c r="F1184" s="48">
        <f t="shared" si="275"/>
        <v>0</v>
      </c>
      <c r="G1184" s="48">
        <f t="shared" si="275"/>
        <v>0</v>
      </c>
      <c r="H1184" s="48">
        <f t="shared" si="275"/>
        <v>0</v>
      </c>
      <c r="I1184" s="48">
        <f t="shared" si="275"/>
        <v>0</v>
      </c>
    </row>
    <row r="1185" spans="1:9" x14ac:dyDescent="0.3">
      <c r="A1185" s="89" t="s">
        <v>63</v>
      </c>
      <c r="B1185" s="56" t="s">
        <v>32</v>
      </c>
      <c r="C1185" s="48">
        <f t="shared" si="274"/>
        <v>56.3</v>
      </c>
      <c r="D1185" s="48">
        <f>D1187+D1193</f>
        <v>10.8</v>
      </c>
      <c r="E1185" s="48">
        <f t="shared" ref="E1185:I1186" si="276">E1187+E1193</f>
        <v>45.5</v>
      </c>
      <c r="F1185" s="48">
        <f t="shared" si="276"/>
        <v>0</v>
      </c>
      <c r="G1185" s="48">
        <f t="shared" si="276"/>
        <v>0</v>
      </c>
      <c r="H1185" s="48">
        <f t="shared" si="276"/>
        <v>0</v>
      </c>
      <c r="I1185" s="48">
        <f t="shared" si="276"/>
        <v>0</v>
      </c>
    </row>
    <row r="1186" spans="1:9" x14ac:dyDescent="0.3">
      <c r="A1186" s="60" t="s">
        <v>89</v>
      </c>
      <c r="B1186" s="38" t="s">
        <v>33</v>
      </c>
      <c r="C1186" s="48">
        <f t="shared" si="274"/>
        <v>56.3</v>
      </c>
      <c r="D1186" s="48">
        <f>D1188+D1194</f>
        <v>10.8</v>
      </c>
      <c r="E1186" s="48">
        <f t="shared" si="276"/>
        <v>45.5</v>
      </c>
      <c r="F1186" s="48">
        <f t="shared" si="276"/>
        <v>0</v>
      </c>
      <c r="G1186" s="48">
        <f t="shared" si="276"/>
        <v>0</v>
      </c>
      <c r="H1186" s="48">
        <f t="shared" si="276"/>
        <v>0</v>
      </c>
      <c r="I1186" s="48">
        <f t="shared" si="276"/>
        <v>0</v>
      </c>
    </row>
    <row r="1187" spans="1:9" s="42" customFormat="1" ht="12.9" x14ac:dyDescent="0.35">
      <c r="A1187" s="45" t="s">
        <v>37</v>
      </c>
      <c r="B1187" s="40" t="s">
        <v>32</v>
      </c>
      <c r="C1187" s="41">
        <f t="shared" si="274"/>
        <v>28.8</v>
      </c>
      <c r="D1187" s="41">
        <f>D1189</f>
        <v>10.8</v>
      </c>
      <c r="E1187" s="41">
        <f t="shared" ref="E1187:I1190" si="277">E1189</f>
        <v>18</v>
      </c>
      <c r="F1187" s="41">
        <f t="shared" si="277"/>
        <v>0</v>
      </c>
      <c r="G1187" s="41">
        <f t="shared" si="277"/>
        <v>0</v>
      </c>
      <c r="H1187" s="41">
        <f t="shared" si="277"/>
        <v>0</v>
      </c>
      <c r="I1187" s="41">
        <f t="shared" si="277"/>
        <v>0</v>
      </c>
    </row>
    <row r="1188" spans="1:9" s="42" customFormat="1" ht="12.9" x14ac:dyDescent="0.35">
      <c r="A1188" s="43" t="s">
        <v>38</v>
      </c>
      <c r="B1188" s="44" t="s">
        <v>33</v>
      </c>
      <c r="C1188" s="41">
        <f t="shared" si="274"/>
        <v>28.8</v>
      </c>
      <c r="D1188" s="41">
        <f>D1190</f>
        <v>10.8</v>
      </c>
      <c r="E1188" s="41">
        <f t="shared" si="277"/>
        <v>18</v>
      </c>
      <c r="F1188" s="41">
        <f t="shared" si="277"/>
        <v>0</v>
      </c>
      <c r="G1188" s="41">
        <f t="shared" si="277"/>
        <v>0</v>
      </c>
      <c r="H1188" s="41">
        <f t="shared" si="277"/>
        <v>0</v>
      </c>
      <c r="I1188" s="41">
        <f t="shared" si="277"/>
        <v>0</v>
      </c>
    </row>
    <row r="1189" spans="1:9" s="147" customFormat="1" x14ac:dyDescent="0.3">
      <c r="A1189" s="149" t="s">
        <v>465</v>
      </c>
      <c r="B1189" s="40" t="s">
        <v>32</v>
      </c>
      <c r="C1189" s="41">
        <f t="shared" si="274"/>
        <v>28.8</v>
      </c>
      <c r="D1189" s="41">
        <f>D1191</f>
        <v>10.8</v>
      </c>
      <c r="E1189" s="41">
        <f t="shared" si="277"/>
        <v>18</v>
      </c>
      <c r="F1189" s="41">
        <f t="shared" si="277"/>
        <v>0</v>
      </c>
      <c r="G1189" s="41">
        <f t="shared" si="277"/>
        <v>0</v>
      </c>
      <c r="H1189" s="41">
        <f t="shared" si="277"/>
        <v>0</v>
      </c>
      <c r="I1189" s="41">
        <f t="shared" si="277"/>
        <v>0</v>
      </c>
    </row>
    <row r="1190" spans="1:9" s="147" customFormat="1" x14ac:dyDescent="0.3">
      <c r="A1190" s="63"/>
      <c r="B1190" s="44" t="s">
        <v>33</v>
      </c>
      <c r="C1190" s="41">
        <f t="shared" si="274"/>
        <v>28.8</v>
      </c>
      <c r="D1190" s="41">
        <f>D1192</f>
        <v>10.8</v>
      </c>
      <c r="E1190" s="41">
        <f t="shared" si="277"/>
        <v>18</v>
      </c>
      <c r="F1190" s="41">
        <f t="shared" si="277"/>
        <v>0</v>
      </c>
      <c r="G1190" s="41">
        <f t="shared" si="277"/>
        <v>0</v>
      </c>
      <c r="H1190" s="41">
        <f t="shared" si="277"/>
        <v>0</v>
      </c>
      <c r="I1190" s="41">
        <f t="shared" si="277"/>
        <v>0</v>
      </c>
    </row>
    <row r="1191" spans="1:9" s="147" customFormat="1" ht="14.15" x14ac:dyDescent="0.35">
      <c r="A1191" s="339" t="s">
        <v>466</v>
      </c>
      <c r="B1191" s="151" t="s">
        <v>32</v>
      </c>
      <c r="C1191" s="41">
        <f t="shared" si="274"/>
        <v>28.8</v>
      </c>
      <c r="D1191" s="41">
        <v>10.8</v>
      </c>
      <c r="E1191" s="41">
        <v>18</v>
      </c>
      <c r="F1191" s="41">
        <v>0</v>
      </c>
      <c r="G1191" s="41">
        <v>0</v>
      </c>
      <c r="H1191" s="41">
        <v>0</v>
      </c>
      <c r="I1191" s="41">
        <v>0</v>
      </c>
    </row>
    <row r="1192" spans="1:9" s="147" customFormat="1" x14ac:dyDescent="0.3">
      <c r="A1192" s="63"/>
      <c r="B1192" s="151" t="s">
        <v>33</v>
      </c>
      <c r="C1192" s="41">
        <f t="shared" si="274"/>
        <v>28.8</v>
      </c>
      <c r="D1192" s="41">
        <v>10.8</v>
      </c>
      <c r="E1192" s="41">
        <v>18</v>
      </c>
      <c r="F1192" s="41">
        <v>0</v>
      </c>
      <c r="G1192" s="41">
        <v>0</v>
      </c>
      <c r="H1192" s="41">
        <v>0</v>
      </c>
      <c r="I1192" s="41">
        <v>0</v>
      </c>
    </row>
    <row r="1193" spans="1:9" ht="12.9" x14ac:dyDescent="0.35">
      <c r="A1193" s="54" t="s">
        <v>40</v>
      </c>
      <c r="B1193" s="35" t="s">
        <v>32</v>
      </c>
      <c r="C1193" s="48">
        <f t="shared" si="274"/>
        <v>27.5</v>
      </c>
      <c r="D1193" s="48">
        <f t="shared" ref="D1193:I1198" si="278">D1195</f>
        <v>0</v>
      </c>
      <c r="E1193" s="48">
        <f t="shared" si="278"/>
        <v>27.5</v>
      </c>
      <c r="F1193" s="48">
        <f t="shared" si="278"/>
        <v>0</v>
      </c>
      <c r="G1193" s="48">
        <f t="shared" si="278"/>
        <v>0</v>
      </c>
      <c r="H1193" s="48">
        <f t="shared" si="278"/>
        <v>0</v>
      </c>
      <c r="I1193" s="48">
        <f t="shared" si="278"/>
        <v>0</v>
      </c>
    </row>
    <row r="1194" spans="1:9" ht="12.9" x14ac:dyDescent="0.35">
      <c r="A1194" s="43"/>
      <c r="B1194" s="38" t="s">
        <v>33</v>
      </c>
      <c r="C1194" s="48">
        <f t="shared" si="274"/>
        <v>27.5</v>
      </c>
      <c r="D1194" s="48">
        <f t="shared" si="278"/>
        <v>0</v>
      </c>
      <c r="E1194" s="48">
        <f>E1196</f>
        <v>27.5</v>
      </c>
      <c r="F1194" s="48">
        <f t="shared" si="278"/>
        <v>0</v>
      </c>
      <c r="G1194" s="48">
        <f t="shared" si="278"/>
        <v>0</v>
      </c>
      <c r="H1194" s="48">
        <f t="shared" si="278"/>
        <v>0</v>
      </c>
      <c r="I1194" s="48">
        <f t="shared" si="278"/>
        <v>0</v>
      </c>
    </row>
    <row r="1195" spans="1:9" x14ac:dyDescent="0.3">
      <c r="A1195" s="72" t="s">
        <v>53</v>
      </c>
      <c r="B1195" s="56" t="s">
        <v>32</v>
      </c>
      <c r="C1195" s="48">
        <f t="shared" si="274"/>
        <v>27.5</v>
      </c>
      <c r="D1195" s="48">
        <f>D1197+D1205</f>
        <v>0</v>
      </c>
      <c r="E1195" s="48">
        <f t="shared" ref="E1195:I1196" si="279">E1197+E1205</f>
        <v>27.5</v>
      </c>
      <c r="F1195" s="48">
        <f t="shared" si="279"/>
        <v>0</v>
      </c>
      <c r="G1195" s="48">
        <f t="shared" si="279"/>
        <v>0</v>
      </c>
      <c r="H1195" s="48">
        <f t="shared" si="279"/>
        <v>0</v>
      </c>
      <c r="I1195" s="48">
        <f t="shared" si="279"/>
        <v>0</v>
      </c>
    </row>
    <row r="1196" spans="1:9" x14ac:dyDescent="0.3">
      <c r="A1196" s="63"/>
      <c r="B1196" s="38" t="s">
        <v>33</v>
      </c>
      <c r="C1196" s="48">
        <f t="shared" si="274"/>
        <v>27.5</v>
      </c>
      <c r="D1196" s="48">
        <f>D1198+D1206</f>
        <v>0</v>
      </c>
      <c r="E1196" s="48">
        <f t="shared" si="279"/>
        <v>27.5</v>
      </c>
      <c r="F1196" s="48">
        <f t="shared" si="279"/>
        <v>0</v>
      </c>
      <c r="G1196" s="48">
        <f t="shared" si="279"/>
        <v>0</v>
      </c>
      <c r="H1196" s="48">
        <f t="shared" si="279"/>
        <v>0</v>
      </c>
      <c r="I1196" s="48">
        <f t="shared" si="279"/>
        <v>0</v>
      </c>
    </row>
    <row r="1197" spans="1:9" s="126" customFormat="1" x14ac:dyDescent="0.3">
      <c r="A1197" s="308" t="s">
        <v>44</v>
      </c>
      <c r="B1197" s="124" t="s">
        <v>32</v>
      </c>
      <c r="C1197" s="122">
        <f t="shared" si="274"/>
        <v>20</v>
      </c>
      <c r="D1197" s="340">
        <f t="shared" si="278"/>
        <v>0</v>
      </c>
      <c r="E1197" s="340">
        <f t="shared" si="278"/>
        <v>20</v>
      </c>
      <c r="F1197" s="340">
        <f t="shared" si="278"/>
        <v>0</v>
      </c>
      <c r="G1197" s="340">
        <f t="shared" si="278"/>
        <v>0</v>
      </c>
      <c r="H1197" s="340">
        <f t="shared" si="278"/>
        <v>0</v>
      </c>
      <c r="I1197" s="340">
        <f t="shared" si="278"/>
        <v>0</v>
      </c>
    </row>
    <row r="1198" spans="1:9" s="126" customFormat="1" x14ac:dyDescent="0.3">
      <c r="A1198" s="127"/>
      <c r="B1198" s="128" t="s">
        <v>33</v>
      </c>
      <c r="C1198" s="122">
        <f t="shared" si="274"/>
        <v>20</v>
      </c>
      <c r="D1198" s="340">
        <f t="shared" si="278"/>
        <v>0</v>
      </c>
      <c r="E1198" s="340">
        <f t="shared" si="278"/>
        <v>20</v>
      </c>
      <c r="F1198" s="340">
        <f t="shared" si="278"/>
        <v>0</v>
      </c>
      <c r="G1198" s="340">
        <f t="shared" si="278"/>
        <v>0</v>
      </c>
      <c r="H1198" s="340">
        <f t="shared" si="278"/>
        <v>0</v>
      </c>
      <c r="I1198" s="340">
        <f t="shared" si="278"/>
        <v>0</v>
      </c>
    </row>
    <row r="1199" spans="1:9" s="126" customFormat="1" x14ac:dyDescent="0.3">
      <c r="A1199" s="149" t="s">
        <v>467</v>
      </c>
      <c r="B1199" s="124" t="s">
        <v>32</v>
      </c>
      <c r="C1199" s="122">
        <f t="shared" si="274"/>
        <v>20</v>
      </c>
      <c r="D1199" s="122">
        <f>D1201+D1203</f>
        <v>0</v>
      </c>
      <c r="E1199" s="122">
        <f t="shared" ref="E1199:I1200" si="280">E1201+E1203</f>
        <v>20</v>
      </c>
      <c r="F1199" s="122">
        <f t="shared" si="280"/>
        <v>0</v>
      </c>
      <c r="G1199" s="122">
        <f t="shared" si="280"/>
        <v>0</v>
      </c>
      <c r="H1199" s="122">
        <f t="shared" si="280"/>
        <v>0</v>
      </c>
      <c r="I1199" s="122">
        <f t="shared" si="280"/>
        <v>0</v>
      </c>
    </row>
    <row r="1200" spans="1:9" s="126" customFormat="1" x14ac:dyDescent="0.3">
      <c r="A1200" s="127"/>
      <c r="B1200" s="128" t="s">
        <v>33</v>
      </c>
      <c r="C1200" s="122">
        <f t="shared" si="274"/>
        <v>20</v>
      </c>
      <c r="D1200" s="122">
        <f>D1202+D1204</f>
        <v>0</v>
      </c>
      <c r="E1200" s="122">
        <f t="shared" si="280"/>
        <v>20</v>
      </c>
      <c r="F1200" s="122">
        <f t="shared" si="280"/>
        <v>0</v>
      </c>
      <c r="G1200" s="122">
        <f t="shared" si="280"/>
        <v>0</v>
      </c>
      <c r="H1200" s="122">
        <f t="shared" si="280"/>
        <v>0</v>
      </c>
      <c r="I1200" s="122">
        <f t="shared" si="280"/>
        <v>0</v>
      </c>
    </row>
    <row r="1201" spans="1:9" s="147" customFormat="1" ht="14.15" x14ac:dyDescent="0.35">
      <c r="A1201" s="254" t="s">
        <v>468</v>
      </c>
      <c r="B1201" s="40" t="s">
        <v>32</v>
      </c>
      <c r="C1201" s="41">
        <f t="shared" si="274"/>
        <v>12</v>
      </c>
      <c r="D1201" s="41">
        <v>0</v>
      </c>
      <c r="E1201" s="41">
        <v>12</v>
      </c>
      <c r="F1201" s="41">
        <v>0</v>
      </c>
      <c r="G1201" s="41">
        <v>0</v>
      </c>
      <c r="H1201" s="41">
        <v>0</v>
      </c>
      <c r="I1201" s="41">
        <v>0</v>
      </c>
    </row>
    <row r="1202" spans="1:9" s="131" customFormat="1" x14ac:dyDescent="0.3">
      <c r="A1202" s="60"/>
      <c r="B1202" s="53" t="s">
        <v>33</v>
      </c>
      <c r="C1202" s="49">
        <f t="shared" si="274"/>
        <v>12</v>
      </c>
      <c r="D1202" s="49">
        <v>0</v>
      </c>
      <c r="E1202" s="49">
        <v>12</v>
      </c>
      <c r="F1202" s="49">
        <v>0</v>
      </c>
      <c r="G1202" s="49">
        <v>0</v>
      </c>
      <c r="H1202" s="49">
        <v>0</v>
      </c>
      <c r="I1202" s="49">
        <v>0</v>
      </c>
    </row>
    <row r="1203" spans="1:9" s="147" customFormat="1" ht="14.15" x14ac:dyDescent="0.35">
      <c r="A1203" s="341" t="s">
        <v>469</v>
      </c>
      <c r="B1203" s="40" t="s">
        <v>32</v>
      </c>
      <c r="C1203" s="41">
        <f t="shared" si="274"/>
        <v>8</v>
      </c>
      <c r="D1203" s="41">
        <v>0</v>
      </c>
      <c r="E1203" s="41">
        <v>8</v>
      </c>
      <c r="F1203" s="41">
        <v>0</v>
      </c>
      <c r="G1203" s="41">
        <v>0</v>
      </c>
      <c r="H1203" s="41">
        <v>0</v>
      </c>
      <c r="I1203" s="41">
        <v>0</v>
      </c>
    </row>
    <row r="1204" spans="1:9" s="131" customFormat="1" x14ac:dyDescent="0.3">
      <c r="A1204" s="60"/>
      <c r="B1204" s="53" t="s">
        <v>33</v>
      </c>
      <c r="C1204" s="49">
        <f t="shared" si="274"/>
        <v>8</v>
      </c>
      <c r="D1204" s="49">
        <v>0</v>
      </c>
      <c r="E1204" s="49">
        <v>8</v>
      </c>
      <c r="F1204" s="49">
        <v>0</v>
      </c>
      <c r="G1204" s="49">
        <v>0</v>
      </c>
      <c r="H1204" s="49">
        <v>0</v>
      </c>
      <c r="I1204" s="49">
        <v>0</v>
      </c>
    </row>
    <row r="1205" spans="1:9" s="126" customFormat="1" x14ac:dyDescent="0.3">
      <c r="A1205" s="149" t="s">
        <v>45</v>
      </c>
      <c r="B1205" s="124" t="s">
        <v>32</v>
      </c>
      <c r="C1205" s="122">
        <f t="shared" si="274"/>
        <v>7.5</v>
      </c>
      <c r="D1205" s="340">
        <f t="shared" ref="D1205:I1208" si="281">D1207</f>
        <v>0</v>
      </c>
      <c r="E1205" s="340">
        <f t="shared" si="281"/>
        <v>7.5</v>
      </c>
      <c r="F1205" s="340">
        <f t="shared" si="281"/>
        <v>0</v>
      </c>
      <c r="G1205" s="340">
        <f t="shared" si="281"/>
        <v>0</v>
      </c>
      <c r="H1205" s="340">
        <f t="shared" si="281"/>
        <v>0</v>
      </c>
      <c r="I1205" s="340">
        <f t="shared" si="281"/>
        <v>0</v>
      </c>
    </row>
    <row r="1206" spans="1:9" s="126" customFormat="1" x14ac:dyDescent="0.3">
      <c r="A1206" s="127"/>
      <c r="B1206" s="128" t="s">
        <v>33</v>
      </c>
      <c r="C1206" s="122">
        <f t="shared" si="274"/>
        <v>7.5</v>
      </c>
      <c r="D1206" s="340">
        <f t="shared" si="281"/>
        <v>0</v>
      </c>
      <c r="E1206" s="340">
        <f t="shared" si="281"/>
        <v>7.5</v>
      </c>
      <c r="F1206" s="340">
        <f t="shared" si="281"/>
        <v>0</v>
      </c>
      <c r="G1206" s="340">
        <f t="shared" si="281"/>
        <v>0</v>
      </c>
      <c r="H1206" s="340">
        <f t="shared" si="281"/>
        <v>0</v>
      </c>
      <c r="I1206" s="340">
        <f t="shared" si="281"/>
        <v>0</v>
      </c>
    </row>
    <row r="1207" spans="1:9" s="126" customFormat="1" x14ac:dyDescent="0.3">
      <c r="A1207" s="149" t="s">
        <v>467</v>
      </c>
      <c r="B1207" s="124" t="s">
        <v>32</v>
      </c>
      <c r="C1207" s="122">
        <f t="shared" si="274"/>
        <v>7.5</v>
      </c>
      <c r="D1207" s="122">
        <f>D1209</f>
        <v>0</v>
      </c>
      <c r="E1207" s="122">
        <f t="shared" si="281"/>
        <v>7.5</v>
      </c>
      <c r="F1207" s="122">
        <f t="shared" si="281"/>
        <v>0</v>
      </c>
      <c r="G1207" s="122">
        <f t="shared" si="281"/>
        <v>0</v>
      </c>
      <c r="H1207" s="122">
        <f t="shared" si="281"/>
        <v>0</v>
      </c>
      <c r="I1207" s="122">
        <f t="shared" si="281"/>
        <v>0</v>
      </c>
    </row>
    <row r="1208" spans="1:9" s="126" customFormat="1" x14ac:dyDescent="0.3">
      <c r="A1208" s="127"/>
      <c r="B1208" s="128" t="s">
        <v>33</v>
      </c>
      <c r="C1208" s="122">
        <f t="shared" si="274"/>
        <v>7.5</v>
      </c>
      <c r="D1208" s="122">
        <f>D1210</f>
        <v>0</v>
      </c>
      <c r="E1208" s="122">
        <f t="shared" si="281"/>
        <v>7.5</v>
      </c>
      <c r="F1208" s="122">
        <f t="shared" si="281"/>
        <v>0</v>
      </c>
      <c r="G1208" s="122">
        <f t="shared" si="281"/>
        <v>0</v>
      </c>
      <c r="H1208" s="122">
        <f t="shared" si="281"/>
        <v>0</v>
      </c>
      <c r="I1208" s="122">
        <f t="shared" si="281"/>
        <v>0</v>
      </c>
    </row>
    <row r="1209" spans="1:9" s="147" customFormat="1" ht="14.15" x14ac:dyDescent="0.35">
      <c r="A1209" s="341" t="s">
        <v>470</v>
      </c>
      <c r="B1209" s="40" t="s">
        <v>32</v>
      </c>
      <c r="C1209" s="41">
        <f t="shared" si="274"/>
        <v>7.5</v>
      </c>
      <c r="D1209" s="41">
        <v>0</v>
      </c>
      <c r="E1209" s="41">
        <v>7.5</v>
      </c>
      <c r="F1209" s="41">
        <v>0</v>
      </c>
      <c r="G1209" s="41">
        <v>0</v>
      </c>
      <c r="H1209" s="41">
        <v>0</v>
      </c>
      <c r="I1209" s="41">
        <v>0</v>
      </c>
    </row>
    <row r="1210" spans="1:9" s="131" customFormat="1" x14ac:dyDescent="0.3">
      <c r="A1210" s="60"/>
      <c r="B1210" s="53" t="s">
        <v>33</v>
      </c>
      <c r="C1210" s="49">
        <f t="shared" si="274"/>
        <v>7.5</v>
      </c>
      <c r="D1210" s="49">
        <v>0</v>
      </c>
      <c r="E1210" s="49">
        <v>7.5</v>
      </c>
      <c r="F1210" s="49">
        <v>0</v>
      </c>
      <c r="G1210" s="49">
        <v>0</v>
      </c>
      <c r="H1210" s="49">
        <v>0</v>
      </c>
      <c r="I1210" s="49">
        <v>0</v>
      </c>
    </row>
    <row r="1211" spans="1:9" x14ac:dyDescent="0.3">
      <c r="A1211" s="15" t="s">
        <v>471</v>
      </c>
      <c r="B1211" s="56" t="s">
        <v>32</v>
      </c>
      <c r="C1211" s="48">
        <f t="shared" si="274"/>
        <v>8240.32</v>
      </c>
      <c r="D1211" s="48">
        <f>D1213</f>
        <v>260.32</v>
      </c>
      <c r="E1211" s="48">
        <f t="shared" ref="E1211:I1212" si="282">E1213</f>
        <v>7980</v>
      </c>
      <c r="F1211" s="48">
        <f t="shared" si="282"/>
        <v>0</v>
      </c>
      <c r="G1211" s="48">
        <f t="shared" si="282"/>
        <v>0</v>
      </c>
      <c r="H1211" s="48">
        <f t="shared" si="282"/>
        <v>0</v>
      </c>
      <c r="I1211" s="48">
        <f t="shared" si="282"/>
        <v>0</v>
      </c>
    </row>
    <row r="1212" spans="1:9" x14ac:dyDescent="0.3">
      <c r="A1212" s="60" t="s">
        <v>89</v>
      </c>
      <c r="B1212" s="38" t="s">
        <v>33</v>
      </c>
      <c r="C1212" s="48">
        <f t="shared" si="274"/>
        <v>8240.32</v>
      </c>
      <c r="D1212" s="48">
        <f>D1214</f>
        <v>260.32</v>
      </c>
      <c r="E1212" s="48">
        <f t="shared" si="282"/>
        <v>7980</v>
      </c>
      <c r="F1212" s="48">
        <f t="shared" si="282"/>
        <v>0</v>
      </c>
      <c r="G1212" s="48">
        <f t="shared" si="282"/>
        <v>0</v>
      </c>
      <c r="H1212" s="48">
        <f t="shared" si="282"/>
        <v>0</v>
      </c>
      <c r="I1212" s="48">
        <f t="shared" si="282"/>
        <v>0</v>
      </c>
    </row>
    <row r="1213" spans="1:9" ht="12.9" x14ac:dyDescent="0.35">
      <c r="A1213" s="54" t="s">
        <v>40</v>
      </c>
      <c r="B1213" s="35" t="s">
        <v>32</v>
      </c>
      <c r="C1213" s="48">
        <f t="shared" si="274"/>
        <v>8240.32</v>
      </c>
      <c r="D1213" s="48">
        <f t="shared" ref="D1213:I1214" si="283">D1215</f>
        <v>260.32</v>
      </c>
      <c r="E1213" s="48">
        <f t="shared" si="283"/>
        <v>7980</v>
      </c>
      <c r="F1213" s="48">
        <f t="shared" si="283"/>
        <v>0</v>
      </c>
      <c r="G1213" s="48">
        <f t="shared" si="283"/>
        <v>0</v>
      </c>
      <c r="H1213" s="48">
        <f t="shared" si="283"/>
        <v>0</v>
      </c>
      <c r="I1213" s="48">
        <f t="shared" si="283"/>
        <v>0</v>
      </c>
    </row>
    <row r="1214" spans="1:9" ht="12.9" x14ac:dyDescent="0.35">
      <c r="A1214" s="43"/>
      <c r="B1214" s="38" t="s">
        <v>33</v>
      </c>
      <c r="C1214" s="48">
        <f t="shared" si="274"/>
        <v>8240.32</v>
      </c>
      <c r="D1214" s="48">
        <f t="shared" si="283"/>
        <v>260.32</v>
      </c>
      <c r="E1214" s="48">
        <f>E1216</f>
        <v>7980</v>
      </c>
      <c r="F1214" s="48">
        <f t="shared" si="283"/>
        <v>0</v>
      </c>
      <c r="G1214" s="48">
        <f t="shared" si="283"/>
        <v>0</v>
      </c>
      <c r="H1214" s="48">
        <f t="shared" si="283"/>
        <v>0</v>
      </c>
      <c r="I1214" s="48">
        <f t="shared" si="283"/>
        <v>0</v>
      </c>
    </row>
    <row r="1215" spans="1:9" x14ac:dyDescent="0.3">
      <c r="A1215" s="72" t="s">
        <v>53</v>
      </c>
      <c r="B1215" s="56" t="s">
        <v>32</v>
      </c>
      <c r="C1215" s="48">
        <f t="shared" si="274"/>
        <v>8240.32</v>
      </c>
      <c r="D1215" s="48">
        <f t="shared" ref="D1215:I1216" si="284">D1217+D1313+D1327</f>
        <v>260.32</v>
      </c>
      <c r="E1215" s="48">
        <f t="shared" si="284"/>
        <v>7980</v>
      </c>
      <c r="F1215" s="48">
        <f t="shared" si="284"/>
        <v>0</v>
      </c>
      <c r="G1215" s="48">
        <f t="shared" si="284"/>
        <v>0</v>
      </c>
      <c r="H1215" s="48">
        <f t="shared" si="284"/>
        <v>0</v>
      </c>
      <c r="I1215" s="48">
        <f t="shared" si="284"/>
        <v>0</v>
      </c>
    </row>
    <row r="1216" spans="1:9" x14ac:dyDescent="0.3">
      <c r="A1216" s="63"/>
      <c r="B1216" s="38" t="s">
        <v>33</v>
      </c>
      <c r="C1216" s="48">
        <f t="shared" si="274"/>
        <v>8240.32</v>
      </c>
      <c r="D1216" s="48">
        <f t="shared" si="284"/>
        <v>260.32</v>
      </c>
      <c r="E1216" s="48">
        <f t="shared" si="284"/>
        <v>7980</v>
      </c>
      <c r="F1216" s="48">
        <f t="shared" si="284"/>
        <v>0</v>
      </c>
      <c r="G1216" s="48">
        <f t="shared" si="284"/>
        <v>0</v>
      </c>
      <c r="H1216" s="48">
        <f t="shared" si="284"/>
        <v>0</v>
      </c>
      <c r="I1216" s="48">
        <f t="shared" si="284"/>
        <v>0</v>
      </c>
    </row>
    <row r="1217" spans="1:9" s="14" customFormat="1" x14ac:dyDescent="0.3">
      <c r="A1217" s="15" t="s">
        <v>43</v>
      </c>
      <c r="B1217" s="12" t="s">
        <v>32</v>
      </c>
      <c r="C1217" s="36">
        <f t="shared" si="274"/>
        <v>8082.02</v>
      </c>
      <c r="D1217" s="36">
        <f t="shared" ref="D1217:I1218" si="285">D1219+D1223+D1247+D1291+D1309</f>
        <v>113.02</v>
      </c>
      <c r="E1217" s="36">
        <f t="shared" si="285"/>
        <v>7969</v>
      </c>
      <c r="F1217" s="36">
        <f t="shared" si="285"/>
        <v>0</v>
      </c>
      <c r="G1217" s="36">
        <f t="shared" si="285"/>
        <v>0</v>
      </c>
      <c r="H1217" s="36">
        <f t="shared" si="285"/>
        <v>0</v>
      </c>
      <c r="I1217" s="36">
        <f t="shared" si="285"/>
        <v>0</v>
      </c>
    </row>
    <row r="1218" spans="1:9" s="14" customFormat="1" x14ac:dyDescent="0.3">
      <c r="A1218" s="19"/>
      <c r="B1218" s="23" t="s">
        <v>33</v>
      </c>
      <c r="C1218" s="36">
        <f t="shared" si="274"/>
        <v>8082.02</v>
      </c>
      <c r="D1218" s="36">
        <f t="shared" si="285"/>
        <v>113.02</v>
      </c>
      <c r="E1218" s="36">
        <f t="shared" si="285"/>
        <v>7969</v>
      </c>
      <c r="F1218" s="36">
        <f t="shared" si="285"/>
        <v>0</v>
      </c>
      <c r="G1218" s="36">
        <f t="shared" si="285"/>
        <v>0</v>
      </c>
      <c r="H1218" s="36">
        <f t="shared" si="285"/>
        <v>0</v>
      </c>
      <c r="I1218" s="36">
        <f t="shared" si="285"/>
        <v>0</v>
      </c>
    </row>
    <row r="1219" spans="1:9" s="147" customFormat="1" x14ac:dyDescent="0.3">
      <c r="A1219" s="149" t="s">
        <v>472</v>
      </c>
      <c r="B1219" s="40" t="s">
        <v>32</v>
      </c>
      <c r="C1219" s="41">
        <f t="shared" si="274"/>
        <v>12.5</v>
      </c>
      <c r="D1219" s="41">
        <f>D1221</f>
        <v>12.5</v>
      </c>
      <c r="E1219" s="41">
        <f t="shared" ref="E1219:I1220" si="286">E1221</f>
        <v>0</v>
      </c>
      <c r="F1219" s="41">
        <f t="shared" si="286"/>
        <v>0</v>
      </c>
      <c r="G1219" s="41">
        <f t="shared" si="286"/>
        <v>0</v>
      </c>
      <c r="H1219" s="41">
        <f t="shared" si="286"/>
        <v>0</v>
      </c>
      <c r="I1219" s="41">
        <f t="shared" si="286"/>
        <v>0</v>
      </c>
    </row>
    <row r="1220" spans="1:9" s="147" customFormat="1" x14ac:dyDescent="0.3">
      <c r="A1220" s="63"/>
      <c r="B1220" s="44" t="s">
        <v>33</v>
      </c>
      <c r="C1220" s="41">
        <f t="shared" si="274"/>
        <v>12.5</v>
      </c>
      <c r="D1220" s="41">
        <f>D1222</f>
        <v>12.5</v>
      </c>
      <c r="E1220" s="41">
        <f t="shared" si="286"/>
        <v>0</v>
      </c>
      <c r="F1220" s="41">
        <f t="shared" si="286"/>
        <v>0</v>
      </c>
      <c r="G1220" s="41">
        <f t="shared" si="286"/>
        <v>0</v>
      </c>
      <c r="H1220" s="41">
        <f t="shared" si="286"/>
        <v>0</v>
      </c>
      <c r="I1220" s="41">
        <f t="shared" si="286"/>
        <v>0</v>
      </c>
    </row>
    <row r="1221" spans="1:9" s="147" customFormat="1" ht="14.15" x14ac:dyDescent="0.35">
      <c r="A1221" s="342" t="s">
        <v>473</v>
      </c>
      <c r="B1221" s="151" t="s">
        <v>32</v>
      </c>
      <c r="C1221" s="41">
        <f t="shared" si="274"/>
        <v>12.5</v>
      </c>
      <c r="D1221" s="41">
        <v>12.5</v>
      </c>
      <c r="E1221" s="41">
        <v>0</v>
      </c>
      <c r="F1221" s="41">
        <v>0</v>
      </c>
      <c r="G1221" s="41">
        <v>0</v>
      </c>
      <c r="H1221" s="41">
        <v>0</v>
      </c>
      <c r="I1221" s="41">
        <v>0</v>
      </c>
    </row>
    <row r="1222" spans="1:9" s="147" customFormat="1" x14ac:dyDescent="0.3">
      <c r="A1222" s="63"/>
      <c r="B1222" s="151" t="s">
        <v>33</v>
      </c>
      <c r="C1222" s="41">
        <f t="shared" si="274"/>
        <v>12.5</v>
      </c>
      <c r="D1222" s="41">
        <v>12.5</v>
      </c>
      <c r="E1222" s="41">
        <v>0</v>
      </c>
      <c r="F1222" s="41">
        <v>0</v>
      </c>
      <c r="G1222" s="41">
        <v>0</v>
      </c>
      <c r="H1222" s="41">
        <v>0</v>
      </c>
      <c r="I1222" s="41">
        <v>0</v>
      </c>
    </row>
    <row r="1223" spans="1:9" s="126" customFormat="1" x14ac:dyDescent="0.3">
      <c r="A1223" s="285" t="s">
        <v>474</v>
      </c>
      <c r="B1223" s="124" t="s">
        <v>32</v>
      </c>
      <c r="C1223" s="122">
        <f t="shared" si="274"/>
        <v>127.27</v>
      </c>
      <c r="D1223" s="122">
        <f>D1225+D1227+D1229+D1231+D1233+D1235+D1237+D1239+D1241+D1243+D1245</f>
        <v>23.27</v>
      </c>
      <c r="E1223" s="122">
        <f t="shared" ref="E1223:I1224" si="287">E1225+E1227+E1229+E1231+E1233+E1235+E1237+E1239+E1241+E1243+E1245</f>
        <v>104</v>
      </c>
      <c r="F1223" s="122">
        <f t="shared" si="287"/>
        <v>0</v>
      </c>
      <c r="G1223" s="122">
        <f t="shared" si="287"/>
        <v>0</v>
      </c>
      <c r="H1223" s="122">
        <f t="shared" si="287"/>
        <v>0</v>
      </c>
      <c r="I1223" s="122">
        <f t="shared" si="287"/>
        <v>0</v>
      </c>
    </row>
    <row r="1224" spans="1:9" s="126" customFormat="1" x14ac:dyDescent="0.3">
      <c r="A1224" s="127"/>
      <c r="B1224" s="128" t="s">
        <v>33</v>
      </c>
      <c r="C1224" s="122">
        <f t="shared" si="274"/>
        <v>127.27</v>
      </c>
      <c r="D1224" s="122">
        <f>D1226+D1228+D1230+D1232+D1234+D1236+D1238+D1240+D1242+D1244+D1246</f>
        <v>23.27</v>
      </c>
      <c r="E1224" s="122">
        <f t="shared" si="287"/>
        <v>104</v>
      </c>
      <c r="F1224" s="122">
        <f t="shared" si="287"/>
        <v>0</v>
      </c>
      <c r="G1224" s="122">
        <f t="shared" si="287"/>
        <v>0</v>
      </c>
      <c r="H1224" s="122">
        <f t="shared" si="287"/>
        <v>0</v>
      </c>
      <c r="I1224" s="122">
        <f t="shared" si="287"/>
        <v>0</v>
      </c>
    </row>
    <row r="1225" spans="1:9" s="147" customFormat="1" ht="14.15" x14ac:dyDescent="0.35">
      <c r="A1225" s="293" t="s">
        <v>475</v>
      </c>
      <c r="B1225" s="40" t="s">
        <v>32</v>
      </c>
      <c r="C1225" s="41">
        <f t="shared" si="274"/>
        <v>3.54</v>
      </c>
      <c r="D1225" s="41">
        <v>3.54</v>
      </c>
      <c r="E1225" s="41">
        <v>0</v>
      </c>
      <c r="F1225" s="41">
        <v>0</v>
      </c>
      <c r="G1225" s="41">
        <v>0</v>
      </c>
      <c r="H1225" s="41">
        <v>0</v>
      </c>
      <c r="I1225" s="41">
        <v>0</v>
      </c>
    </row>
    <row r="1226" spans="1:9" s="147" customFormat="1" x14ac:dyDescent="0.3">
      <c r="A1226" s="63"/>
      <c r="B1226" s="44" t="s">
        <v>33</v>
      </c>
      <c r="C1226" s="41">
        <f t="shared" si="274"/>
        <v>3.54</v>
      </c>
      <c r="D1226" s="41">
        <v>3.54</v>
      </c>
      <c r="E1226" s="41">
        <v>0</v>
      </c>
      <c r="F1226" s="41">
        <v>0</v>
      </c>
      <c r="G1226" s="41">
        <v>0</v>
      </c>
      <c r="H1226" s="41">
        <v>0</v>
      </c>
      <c r="I1226" s="41">
        <v>0</v>
      </c>
    </row>
    <row r="1227" spans="1:9" s="147" customFormat="1" ht="14.15" x14ac:dyDescent="0.35">
      <c r="A1227" s="343" t="s">
        <v>476</v>
      </c>
      <c r="B1227" s="40" t="s">
        <v>32</v>
      </c>
      <c r="C1227" s="41">
        <f t="shared" si="274"/>
        <v>19.73</v>
      </c>
      <c r="D1227" s="41">
        <v>19.73</v>
      </c>
      <c r="E1227" s="41">
        <v>0</v>
      </c>
      <c r="F1227" s="41">
        <v>0</v>
      </c>
      <c r="G1227" s="41">
        <v>0</v>
      </c>
      <c r="H1227" s="41">
        <v>0</v>
      </c>
      <c r="I1227" s="41">
        <v>0</v>
      </c>
    </row>
    <row r="1228" spans="1:9" s="147" customFormat="1" x14ac:dyDescent="0.3">
      <c r="A1228" s="63"/>
      <c r="B1228" s="44" t="s">
        <v>33</v>
      </c>
      <c r="C1228" s="41">
        <f t="shared" si="274"/>
        <v>19.73</v>
      </c>
      <c r="D1228" s="41">
        <v>19.73</v>
      </c>
      <c r="E1228" s="41">
        <v>0</v>
      </c>
      <c r="F1228" s="41">
        <v>0</v>
      </c>
      <c r="G1228" s="41">
        <v>0</v>
      </c>
      <c r="H1228" s="41">
        <v>0</v>
      </c>
      <c r="I1228" s="41">
        <v>0</v>
      </c>
    </row>
    <row r="1229" spans="1:9" s="147" customFormat="1" ht="14.15" x14ac:dyDescent="0.35">
      <c r="A1229" s="293" t="s">
        <v>477</v>
      </c>
      <c r="B1229" s="40" t="s">
        <v>32</v>
      </c>
      <c r="C1229" s="41">
        <f t="shared" si="274"/>
        <v>3</v>
      </c>
      <c r="D1229" s="41">
        <v>0</v>
      </c>
      <c r="E1229" s="41">
        <v>3</v>
      </c>
      <c r="F1229" s="41">
        <v>0</v>
      </c>
      <c r="G1229" s="41">
        <v>0</v>
      </c>
      <c r="H1229" s="41">
        <v>0</v>
      </c>
      <c r="I1229" s="41">
        <v>0</v>
      </c>
    </row>
    <row r="1230" spans="1:9" s="147" customFormat="1" x14ac:dyDescent="0.3">
      <c r="A1230" s="63"/>
      <c r="B1230" s="44" t="s">
        <v>33</v>
      </c>
      <c r="C1230" s="41">
        <f t="shared" si="274"/>
        <v>3</v>
      </c>
      <c r="D1230" s="41">
        <v>0</v>
      </c>
      <c r="E1230" s="41">
        <v>3</v>
      </c>
      <c r="F1230" s="41">
        <v>0</v>
      </c>
      <c r="G1230" s="41">
        <v>0</v>
      </c>
      <c r="H1230" s="41">
        <v>0</v>
      </c>
      <c r="I1230" s="41">
        <v>0</v>
      </c>
    </row>
    <row r="1231" spans="1:9" s="147" customFormat="1" ht="14.15" x14ac:dyDescent="0.35">
      <c r="A1231" s="343" t="s">
        <v>478</v>
      </c>
      <c r="B1231" s="40" t="s">
        <v>32</v>
      </c>
      <c r="C1231" s="41">
        <f t="shared" si="274"/>
        <v>3</v>
      </c>
      <c r="D1231" s="41">
        <v>0</v>
      </c>
      <c r="E1231" s="41">
        <v>3</v>
      </c>
      <c r="F1231" s="41">
        <v>0</v>
      </c>
      <c r="G1231" s="41">
        <v>0</v>
      </c>
      <c r="H1231" s="41">
        <v>0</v>
      </c>
      <c r="I1231" s="41">
        <v>0</v>
      </c>
    </row>
    <row r="1232" spans="1:9" s="147" customFormat="1" x14ac:dyDescent="0.3">
      <c r="A1232" s="63"/>
      <c r="B1232" s="44" t="s">
        <v>33</v>
      </c>
      <c r="C1232" s="41">
        <f t="shared" si="274"/>
        <v>3</v>
      </c>
      <c r="D1232" s="41">
        <v>0</v>
      </c>
      <c r="E1232" s="41">
        <v>3</v>
      </c>
      <c r="F1232" s="41">
        <v>0</v>
      </c>
      <c r="G1232" s="41">
        <v>0</v>
      </c>
      <c r="H1232" s="41">
        <v>0</v>
      </c>
      <c r="I1232" s="41">
        <v>0</v>
      </c>
    </row>
    <row r="1233" spans="1:9" s="147" customFormat="1" ht="14.15" x14ac:dyDescent="0.35">
      <c r="A1233" s="293" t="s">
        <v>263</v>
      </c>
      <c r="B1233" s="40" t="s">
        <v>32</v>
      </c>
      <c r="C1233" s="41">
        <f t="shared" si="274"/>
        <v>5</v>
      </c>
      <c r="D1233" s="41">
        <v>0</v>
      </c>
      <c r="E1233" s="41">
        <v>5</v>
      </c>
      <c r="F1233" s="41">
        <v>0</v>
      </c>
      <c r="G1233" s="41">
        <v>0</v>
      </c>
      <c r="H1233" s="41">
        <v>0</v>
      </c>
      <c r="I1233" s="41">
        <v>0</v>
      </c>
    </row>
    <row r="1234" spans="1:9" s="147" customFormat="1" x14ac:dyDescent="0.3">
      <c r="A1234" s="63"/>
      <c r="B1234" s="44" t="s">
        <v>33</v>
      </c>
      <c r="C1234" s="41">
        <f t="shared" si="274"/>
        <v>5</v>
      </c>
      <c r="D1234" s="41">
        <v>0</v>
      </c>
      <c r="E1234" s="41">
        <v>5</v>
      </c>
      <c r="F1234" s="41">
        <v>0</v>
      </c>
      <c r="G1234" s="41">
        <v>0</v>
      </c>
      <c r="H1234" s="41">
        <v>0</v>
      </c>
      <c r="I1234" s="41">
        <v>0</v>
      </c>
    </row>
    <row r="1235" spans="1:9" s="147" customFormat="1" ht="14.15" x14ac:dyDescent="0.35">
      <c r="A1235" s="343" t="s">
        <v>479</v>
      </c>
      <c r="B1235" s="40" t="s">
        <v>32</v>
      </c>
      <c r="C1235" s="41">
        <f t="shared" si="274"/>
        <v>26</v>
      </c>
      <c r="D1235" s="41">
        <v>0</v>
      </c>
      <c r="E1235" s="41">
        <v>26</v>
      </c>
      <c r="F1235" s="41">
        <v>0</v>
      </c>
      <c r="G1235" s="41">
        <v>0</v>
      </c>
      <c r="H1235" s="41">
        <v>0</v>
      </c>
      <c r="I1235" s="41">
        <v>0</v>
      </c>
    </row>
    <row r="1236" spans="1:9" s="147" customFormat="1" x14ac:dyDescent="0.3">
      <c r="A1236" s="63"/>
      <c r="B1236" s="44" t="s">
        <v>33</v>
      </c>
      <c r="C1236" s="41">
        <f t="shared" si="274"/>
        <v>26</v>
      </c>
      <c r="D1236" s="41">
        <v>0</v>
      </c>
      <c r="E1236" s="41">
        <v>26</v>
      </c>
      <c r="F1236" s="41">
        <v>0</v>
      </c>
      <c r="G1236" s="41">
        <v>0</v>
      </c>
      <c r="H1236" s="41">
        <v>0</v>
      </c>
      <c r="I1236" s="41">
        <v>0</v>
      </c>
    </row>
    <row r="1237" spans="1:9" s="147" customFormat="1" ht="14.15" x14ac:dyDescent="0.35">
      <c r="A1237" s="343" t="s">
        <v>480</v>
      </c>
      <c r="B1237" s="40" t="s">
        <v>32</v>
      </c>
      <c r="C1237" s="41">
        <f t="shared" si="274"/>
        <v>3</v>
      </c>
      <c r="D1237" s="41">
        <v>0</v>
      </c>
      <c r="E1237" s="41">
        <v>3</v>
      </c>
      <c r="F1237" s="41">
        <v>0</v>
      </c>
      <c r="G1237" s="41">
        <v>0</v>
      </c>
      <c r="H1237" s="41">
        <v>0</v>
      </c>
      <c r="I1237" s="41">
        <v>0</v>
      </c>
    </row>
    <row r="1238" spans="1:9" s="147" customFormat="1" x14ac:dyDescent="0.3">
      <c r="A1238" s="63"/>
      <c r="B1238" s="44" t="s">
        <v>33</v>
      </c>
      <c r="C1238" s="41">
        <f t="shared" si="274"/>
        <v>3</v>
      </c>
      <c r="D1238" s="41">
        <v>0</v>
      </c>
      <c r="E1238" s="41">
        <v>3</v>
      </c>
      <c r="F1238" s="41">
        <v>0</v>
      </c>
      <c r="G1238" s="41">
        <v>0</v>
      </c>
      <c r="H1238" s="41">
        <v>0</v>
      </c>
      <c r="I1238" s="41">
        <v>0</v>
      </c>
    </row>
    <row r="1239" spans="1:9" s="147" customFormat="1" ht="14.15" x14ac:dyDescent="0.35">
      <c r="A1239" s="343" t="s">
        <v>481</v>
      </c>
      <c r="B1239" s="40" t="s">
        <v>32</v>
      </c>
      <c r="C1239" s="41">
        <f t="shared" si="274"/>
        <v>18</v>
      </c>
      <c r="D1239" s="41">
        <v>0</v>
      </c>
      <c r="E1239" s="41">
        <v>18</v>
      </c>
      <c r="F1239" s="41">
        <v>0</v>
      </c>
      <c r="G1239" s="41">
        <v>0</v>
      </c>
      <c r="H1239" s="41">
        <v>0</v>
      </c>
      <c r="I1239" s="41">
        <v>0</v>
      </c>
    </row>
    <row r="1240" spans="1:9" s="147" customFormat="1" x14ac:dyDescent="0.3">
      <c r="A1240" s="63"/>
      <c r="B1240" s="44" t="s">
        <v>33</v>
      </c>
      <c r="C1240" s="41">
        <f t="shared" si="274"/>
        <v>18</v>
      </c>
      <c r="D1240" s="41">
        <v>0</v>
      </c>
      <c r="E1240" s="41">
        <v>18</v>
      </c>
      <c r="F1240" s="41">
        <v>0</v>
      </c>
      <c r="G1240" s="41">
        <v>0</v>
      </c>
      <c r="H1240" s="41">
        <v>0</v>
      </c>
      <c r="I1240" s="41">
        <v>0</v>
      </c>
    </row>
    <row r="1241" spans="1:9" s="147" customFormat="1" ht="14.15" x14ac:dyDescent="0.35">
      <c r="A1241" s="343" t="s">
        <v>482</v>
      </c>
      <c r="B1241" s="40" t="s">
        <v>32</v>
      </c>
      <c r="C1241" s="41">
        <f t="shared" si="274"/>
        <v>3</v>
      </c>
      <c r="D1241" s="41">
        <v>0</v>
      </c>
      <c r="E1241" s="41">
        <v>3</v>
      </c>
      <c r="F1241" s="41">
        <v>0</v>
      </c>
      <c r="G1241" s="41">
        <v>0</v>
      </c>
      <c r="H1241" s="41">
        <v>0</v>
      </c>
      <c r="I1241" s="41">
        <v>0</v>
      </c>
    </row>
    <row r="1242" spans="1:9" s="147" customFormat="1" x14ac:dyDescent="0.3">
      <c r="A1242" s="63"/>
      <c r="B1242" s="44" t="s">
        <v>33</v>
      </c>
      <c r="C1242" s="41">
        <f t="shared" si="274"/>
        <v>3</v>
      </c>
      <c r="D1242" s="41">
        <v>0</v>
      </c>
      <c r="E1242" s="41">
        <v>3</v>
      </c>
      <c r="F1242" s="41">
        <v>0</v>
      </c>
      <c r="G1242" s="41">
        <v>0</v>
      </c>
      <c r="H1242" s="41">
        <v>0</v>
      </c>
      <c r="I1242" s="41">
        <v>0</v>
      </c>
    </row>
    <row r="1243" spans="1:9" s="147" customFormat="1" ht="14.15" x14ac:dyDescent="0.35">
      <c r="A1243" s="293" t="s">
        <v>483</v>
      </c>
      <c r="B1243" s="40" t="s">
        <v>32</v>
      </c>
      <c r="C1243" s="41">
        <f t="shared" si="274"/>
        <v>3</v>
      </c>
      <c r="D1243" s="41">
        <v>0</v>
      </c>
      <c r="E1243" s="41">
        <v>3</v>
      </c>
      <c r="F1243" s="41">
        <v>0</v>
      </c>
      <c r="G1243" s="41">
        <v>0</v>
      </c>
      <c r="H1243" s="41">
        <v>0</v>
      </c>
      <c r="I1243" s="41">
        <v>0</v>
      </c>
    </row>
    <row r="1244" spans="1:9" s="147" customFormat="1" x14ac:dyDescent="0.3">
      <c r="A1244" s="63"/>
      <c r="B1244" s="44" t="s">
        <v>33</v>
      </c>
      <c r="C1244" s="41">
        <f t="shared" si="274"/>
        <v>3</v>
      </c>
      <c r="D1244" s="41">
        <v>0</v>
      </c>
      <c r="E1244" s="41">
        <v>3</v>
      </c>
      <c r="F1244" s="41">
        <v>0</v>
      </c>
      <c r="G1244" s="41">
        <v>0</v>
      </c>
      <c r="H1244" s="41">
        <v>0</v>
      </c>
      <c r="I1244" s="41">
        <v>0</v>
      </c>
    </row>
    <row r="1245" spans="1:9" s="147" customFormat="1" ht="16.5" customHeight="1" x14ac:dyDescent="0.3">
      <c r="A1245" s="344" t="s">
        <v>484</v>
      </c>
      <c r="B1245" s="40" t="s">
        <v>32</v>
      </c>
      <c r="C1245" s="41">
        <f t="shared" si="274"/>
        <v>40</v>
      </c>
      <c r="D1245" s="41">
        <v>0</v>
      </c>
      <c r="E1245" s="41">
        <v>40</v>
      </c>
      <c r="F1245" s="41">
        <v>0</v>
      </c>
      <c r="G1245" s="41">
        <v>0</v>
      </c>
      <c r="H1245" s="41">
        <v>0</v>
      </c>
      <c r="I1245" s="41">
        <v>0</v>
      </c>
    </row>
    <row r="1246" spans="1:9" s="147" customFormat="1" x14ac:dyDescent="0.3">
      <c r="A1246" s="63"/>
      <c r="B1246" s="44" t="s">
        <v>33</v>
      </c>
      <c r="C1246" s="41">
        <f t="shared" si="274"/>
        <v>40</v>
      </c>
      <c r="D1246" s="41">
        <v>0</v>
      </c>
      <c r="E1246" s="41">
        <v>40</v>
      </c>
      <c r="F1246" s="41">
        <v>0</v>
      </c>
      <c r="G1246" s="41">
        <v>0</v>
      </c>
      <c r="H1246" s="41">
        <v>0</v>
      </c>
      <c r="I1246" s="41">
        <v>0</v>
      </c>
    </row>
    <row r="1247" spans="1:9" s="100" customFormat="1" x14ac:dyDescent="0.3">
      <c r="A1247" s="15" t="s">
        <v>485</v>
      </c>
      <c r="B1247" s="12" t="s">
        <v>32</v>
      </c>
      <c r="C1247" s="36">
        <f t="shared" si="274"/>
        <v>7805.77</v>
      </c>
      <c r="D1247" s="36">
        <f>D1249+D1251+D1253+D1255+D1257+D1259+D1261+D1263+D1265+D1267+D1269+D1271+D1273+D1275+D1277+D1279+D1281+D1283+D1285+D1287+D1289</f>
        <v>7.77</v>
      </c>
      <c r="E1247" s="36">
        <f t="shared" ref="E1247:I1248" si="288">E1249+E1251+E1253+E1255+E1257+E1259+E1261+E1263+E1265+E1267+E1269+E1271+E1273+E1275+E1277+E1279+E1281+E1283+E1285+E1287+E1289</f>
        <v>7798</v>
      </c>
      <c r="F1247" s="36">
        <f t="shared" si="288"/>
        <v>0</v>
      </c>
      <c r="G1247" s="36">
        <f t="shared" si="288"/>
        <v>0</v>
      </c>
      <c r="H1247" s="36">
        <f t="shared" si="288"/>
        <v>0</v>
      </c>
      <c r="I1247" s="36">
        <f t="shared" si="288"/>
        <v>0</v>
      </c>
    </row>
    <row r="1248" spans="1:9" s="100" customFormat="1" x14ac:dyDescent="0.3">
      <c r="A1248" s="85"/>
      <c r="B1248" s="23" t="s">
        <v>33</v>
      </c>
      <c r="C1248" s="36">
        <f t="shared" si="274"/>
        <v>7805.77</v>
      </c>
      <c r="D1248" s="36">
        <f>D1250+D1252+D1254+D1256+D1258+D1260+D1262+D1264+D1266+D1268+D1270+D1272+D1274+D1276+D1278+D1280+D1282+D1284+D1286+D1288+D1290</f>
        <v>7.77</v>
      </c>
      <c r="E1248" s="36">
        <f t="shared" si="288"/>
        <v>7798</v>
      </c>
      <c r="F1248" s="36">
        <f t="shared" si="288"/>
        <v>0</v>
      </c>
      <c r="G1248" s="36">
        <f t="shared" si="288"/>
        <v>0</v>
      </c>
      <c r="H1248" s="36">
        <f t="shared" si="288"/>
        <v>0</v>
      </c>
      <c r="I1248" s="36">
        <f t="shared" si="288"/>
        <v>0</v>
      </c>
    </row>
    <row r="1249" spans="1:9" s="105" customFormat="1" ht="14.15" x14ac:dyDescent="0.35">
      <c r="A1249" s="326" t="s">
        <v>486</v>
      </c>
      <c r="B1249" s="110" t="s">
        <v>32</v>
      </c>
      <c r="C1249" s="108">
        <f t="shared" si="274"/>
        <v>12.77</v>
      </c>
      <c r="D1249" s="108">
        <v>7.77</v>
      </c>
      <c r="E1249" s="108">
        <v>5</v>
      </c>
      <c r="F1249" s="108">
        <v>0</v>
      </c>
      <c r="G1249" s="108">
        <v>0</v>
      </c>
      <c r="H1249" s="108">
        <v>0</v>
      </c>
      <c r="I1249" s="108">
        <v>0</v>
      </c>
    </row>
    <row r="1250" spans="1:9" s="78" customFormat="1" x14ac:dyDescent="0.3">
      <c r="A1250" s="120"/>
      <c r="B1250" s="70" t="s">
        <v>33</v>
      </c>
      <c r="C1250" s="108">
        <f t="shared" si="274"/>
        <v>12.77</v>
      </c>
      <c r="D1250" s="108">
        <v>7.77</v>
      </c>
      <c r="E1250" s="108">
        <v>5</v>
      </c>
      <c r="F1250" s="108">
        <v>0</v>
      </c>
      <c r="G1250" s="108">
        <v>0</v>
      </c>
      <c r="H1250" s="108">
        <v>0</v>
      </c>
      <c r="I1250" s="108">
        <v>0</v>
      </c>
    </row>
    <row r="1251" spans="1:9" s="147" customFormat="1" ht="14.15" x14ac:dyDescent="0.35">
      <c r="A1251" s="331" t="s">
        <v>487</v>
      </c>
      <c r="B1251" s="40" t="s">
        <v>32</v>
      </c>
      <c r="C1251" s="41">
        <f t="shared" si="274"/>
        <v>15</v>
      </c>
      <c r="D1251" s="41">
        <v>0</v>
      </c>
      <c r="E1251" s="41">
        <v>15</v>
      </c>
      <c r="F1251" s="41">
        <v>0</v>
      </c>
      <c r="G1251" s="41">
        <v>0</v>
      </c>
      <c r="H1251" s="41">
        <v>0</v>
      </c>
      <c r="I1251" s="41">
        <v>0</v>
      </c>
    </row>
    <row r="1252" spans="1:9" s="145" customFormat="1" x14ac:dyDescent="0.3">
      <c r="A1252" s="63"/>
      <c r="B1252" s="44" t="s">
        <v>33</v>
      </c>
      <c r="C1252" s="41">
        <f t="shared" si="274"/>
        <v>15</v>
      </c>
      <c r="D1252" s="41">
        <v>0</v>
      </c>
      <c r="E1252" s="41">
        <v>15</v>
      </c>
      <c r="F1252" s="41">
        <v>0</v>
      </c>
      <c r="G1252" s="41">
        <v>0</v>
      </c>
      <c r="H1252" s="41">
        <v>0</v>
      </c>
      <c r="I1252" s="41">
        <v>0</v>
      </c>
    </row>
    <row r="1253" spans="1:9" s="147" customFormat="1" ht="14.15" x14ac:dyDescent="0.35">
      <c r="A1253" s="345" t="s">
        <v>488</v>
      </c>
      <c r="B1253" s="40" t="s">
        <v>32</v>
      </c>
      <c r="C1253" s="41">
        <f t="shared" si="274"/>
        <v>1370</v>
      </c>
      <c r="D1253" s="41">
        <v>0</v>
      </c>
      <c r="E1253" s="41">
        <v>1370</v>
      </c>
      <c r="F1253" s="41">
        <v>0</v>
      </c>
      <c r="G1253" s="41">
        <v>0</v>
      </c>
      <c r="H1253" s="41">
        <v>0</v>
      </c>
      <c r="I1253" s="41">
        <v>0</v>
      </c>
    </row>
    <row r="1254" spans="1:9" s="145" customFormat="1" x14ac:dyDescent="0.3">
      <c r="A1254" s="63"/>
      <c r="B1254" s="44" t="s">
        <v>33</v>
      </c>
      <c r="C1254" s="41">
        <f t="shared" si="274"/>
        <v>1370</v>
      </c>
      <c r="D1254" s="41">
        <v>0</v>
      </c>
      <c r="E1254" s="41">
        <v>1370</v>
      </c>
      <c r="F1254" s="41">
        <v>0</v>
      </c>
      <c r="G1254" s="41">
        <v>0</v>
      </c>
      <c r="H1254" s="41">
        <v>0</v>
      </c>
      <c r="I1254" s="41">
        <v>0</v>
      </c>
    </row>
    <row r="1255" spans="1:9" s="147" customFormat="1" ht="14.15" x14ac:dyDescent="0.35">
      <c r="A1255" s="345" t="s">
        <v>489</v>
      </c>
      <c r="B1255" s="40" t="s">
        <v>32</v>
      </c>
      <c r="C1255" s="41">
        <f t="shared" si="274"/>
        <v>1087</v>
      </c>
      <c r="D1255" s="41">
        <v>0</v>
      </c>
      <c r="E1255" s="41">
        <v>1087</v>
      </c>
      <c r="F1255" s="41">
        <v>0</v>
      </c>
      <c r="G1255" s="41">
        <v>0</v>
      </c>
      <c r="H1255" s="41">
        <v>0</v>
      </c>
      <c r="I1255" s="41">
        <v>0</v>
      </c>
    </row>
    <row r="1256" spans="1:9" s="145" customFormat="1" x14ac:dyDescent="0.3">
      <c r="A1256" s="63"/>
      <c r="B1256" s="44" t="s">
        <v>33</v>
      </c>
      <c r="C1256" s="41">
        <f t="shared" si="274"/>
        <v>1087</v>
      </c>
      <c r="D1256" s="41">
        <v>0</v>
      </c>
      <c r="E1256" s="41">
        <v>1087</v>
      </c>
      <c r="F1256" s="41">
        <v>0</v>
      </c>
      <c r="G1256" s="41">
        <v>0</v>
      </c>
      <c r="H1256" s="41">
        <v>0</v>
      </c>
      <c r="I1256" s="41">
        <v>0</v>
      </c>
    </row>
    <row r="1257" spans="1:9" s="147" customFormat="1" ht="14.15" x14ac:dyDescent="0.35">
      <c r="A1257" s="345" t="s">
        <v>490</v>
      </c>
      <c r="B1257" s="40" t="s">
        <v>32</v>
      </c>
      <c r="C1257" s="41">
        <f t="shared" si="274"/>
        <v>1401</v>
      </c>
      <c r="D1257" s="41">
        <v>0</v>
      </c>
      <c r="E1257" s="41">
        <v>1401</v>
      </c>
      <c r="F1257" s="41">
        <v>0</v>
      </c>
      <c r="G1257" s="41">
        <v>0</v>
      </c>
      <c r="H1257" s="41">
        <v>0</v>
      </c>
      <c r="I1257" s="41">
        <v>0</v>
      </c>
    </row>
    <row r="1258" spans="1:9" s="145" customFormat="1" x14ac:dyDescent="0.3">
      <c r="A1258" s="63"/>
      <c r="B1258" s="44" t="s">
        <v>33</v>
      </c>
      <c r="C1258" s="41">
        <f t="shared" si="274"/>
        <v>1401</v>
      </c>
      <c r="D1258" s="41">
        <v>0</v>
      </c>
      <c r="E1258" s="41">
        <v>1401</v>
      </c>
      <c r="F1258" s="41">
        <v>0</v>
      </c>
      <c r="G1258" s="41">
        <v>0</v>
      </c>
      <c r="H1258" s="41">
        <v>0</v>
      </c>
      <c r="I1258" s="41">
        <v>0</v>
      </c>
    </row>
    <row r="1259" spans="1:9" s="147" customFormat="1" ht="14.15" x14ac:dyDescent="0.35">
      <c r="A1259" s="345" t="s">
        <v>491</v>
      </c>
      <c r="B1259" s="40" t="s">
        <v>32</v>
      </c>
      <c r="C1259" s="41">
        <f t="shared" si="274"/>
        <v>77</v>
      </c>
      <c r="D1259" s="41">
        <v>0</v>
      </c>
      <c r="E1259" s="41">
        <v>77</v>
      </c>
      <c r="F1259" s="41">
        <v>0</v>
      </c>
      <c r="G1259" s="41">
        <v>0</v>
      </c>
      <c r="H1259" s="41">
        <v>0</v>
      </c>
      <c r="I1259" s="41">
        <v>0</v>
      </c>
    </row>
    <row r="1260" spans="1:9" s="145" customFormat="1" x14ac:dyDescent="0.3">
      <c r="A1260" s="63"/>
      <c r="B1260" s="44" t="s">
        <v>33</v>
      </c>
      <c r="C1260" s="41">
        <f t="shared" si="274"/>
        <v>77</v>
      </c>
      <c r="D1260" s="41">
        <v>0</v>
      </c>
      <c r="E1260" s="41">
        <v>77</v>
      </c>
      <c r="F1260" s="41">
        <v>0</v>
      </c>
      <c r="G1260" s="41">
        <v>0</v>
      </c>
      <c r="H1260" s="41">
        <v>0</v>
      </c>
      <c r="I1260" s="41">
        <v>0</v>
      </c>
    </row>
    <row r="1261" spans="1:9" s="147" customFormat="1" ht="14.15" x14ac:dyDescent="0.35">
      <c r="A1261" s="345" t="s">
        <v>492</v>
      </c>
      <c r="B1261" s="40" t="s">
        <v>32</v>
      </c>
      <c r="C1261" s="41">
        <f t="shared" si="274"/>
        <v>1838</v>
      </c>
      <c r="D1261" s="41">
        <v>0</v>
      </c>
      <c r="E1261" s="41">
        <v>1838</v>
      </c>
      <c r="F1261" s="41">
        <v>0</v>
      </c>
      <c r="G1261" s="41">
        <v>0</v>
      </c>
      <c r="H1261" s="41">
        <v>0</v>
      </c>
      <c r="I1261" s="41">
        <v>0</v>
      </c>
    </row>
    <row r="1262" spans="1:9" s="145" customFormat="1" x14ac:dyDescent="0.3">
      <c r="A1262" s="63"/>
      <c r="B1262" s="44" t="s">
        <v>33</v>
      </c>
      <c r="C1262" s="41">
        <f t="shared" si="274"/>
        <v>1838</v>
      </c>
      <c r="D1262" s="41">
        <v>0</v>
      </c>
      <c r="E1262" s="41">
        <v>1838</v>
      </c>
      <c r="F1262" s="41">
        <v>0</v>
      </c>
      <c r="G1262" s="41">
        <v>0</v>
      </c>
      <c r="H1262" s="41">
        <v>0</v>
      </c>
      <c r="I1262" s="41">
        <v>0</v>
      </c>
    </row>
    <row r="1263" spans="1:9" s="147" customFormat="1" ht="14.15" x14ac:dyDescent="0.35">
      <c r="A1263" s="345" t="s">
        <v>493</v>
      </c>
      <c r="B1263" s="40" t="s">
        <v>32</v>
      </c>
      <c r="C1263" s="41">
        <f t="shared" si="274"/>
        <v>1498</v>
      </c>
      <c r="D1263" s="41">
        <v>0</v>
      </c>
      <c r="E1263" s="41">
        <v>1498</v>
      </c>
      <c r="F1263" s="41">
        <v>0</v>
      </c>
      <c r="G1263" s="41">
        <v>0</v>
      </c>
      <c r="H1263" s="41">
        <v>0</v>
      </c>
      <c r="I1263" s="41">
        <v>0</v>
      </c>
    </row>
    <row r="1264" spans="1:9" s="145" customFormat="1" x14ac:dyDescent="0.3">
      <c r="A1264" s="63"/>
      <c r="B1264" s="44" t="s">
        <v>33</v>
      </c>
      <c r="C1264" s="41">
        <f t="shared" si="274"/>
        <v>1498</v>
      </c>
      <c r="D1264" s="41">
        <v>0</v>
      </c>
      <c r="E1264" s="41">
        <v>1498</v>
      </c>
      <c r="F1264" s="41">
        <v>0</v>
      </c>
      <c r="G1264" s="41">
        <v>0</v>
      </c>
      <c r="H1264" s="41">
        <v>0</v>
      </c>
      <c r="I1264" s="41">
        <v>0</v>
      </c>
    </row>
    <row r="1265" spans="1:9" s="147" customFormat="1" ht="14.15" x14ac:dyDescent="0.35">
      <c r="A1265" s="345" t="s">
        <v>494</v>
      </c>
      <c r="B1265" s="40" t="s">
        <v>32</v>
      </c>
      <c r="C1265" s="41">
        <f t="shared" si="274"/>
        <v>316</v>
      </c>
      <c r="D1265" s="41">
        <v>0</v>
      </c>
      <c r="E1265" s="41">
        <v>316</v>
      </c>
      <c r="F1265" s="41">
        <v>0</v>
      </c>
      <c r="G1265" s="41">
        <v>0</v>
      </c>
      <c r="H1265" s="41">
        <v>0</v>
      </c>
      <c r="I1265" s="41">
        <v>0</v>
      </c>
    </row>
    <row r="1266" spans="1:9" s="145" customFormat="1" x14ac:dyDescent="0.3">
      <c r="A1266" s="63"/>
      <c r="B1266" s="44" t="s">
        <v>33</v>
      </c>
      <c r="C1266" s="41">
        <f t="shared" si="274"/>
        <v>316</v>
      </c>
      <c r="D1266" s="41">
        <v>0</v>
      </c>
      <c r="E1266" s="41">
        <v>316</v>
      </c>
      <c r="F1266" s="41">
        <v>0</v>
      </c>
      <c r="G1266" s="41">
        <v>0</v>
      </c>
      <c r="H1266" s="41">
        <v>0</v>
      </c>
      <c r="I1266" s="41">
        <v>0</v>
      </c>
    </row>
    <row r="1267" spans="1:9" s="131" customFormat="1" x14ac:dyDescent="0.3">
      <c r="A1267" s="58" t="s">
        <v>495</v>
      </c>
      <c r="B1267" s="47" t="s">
        <v>32</v>
      </c>
      <c r="C1267" s="49">
        <f t="shared" si="274"/>
        <v>17</v>
      </c>
      <c r="D1267" s="49">
        <v>0</v>
      </c>
      <c r="E1267" s="49">
        <v>17</v>
      </c>
      <c r="F1267" s="49">
        <v>0</v>
      </c>
      <c r="G1267" s="49">
        <v>0</v>
      </c>
      <c r="H1267" s="49">
        <v>0</v>
      </c>
      <c r="I1267" s="49">
        <v>0</v>
      </c>
    </row>
    <row r="1268" spans="1:9" s="145" customFormat="1" x14ac:dyDescent="0.3">
      <c r="A1268" s="63"/>
      <c r="B1268" s="44" t="s">
        <v>33</v>
      </c>
      <c r="C1268" s="41">
        <f t="shared" si="274"/>
        <v>17</v>
      </c>
      <c r="D1268" s="41">
        <v>0</v>
      </c>
      <c r="E1268" s="41">
        <v>17</v>
      </c>
      <c r="F1268" s="41">
        <v>0</v>
      </c>
      <c r="G1268" s="41">
        <v>0</v>
      </c>
      <c r="H1268" s="41">
        <v>0</v>
      </c>
      <c r="I1268" s="41">
        <v>0</v>
      </c>
    </row>
    <row r="1269" spans="1:9" s="131" customFormat="1" x14ac:dyDescent="0.3">
      <c r="A1269" s="113" t="s">
        <v>496</v>
      </c>
      <c r="B1269" s="47" t="s">
        <v>32</v>
      </c>
      <c r="C1269" s="49">
        <f t="shared" si="274"/>
        <v>14</v>
      </c>
      <c r="D1269" s="49">
        <v>0</v>
      </c>
      <c r="E1269" s="49">
        <v>14</v>
      </c>
      <c r="F1269" s="49">
        <v>0</v>
      </c>
      <c r="G1269" s="49">
        <v>0</v>
      </c>
      <c r="H1269" s="49">
        <v>0</v>
      </c>
      <c r="I1269" s="49">
        <v>0</v>
      </c>
    </row>
    <row r="1270" spans="1:9" s="145" customFormat="1" x14ac:dyDescent="0.3">
      <c r="A1270" s="63"/>
      <c r="B1270" s="44" t="s">
        <v>33</v>
      </c>
      <c r="C1270" s="41">
        <f t="shared" si="274"/>
        <v>14</v>
      </c>
      <c r="D1270" s="41">
        <v>0</v>
      </c>
      <c r="E1270" s="41">
        <v>14</v>
      </c>
      <c r="F1270" s="41">
        <v>0</v>
      </c>
      <c r="G1270" s="41">
        <v>0</v>
      </c>
      <c r="H1270" s="41">
        <v>0</v>
      </c>
      <c r="I1270" s="41">
        <v>0</v>
      </c>
    </row>
    <row r="1271" spans="1:9" s="131" customFormat="1" x14ac:dyDescent="0.3">
      <c r="A1271" s="58" t="s">
        <v>497</v>
      </c>
      <c r="B1271" s="47" t="s">
        <v>32</v>
      </c>
      <c r="C1271" s="49">
        <f t="shared" si="274"/>
        <v>31</v>
      </c>
      <c r="D1271" s="49">
        <v>0</v>
      </c>
      <c r="E1271" s="49">
        <v>31</v>
      </c>
      <c r="F1271" s="49">
        <v>0</v>
      </c>
      <c r="G1271" s="49">
        <v>0</v>
      </c>
      <c r="H1271" s="49">
        <v>0</v>
      </c>
      <c r="I1271" s="49">
        <v>0</v>
      </c>
    </row>
    <row r="1272" spans="1:9" s="145" customFormat="1" x14ac:dyDescent="0.3">
      <c r="A1272" s="63"/>
      <c r="B1272" s="44" t="s">
        <v>33</v>
      </c>
      <c r="C1272" s="41">
        <f t="shared" si="274"/>
        <v>31</v>
      </c>
      <c r="D1272" s="41">
        <v>0</v>
      </c>
      <c r="E1272" s="41">
        <v>31</v>
      </c>
      <c r="F1272" s="41">
        <v>0</v>
      </c>
      <c r="G1272" s="41">
        <v>0</v>
      </c>
      <c r="H1272" s="41">
        <v>0</v>
      </c>
      <c r="I1272" s="41">
        <v>0</v>
      </c>
    </row>
    <row r="1273" spans="1:9" s="131" customFormat="1" x14ac:dyDescent="0.3">
      <c r="A1273" s="113" t="s">
        <v>498</v>
      </c>
      <c r="B1273" s="47" t="s">
        <v>32</v>
      </c>
      <c r="C1273" s="49">
        <f t="shared" si="274"/>
        <v>29</v>
      </c>
      <c r="D1273" s="49">
        <v>0</v>
      </c>
      <c r="E1273" s="49">
        <v>29</v>
      </c>
      <c r="F1273" s="49">
        <v>0</v>
      </c>
      <c r="G1273" s="49">
        <v>0</v>
      </c>
      <c r="H1273" s="49">
        <v>0</v>
      </c>
      <c r="I1273" s="49">
        <v>0</v>
      </c>
    </row>
    <row r="1274" spans="1:9" s="145" customFormat="1" x14ac:dyDescent="0.3">
      <c r="A1274" s="63"/>
      <c r="B1274" s="44" t="s">
        <v>33</v>
      </c>
      <c r="C1274" s="41">
        <f t="shared" si="274"/>
        <v>29</v>
      </c>
      <c r="D1274" s="41">
        <v>0</v>
      </c>
      <c r="E1274" s="41">
        <v>29</v>
      </c>
      <c r="F1274" s="41">
        <v>0</v>
      </c>
      <c r="G1274" s="41">
        <v>0</v>
      </c>
      <c r="H1274" s="41">
        <v>0</v>
      </c>
      <c r="I1274" s="41">
        <v>0</v>
      </c>
    </row>
    <row r="1275" spans="1:9" s="131" customFormat="1" x14ac:dyDescent="0.3">
      <c r="A1275" s="113" t="s">
        <v>499</v>
      </c>
      <c r="B1275" s="47" t="s">
        <v>32</v>
      </c>
      <c r="C1275" s="49">
        <f t="shared" si="274"/>
        <v>17</v>
      </c>
      <c r="D1275" s="49">
        <v>0</v>
      </c>
      <c r="E1275" s="49">
        <v>17</v>
      </c>
      <c r="F1275" s="49">
        <v>0</v>
      </c>
      <c r="G1275" s="49">
        <v>0</v>
      </c>
      <c r="H1275" s="49">
        <v>0</v>
      </c>
      <c r="I1275" s="49">
        <v>0</v>
      </c>
    </row>
    <row r="1276" spans="1:9" s="145" customFormat="1" x14ac:dyDescent="0.3">
      <c r="A1276" s="60"/>
      <c r="B1276" s="53" t="s">
        <v>33</v>
      </c>
      <c r="C1276" s="49">
        <f t="shared" si="274"/>
        <v>17</v>
      </c>
      <c r="D1276" s="49">
        <v>0</v>
      </c>
      <c r="E1276" s="49">
        <v>17</v>
      </c>
      <c r="F1276" s="49">
        <v>0</v>
      </c>
      <c r="G1276" s="49">
        <v>0</v>
      </c>
      <c r="H1276" s="49">
        <v>0</v>
      </c>
      <c r="I1276" s="49">
        <v>0</v>
      </c>
    </row>
    <row r="1277" spans="1:9" s="131" customFormat="1" x14ac:dyDescent="0.3">
      <c r="A1277" s="113" t="s">
        <v>500</v>
      </c>
      <c r="B1277" s="47" t="s">
        <v>32</v>
      </c>
      <c r="C1277" s="49">
        <f t="shared" si="274"/>
        <v>10</v>
      </c>
      <c r="D1277" s="49">
        <v>0</v>
      </c>
      <c r="E1277" s="49">
        <v>10</v>
      </c>
      <c r="F1277" s="49">
        <v>0</v>
      </c>
      <c r="G1277" s="49">
        <v>0</v>
      </c>
      <c r="H1277" s="49">
        <v>0</v>
      </c>
      <c r="I1277" s="49">
        <v>0</v>
      </c>
    </row>
    <row r="1278" spans="1:9" s="145" customFormat="1" x14ac:dyDescent="0.3">
      <c r="A1278" s="60"/>
      <c r="B1278" s="53" t="s">
        <v>33</v>
      </c>
      <c r="C1278" s="49">
        <f t="shared" si="274"/>
        <v>10</v>
      </c>
      <c r="D1278" s="49">
        <v>0</v>
      </c>
      <c r="E1278" s="49">
        <v>10</v>
      </c>
      <c r="F1278" s="49">
        <v>0</v>
      </c>
      <c r="G1278" s="49">
        <v>0</v>
      </c>
      <c r="H1278" s="49">
        <v>0</v>
      </c>
      <c r="I1278" s="49">
        <v>0</v>
      </c>
    </row>
    <row r="1279" spans="1:9" s="131" customFormat="1" x14ac:dyDescent="0.3">
      <c r="A1279" s="113" t="s">
        <v>501</v>
      </c>
      <c r="B1279" s="47" t="s">
        <v>32</v>
      </c>
      <c r="C1279" s="49">
        <f t="shared" si="274"/>
        <v>20</v>
      </c>
      <c r="D1279" s="49">
        <v>0</v>
      </c>
      <c r="E1279" s="49">
        <v>20</v>
      </c>
      <c r="F1279" s="49">
        <v>0</v>
      </c>
      <c r="G1279" s="49">
        <v>0</v>
      </c>
      <c r="H1279" s="49">
        <v>0</v>
      </c>
      <c r="I1279" s="49">
        <v>0</v>
      </c>
    </row>
    <row r="1280" spans="1:9" s="145" customFormat="1" x14ac:dyDescent="0.3">
      <c r="A1280" s="60"/>
      <c r="B1280" s="53" t="s">
        <v>33</v>
      </c>
      <c r="C1280" s="49">
        <f t="shared" si="274"/>
        <v>20</v>
      </c>
      <c r="D1280" s="49">
        <v>0</v>
      </c>
      <c r="E1280" s="49">
        <v>20</v>
      </c>
      <c r="F1280" s="49">
        <v>0</v>
      </c>
      <c r="G1280" s="49">
        <v>0</v>
      </c>
      <c r="H1280" s="49">
        <v>0</v>
      </c>
      <c r="I1280" s="49">
        <v>0</v>
      </c>
    </row>
    <row r="1281" spans="1:9" s="131" customFormat="1" x14ac:dyDescent="0.3">
      <c r="A1281" s="113" t="s">
        <v>502</v>
      </c>
      <c r="B1281" s="47" t="s">
        <v>32</v>
      </c>
      <c r="C1281" s="49">
        <f t="shared" si="274"/>
        <v>12</v>
      </c>
      <c r="D1281" s="49">
        <v>0</v>
      </c>
      <c r="E1281" s="49">
        <v>12</v>
      </c>
      <c r="F1281" s="49">
        <v>0</v>
      </c>
      <c r="G1281" s="49">
        <v>0</v>
      </c>
      <c r="H1281" s="49">
        <v>0</v>
      </c>
      <c r="I1281" s="49">
        <v>0</v>
      </c>
    </row>
    <row r="1282" spans="1:9" s="145" customFormat="1" x14ac:dyDescent="0.3">
      <c r="A1282" s="60"/>
      <c r="B1282" s="53" t="s">
        <v>33</v>
      </c>
      <c r="C1282" s="49">
        <f t="shared" si="274"/>
        <v>12</v>
      </c>
      <c r="D1282" s="49">
        <v>0</v>
      </c>
      <c r="E1282" s="49">
        <v>12</v>
      </c>
      <c r="F1282" s="49">
        <v>0</v>
      </c>
      <c r="G1282" s="49">
        <v>0</v>
      </c>
      <c r="H1282" s="49">
        <v>0</v>
      </c>
      <c r="I1282" s="49">
        <v>0</v>
      </c>
    </row>
    <row r="1283" spans="1:9" s="131" customFormat="1" x14ac:dyDescent="0.3">
      <c r="A1283" s="113" t="s">
        <v>503</v>
      </c>
      <c r="B1283" s="47" t="s">
        <v>32</v>
      </c>
      <c r="C1283" s="49">
        <f t="shared" si="274"/>
        <v>11</v>
      </c>
      <c r="D1283" s="49">
        <v>0</v>
      </c>
      <c r="E1283" s="49">
        <v>11</v>
      </c>
      <c r="F1283" s="49">
        <v>0</v>
      </c>
      <c r="G1283" s="49">
        <v>0</v>
      </c>
      <c r="H1283" s="49">
        <v>0</v>
      </c>
      <c r="I1283" s="49">
        <v>0</v>
      </c>
    </row>
    <row r="1284" spans="1:9" s="145" customFormat="1" x14ac:dyDescent="0.3">
      <c r="A1284" s="60"/>
      <c r="B1284" s="53" t="s">
        <v>33</v>
      </c>
      <c r="C1284" s="49">
        <f t="shared" si="274"/>
        <v>11</v>
      </c>
      <c r="D1284" s="49">
        <v>0</v>
      </c>
      <c r="E1284" s="49">
        <v>11</v>
      </c>
      <c r="F1284" s="49">
        <v>0</v>
      </c>
      <c r="G1284" s="49">
        <v>0</v>
      </c>
      <c r="H1284" s="49">
        <v>0</v>
      </c>
      <c r="I1284" s="49">
        <v>0</v>
      </c>
    </row>
    <row r="1285" spans="1:9" s="131" customFormat="1" x14ac:dyDescent="0.3">
      <c r="A1285" s="113" t="s">
        <v>504</v>
      </c>
      <c r="B1285" s="47" t="s">
        <v>32</v>
      </c>
      <c r="C1285" s="49">
        <f t="shared" si="274"/>
        <v>10</v>
      </c>
      <c r="D1285" s="49">
        <v>0</v>
      </c>
      <c r="E1285" s="49">
        <v>10</v>
      </c>
      <c r="F1285" s="49">
        <v>0</v>
      </c>
      <c r="G1285" s="49">
        <v>0</v>
      </c>
      <c r="H1285" s="49">
        <v>0</v>
      </c>
      <c r="I1285" s="49">
        <v>0</v>
      </c>
    </row>
    <row r="1286" spans="1:9" s="145" customFormat="1" x14ac:dyDescent="0.3">
      <c r="A1286" s="60"/>
      <c r="B1286" s="53" t="s">
        <v>33</v>
      </c>
      <c r="C1286" s="49">
        <f t="shared" si="274"/>
        <v>10</v>
      </c>
      <c r="D1286" s="49">
        <v>0</v>
      </c>
      <c r="E1286" s="49">
        <v>10</v>
      </c>
      <c r="F1286" s="49">
        <v>0</v>
      </c>
      <c r="G1286" s="49">
        <v>0</v>
      </c>
      <c r="H1286" s="49">
        <v>0</v>
      </c>
      <c r="I1286" s="49">
        <v>0</v>
      </c>
    </row>
    <row r="1287" spans="1:9" s="131" customFormat="1" x14ac:dyDescent="0.3">
      <c r="A1287" s="58" t="s">
        <v>505</v>
      </c>
      <c r="B1287" s="47" t="s">
        <v>32</v>
      </c>
      <c r="C1287" s="49">
        <f t="shared" si="274"/>
        <v>17</v>
      </c>
      <c r="D1287" s="49">
        <v>0</v>
      </c>
      <c r="E1287" s="49">
        <v>17</v>
      </c>
      <c r="F1287" s="49">
        <v>0</v>
      </c>
      <c r="G1287" s="49">
        <v>0</v>
      </c>
      <c r="H1287" s="49">
        <v>0</v>
      </c>
      <c r="I1287" s="49">
        <v>0</v>
      </c>
    </row>
    <row r="1288" spans="1:9" s="145" customFormat="1" x14ac:dyDescent="0.3">
      <c r="A1288" s="60"/>
      <c r="B1288" s="53" t="s">
        <v>33</v>
      </c>
      <c r="C1288" s="49">
        <f t="shared" si="274"/>
        <v>17</v>
      </c>
      <c r="D1288" s="49">
        <v>0</v>
      </c>
      <c r="E1288" s="49">
        <v>17</v>
      </c>
      <c r="F1288" s="49">
        <v>0</v>
      </c>
      <c r="G1288" s="49">
        <v>0</v>
      </c>
      <c r="H1288" s="49">
        <v>0</v>
      </c>
      <c r="I1288" s="49">
        <v>0</v>
      </c>
    </row>
    <row r="1289" spans="1:9" s="131" customFormat="1" x14ac:dyDescent="0.3">
      <c r="A1289" s="58" t="s">
        <v>506</v>
      </c>
      <c r="B1289" s="47" t="s">
        <v>32</v>
      </c>
      <c r="C1289" s="49">
        <f t="shared" si="274"/>
        <v>3</v>
      </c>
      <c r="D1289" s="49">
        <v>0</v>
      </c>
      <c r="E1289" s="49">
        <v>3</v>
      </c>
      <c r="F1289" s="49">
        <v>0</v>
      </c>
      <c r="G1289" s="49">
        <v>0</v>
      </c>
      <c r="H1289" s="49">
        <v>0</v>
      </c>
      <c r="I1289" s="49">
        <v>0</v>
      </c>
    </row>
    <row r="1290" spans="1:9" s="145" customFormat="1" x14ac:dyDescent="0.3">
      <c r="A1290" s="63"/>
      <c r="B1290" s="44" t="s">
        <v>33</v>
      </c>
      <c r="C1290" s="41">
        <f t="shared" si="274"/>
        <v>3</v>
      </c>
      <c r="D1290" s="41">
        <v>0</v>
      </c>
      <c r="E1290" s="41">
        <v>3</v>
      </c>
      <c r="F1290" s="41">
        <v>0</v>
      </c>
      <c r="G1290" s="41">
        <v>0</v>
      </c>
      <c r="H1290" s="41">
        <v>0</v>
      </c>
      <c r="I1290" s="41">
        <v>0</v>
      </c>
    </row>
    <row r="1291" spans="1:9" s="100" customFormat="1" ht="14.15" x14ac:dyDescent="0.35">
      <c r="A1291" s="346" t="s">
        <v>507</v>
      </c>
      <c r="B1291" s="12" t="s">
        <v>32</v>
      </c>
      <c r="C1291" s="36">
        <f>D1291+E1291+F1291+G1291+H1291+I1291</f>
        <v>95.92</v>
      </c>
      <c r="D1291" s="36">
        <f>D1293+D1295+D1297+D1299+D1301+D1303</f>
        <v>54.92</v>
      </c>
      <c r="E1291" s="36">
        <f t="shared" ref="E1291:I1292" si="289">E1293+E1295+E1297+E1299+E1301+E1303</f>
        <v>41</v>
      </c>
      <c r="F1291" s="36">
        <f t="shared" si="289"/>
        <v>0</v>
      </c>
      <c r="G1291" s="36">
        <f t="shared" si="289"/>
        <v>0</v>
      </c>
      <c r="H1291" s="36">
        <f t="shared" si="289"/>
        <v>0</v>
      </c>
      <c r="I1291" s="36">
        <f t="shared" si="289"/>
        <v>0</v>
      </c>
    </row>
    <row r="1292" spans="1:9" s="100" customFormat="1" x14ac:dyDescent="0.3">
      <c r="A1292" s="85"/>
      <c r="B1292" s="23" t="s">
        <v>33</v>
      </c>
      <c r="C1292" s="36">
        <f>D1292+E1292+F1292+G1292+H1292+I1292</f>
        <v>95.92</v>
      </c>
      <c r="D1292" s="36">
        <f>D1294+D1296+D1298+D1300+D1302+D1304</f>
        <v>54.92</v>
      </c>
      <c r="E1292" s="36">
        <f t="shared" si="289"/>
        <v>41</v>
      </c>
      <c r="F1292" s="36">
        <f t="shared" si="289"/>
        <v>0</v>
      </c>
      <c r="G1292" s="36">
        <f t="shared" si="289"/>
        <v>0</v>
      </c>
      <c r="H1292" s="36">
        <f t="shared" si="289"/>
        <v>0</v>
      </c>
      <c r="I1292" s="36">
        <f t="shared" si="289"/>
        <v>0</v>
      </c>
    </row>
    <row r="1293" spans="1:9" s="147" customFormat="1" ht="14.15" x14ac:dyDescent="0.35">
      <c r="A1293" s="347" t="s">
        <v>508</v>
      </c>
      <c r="B1293" s="40" t="s">
        <v>32</v>
      </c>
      <c r="C1293" s="41">
        <f t="shared" ref="C1293:C1308" si="290">D1293+E1293+F1293+G1293+H1293+I1293</f>
        <v>16</v>
      </c>
      <c r="D1293" s="41">
        <v>16</v>
      </c>
      <c r="E1293" s="41">
        <v>0</v>
      </c>
      <c r="F1293" s="41">
        <v>0</v>
      </c>
      <c r="G1293" s="41">
        <v>0</v>
      </c>
      <c r="H1293" s="41">
        <v>0</v>
      </c>
      <c r="I1293" s="41">
        <v>0</v>
      </c>
    </row>
    <row r="1294" spans="1:9" s="145" customFormat="1" x14ac:dyDescent="0.3">
      <c r="A1294" s="63"/>
      <c r="B1294" s="44" t="s">
        <v>33</v>
      </c>
      <c r="C1294" s="41">
        <f t="shared" si="290"/>
        <v>16</v>
      </c>
      <c r="D1294" s="41">
        <v>16</v>
      </c>
      <c r="E1294" s="41">
        <v>0</v>
      </c>
      <c r="F1294" s="41">
        <v>0</v>
      </c>
      <c r="G1294" s="41">
        <v>0</v>
      </c>
      <c r="H1294" s="41">
        <v>0</v>
      </c>
      <c r="I1294" s="41">
        <v>0</v>
      </c>
    </row>
    <row r="1295" spans="1:9" s="147" customFormat="1" ht="14.15" x14ac:dyDescent="0.35">
      <c r="A1295" s="348" t="s">
        <v>509</v>
      </c>
      <c r="B1295" s="40" t="s">
        <v>32</v>
      </c>
      <c r="C1295" s="41">
        <f t="shared" si="290"/>
        <v>15</v>
      </c>
      <c r="D1295" s="41">
        <v>15</v>
      </c>
      <c r="E1295" s="41">
        <v>0</v>
      </c>
      <c r="F1295" s="41">
        <v>0</v>
      </c>
      <c r="G1295" s="41">
        <v>0</v>
      </c>
      <c r="H1295" s="41">
        <v>0</v>
      </c>
      <c r="I1295" s="41">
        <v>0</v>
      </c>
    </row>
    <row r="1296" spans="1:9" s="145" customFormat="1" x14ac:dyDescent="0.3">
      <c r="A1296" s="63"/>
      <c r="B1296" s="44" t="s">
        <v>33</v>
      </c>
      <c r="C1296" s="41">
        <f t="shared" si="290"/>
        <v>15</v>
      </c>
      <c r="D1296" s="41">
        <v>15</v>
      </c>
      <c r="E1296" s="41">
        <v>0</v>
      </c>
      <c r="F1296" s="41">
        <v>0</v>
      </c>
      <c r="G1296" s="41">
        <v>0</v>
      </c>
      <c r="H1296" s="41">
        <v>0</v>
      </c>
      <c r="I1296" s="41">
        <v>0</v>
      </c>
    </row>
    <row r="1297" spans="1:9" s="147" customFormat="1" ht="14.15" x14ac:dyDescent="0.35">
      <c r="A1297" s="347" t="s">
        <v>510</v>
      </c>
      <c r="B1297" s="40" t="s">
        <v>32</v>
      </c>
      <c r="C1297" s="41">
        <f t="shared" si="290"/>
        <v>19.920000000000002</v>
      </c>
      <c r="D1297" s="41">
        <v>19.920000000000002</v>
      </c>
      <c r="E1297" s="41">
        <v>0</v>
      </c>
      <c r="F1297" s="41">
        <v>0</v>
      </c>
      <c r="G1297" s="41">
        <v>0</v>
      </c>
      <c r="H1297" s="41">
        <v>0</v>
      </c>
      <c r="I1297" s="41">
        <v>0</v>
      </c>
    </row>
    <row r="1298" spans="1:9" s="145" customFormat="1" x14ac:dyDescent="0.3">
      <c r="A1298" s="63"/>
      <c r="B1298" s="44" t="s">
        <v>33</v>
      </c>
      <c r="C1298" s="41">
        <f t="shared" si="290"/>
        <v>19.920000000000002</v>
      </c>
      <c r="D1298" s="41">
        <v>19.920000000000002</v>
      </c>
      <c r="E1298" s="41">
        <v>0</v>
      </c>
      <c r="F1298" s="41">
        <v>0</v>
      </c>
      <c r="G1298" s="41">
        <v>0</v>
      </c>
      <c r="H1298" s="41">
        <v>0</v>
      </c>
      <c r="I1298" s="41">
        <v>0</v>
      </c>
    </row>
    <row r="1299" spans="1:9" s="147" customFormat="1" ht="14.15" x14ac:dyDescent="0.35">
      <c r="A1299" s="349" t="s">
        <v>482</v>
      </c>
      <c r="B1299" s="40" t="s">
        <v>32</v>
      </c>
      <c r="C1299" s="41">
        <f t="shared" si="290"/>
        <v>9</v>
      </c>
      <c r="D1299" s="41">
        <v>4</v>
      </c>
      <c r="E1299" s="41">
        <v>5</v>
      </c>
      <c r="F1299" s="41">
        <v>0</v>
      </c>
      <c r="G1299" s="41">
        <v>0</v>
      </c>
      <c r="H1299" s="41">
        <v>0</v>
      </c>
      <c r="I1299" s="41">
        <v>0</v>
      </c>
    </row>
    <row r="1300" spans="1:9" s="145" customFormat="1" x14ac:dyDescent="0.3">
      <c r="A1300" s="63"/>
      <c r="B1300" s="44" t="s">
        <v>33</v>
      </c>
      <c r="C1300" s="41">
        <f t="shared" si="290"/>
        <v>9</v>
      </c>
      <c r="D1300" s="41">
        <v>4</v>
      </c>
      <c r="E1300" s="41">
        <v>5</v>
      </c>
      <c r="F1300" s="41">
        <v>0</v>
      </c>
      <c r="G1300" s="41">
        <v>0</v>
      </c>
      <c r="H1300" s="41">
        <v>0</v>
      </c>
      <c r="I1300" s="41">
        <v>0</v>
      </c>
    </row>
    <row r="1301" spans="1:9" s="147" customFormat="1" ht="14.15" x14ac:dyDescent="0.35">
      <c r="A1301" s="350" t="s">
        <v>480</v>
      </c>
      <c r="B1301" s="40" t="s">
        <v>32</v>
      </c>
      <c r="C1301" s="41">
        <f t="shared" si="290"/>
        <v>4</v>
      </c>
      <c r="D1301" s="41">
        <v>0</v>
      </c>
      <c r="E1301" s="41">
        <v>4</v>
      </c>
      <c r="F1301" s="41">
        <v>0</v>
      </c>
      <c r="G1301" s="41">
        <v>0</v>
      </c>
      <c r="H1301" s="41">
        <v>0</v>
      </c>
      <c r="I1301" s="41">
        <v>0</v>
      </c>
    </row>
    <row r="1302" spans="1:9" s="145" customFormat="1" x14ac:dyDescent="0.3">
      <c r="A1302" s="63"/>
      <c r="B1302" s="44" t="s">
        <v>33</v>
      </c>
      <c r="C1302" s="41">
        <f t="shared" si="290"/>
        <v>4</v>
      </c>
      <c r="D1302" s="41">
        <v>0</v>
      </c>
      <c r="E1302" s="41">
        <v>4</v>
      </c>
      <c r="F1302" s="41">
        <v>0</v>
      </c>
      <c r="G1302" s="41">
        <v>0</v>
      </c>
      <c r="H1302" s="41">
        <v>0</v>
      </c>
      <c r="I1302" s="41">
        <v>0</v>
      </c>
    </row>
    <row r="1303" spans="1:9" s="147" customFormat="1" ht="15.45" x14ac:dyDescent="0.4">
      <c r="A1303" s="351" t="s">
        <v>511</v>
      </c>
      <c r="B1303" s="40" t="s">
        <v>32</v>
      </c>
      <c r="C1303" s="41">
        <f t="shared" si="290"/>
        <v>32</v>
      </c>
      <c r="D1303" s="41">
        <f>D1305+D1307</f>
        <v>0</v>
      </c>
      <c r="E1303" s="41">
        <f t="shared" ref="E1303:I1304" si="291">E1305+E1307</f>
        <v>32</v>
      </c>
      <c r="F1303" s="41">
        <f t="shared" si="291"/>
        <v>0</v>
      </c>
      <c r="G1303" s="41">
        <f t="shared" si="291"/>
        <v>0</v>
      </c>
      <c r="H1303" s="41">
        <f t="shared" si="291"/>
        <v>0</v>
      </c>
      <c r="I1303" s="41">
        <f t="shared" si="291"/>
        <v>0</v>
      </c>
    </row>
    <row r="1304" spans="1:9" s="145" customFormat="1" x14ac:dyDescent="0.3">
      <c r="A1304" s="63"/>
      <c r="B1304" s="44" t="s">
        <v>33</v>
      </c>
      <c r="C1304" s="41">
        <f t="shared" si="290"/>
        <v>32</v>
      </c>
      <c r="D1304" s="41">
        <f>D1306+D1308</f>
        <v>0</v>
      </c>
      <c r="E1304" s="41">
        <f t="shared" si="291"/>
        <v>32</v>
      </c>
      <c r="F1304" s="41">
        <f t="shared" si="291"/>
        <v>0</v>
      </c>
      <c r="G1304" s="41">
        <f t="shared" si="291"/>
        <v>0</v>
      </c>
      <c r="H1304" s="41">
        <f t="shared" si="291"/>
        <v>0</v>
      </c>
      <c r="I1304" s="41">
        <f t="shared" si="291"/>
        <v>0</v>
      </c>
    </row>
    <row r="1305" spans="1:9" s="147" customFormat="1" ht="14.15" x14ac:dyDescent="0.35">
      <c r="A1305" s="317" t="s">
        <v>512</v>
      </c>
      <c r="B1305" s="40" t="s">
        <v>32</v>
      </c>
      <c r="C1305" s="41">
        <f t="shared" si="290"/>
        <v>7</v>
      </c>
      <c r="D1305" s="41">
        <v>0</v>
      </c>
      <c r="E1305" s="41">
        <v>7</v>
      </c>
      <c r="F1305" s="41">
        <v>0</v>
      </c>
      <c r="G1305" s="41">
        <v>0</v>
      </c>
      <c r="H1305" s="41">
        <v>0</v>
      </c>
      <c r="I1305" s="41">
        <v>0</v>
      </c>
    </row>
    <row r="1306" spans="1:9" s="145" customFormat="1" x14ac:dyDescent="0.3">
      <c r="A1306" s="63"/>
      <c r="B1306" s="44" t="s">
        <v>33</v>
      </c>
      <c r="C1306" s="41">
        <f t="shared" si="290"/>
        <v>7</v>
      </c>
      <c r="D1306" s="41">
        <v>0</v>
      </c>
      <c r="E1306" s="41">
        <v>7</v>
      </c>
      <c r="F1306" s="41">
        <v>0</v>
      </c>
      <c r="G1306" s="41">
        <v>0</v>
      </c>
      <c r="H1306" s="41">
        <v>0</v>
      </c>
      <c r="I1306" s="41">
        <v>0</v>
      </c>
    </row>
    <row r="1307" spans="1:9" s="147" customFormat="1" ht="14.15" x14ac:dyDescent="0.35">
      <c r="A1307" s="317" t="s">
        <v>513</v>
      </c>
      <c r="B1307" s="40" t="s">
        <v>32</v>
      </c>
      <c r="C1307" s="41">
        <f t="shared" si="290"/>
        <v>25</v>
      </c>
      <c r="D1307" s="41">
        <v>0</v>
      </c>
      <c r="E1307" s="41">
        <v>25</v>
      </c>
      <c r="F1307" s="41">
        <v>0</v>
      </c>
      <c r="G1307" s="41">
        <v>0</v>
      </c>
      <c r="H1307" s="41">
        <v>0</v>
      </c>
      <c r="I1307" s="41">
        <v>0</v>
      </c>
    </row>
    <row r="1308" spans="1:9" s="145" customFormat="1" x14ac:dyDescent="0.3">
      <c r="A1308" s="63"/>
      <c r="B1308" s="44" t="s">
        <v>33</v>
      </c>
      <c r="C1308" s="41">
        <f t="shared" si="290"/>
        <v>25</v>
      </c>
      <c r="D1308" s="41">
        <v>0</v>
      </c>
      <c r="E1308" s="41">
        <v>25</v>
      </c>
      <c r="F1308" s="41">
        <v>0</v>
      </c>
      <c r="G1308" s="41">
        <v>0</v>
      </c>
      <c r="H1308" s="41">
        <v>0</v>
      </c>
      <c r="I1308" s="41">
        <v>0</v>
      </c>
    </row>
    <row r="1309" spans="1:9" s="100" customFormat="1" x14ac:dyDescent="0.3">
      <c r="A1309" s="352" t="s">
        <v>514</v>
      </c>
      <c r="B1309" s="12" t="s">
        <v>32</v>
      </c>
      <c r="C1309" s="36">
        <f>D1309+E1309+F1309+G1309+H1309+I1309</f>
        <v>40.56</v>
      </c>
      <c r="D1309" s="36">
        <f>D1311</f>
        <v>14.56</v>
      </c>
      <c r="E1309" s="36">
        <f t="shared" ref="E1309:I1310" si="292">E1311</f>
        <v>26</v>
      </c>
      <c r="F1309" s="36">
        <f t="shared" si="292"/>
        <v>0</v>
      </c>
      <c r="G1309" s="36">
        <f t="shared" si="292"/>
        <v>0</v>
      </c>
      <c r="H1309" s="36">
        <f t="shared" si="292"/>
        <v>0</v>
      </c>
      <c r="I1309" s="36">
        <f t="shared" si="292"/>
        <v>0</v>
      </c>
    </row>
    <row r="1310" spans="1:9" s="100" customFormat="1" x14ac:dyDescent="0.3">
      <c r="A1310" s="85"/>
      <c r="B1310" s="23" t="s">
        <v>33</v>
      </c>
      <c r="C1310" s="36">
        <f>D1310+E1310+F1310+G1310+H1310+I1310</f>
        <v>40.56</v>
      </c>
      <c r="D1310" s="36">
        <f>D1312</f>
        <v>14.56</v>
      </c>
      <c r="E1310" s="36">
        <f t="shared" si="292"/>
        <v>26</v>
      </c>
      <c r="F1310" s="36">
        <f t="shared" si="292"/>
        <v>0</v>
      </c>
      <c r="G1310" s="36">
        <f t="shared" si="292"/>
        <v>0</v>
      </c>
      <c r="H1310" s="36">
        <f t="shared" si="292"/>
        <v>0</v>
      </c>
      <c r="I1310" s="36">
        <f t="shared" si="292"/>
        <v>0</v>
      </c>
    </row>
    <row r="1311" spans="1:9" s="147" customFormat="1" ht="14.15" x14ac:dyDescent="0.35">
      <c r="A1311" s="317" t="s">
        <v>515</v>
      </c>
      <c r="B1311" s="40" t="s">
        <v>32</v>
      </c>
      <c r="C1311" s="41">
        <f t="shared" ref="C1311:C1312" si="293">D1311+E1311+F1311+G1311+H1311+I1311</f>
        <v>40.56</v>
      </c>
      <c r="D1311" s="41">
        <v>14.56</v>
      </c>
      <c r="E1311" s="41">
        <v>26</v>
      </c>
      <c r="F1311" s="41">
        <v>0</v>
      </c>
      <c r="G1311" s="41">
        <v>0</v>
      </c>
      <c r="H1311" s="41">
        <v>0</v>
      </c>
      <c r="I1311" s="41">
        <v>0</v>
      </c>
    </row>
    <row r="1312" spans="1:9" s="145" customFormat="1" x14ac:dyDescent="0.3">
      <c r="A1312" s="63"/>
      <c r="B1312" s="44" t="s">
        <v>33</v>
      </c>
      <c r="C1312" s="41">
        <f t="shared" si="293"/>
        <v>40.56</v>
      </c>
      <c r="D1312" s="41">
        <v>14.56</v>
      </c>
      <c r="E1312" s="41">
        <v>26</v>
      </c>
      <c r="F1312" s="41">
        <v>0</v>
      </c>
      <c r="G1312" s="41">
        <v>0</v>
      </c>
      <c r="H1312" s="41">
        <v>0</v>
      </c>
      <c r="I1312" s="41">
        <v>0</v>
      </c>
    </row>
    <row r="1313" spans="1:9" s="126" customFormat="1" x14ac:dyDescent="0.3">
      <c r="A1313" s="308" t="s">
        <v>44</v>
      </c>
      <c r="B1313" s="124" t="s">
        <v>32</v>
      </c>
      <c r="C1313" s="122">
        <f t="shared" si="274"/>
        <v>55</v>
      </c>
      <c r="D1313" s="340">
        <f>D1315+D1323</f>
        <v>55</v>
      </c>
      <c r="E1313" s="340">
        <f t="shared" ref="E1313:I1314" si="294">E1315+E1323</f>
        <v>0</v>
      </c>
      <c r="F1313" s="340">
        <f t="shared" si="294"/>
        <v>0</v>
      </c>
      <c r="G1313" s="340">
        <f t="shared" si="294"/>
        <v>0</v>
      </c>
      <c r="H1313" s="340">
        <f t="shared" si="294"/>
        <v>0</v>
      </c>
      <c r="I1313" s="340">
        <f t="shared" si="294"/>
        <v>0</v>
      </c>
    </row>
    <row r="1314" spans="1:9" s="126" customFormat="1" x14ac:dyDescent="0.3">
      <c r="A1314" s="127"/>
      <c r="B1314" s="128" t="s">
        <v>33</v>
      </c>
      <c r="C1314" s="122">
        <f t="shared" si="274"/>
        <v>55</v>
      </c>
      <c r="D1314" s="340">
        <f>D1316+D1324</f>
        <v>55</v>
      </c>
      <c r="E1314" s="340">
        <f t="shared" si="294"/>
        <v>0</v>
      </c>
      <c r="F1314" s="340">
        <f t="shared" si="294"/>
        <v>0</v>
      </c>
      <c r="G1314" s="340">
        <f t="shared" si="294"/>
        <v>0</v>
      </c>
      <c r="H1314" s="340">
        <f t="shared" si="294"/>
        <v>0</v>
      </c>
      <c r="I1314" s="340">
        <f t="shared" si="294"/>
        <v>0</v>
      </c>
    </row>
    <row r="1315" spans="1:9" s="126" customFormat="1" x14ac:dyDescent="0.3">
      <c r="A1315" s="285" t="s">
        <v>516</v>
      </c>
      <c r="B1315" s="124" t="s">
        <v>32</v>
      </c>
      <c r="C1315" s="122">
        <f t="shared" si="274"/>
        <v>30</v>
      </c>
      <c r="D1315" s="122">
        <f>D1317+D1319+D1321</f>
        <v>30</v>
      </c>
      <c r="E1315" s="122">
        <f t="shared" ref="E1315:I1316" si="295">E1317+E1319+E1321</f>
        <v>0</v>
      </c>
      <c r="F1315" s="122">
        <f t="shared" si="295"/>
        <v>0</v>
      </c>
      <c r="G1315" s="122">
        <f t="shared" si="295"/>
        <v>0</v>
      </c>
      <c r="H1315" s="122">
        <f t="shared" si="295"/>
        <v>0</v>
      </c>
      <c r="I1315" s="122">
        <f t="shared" si="295"/>
        <v>0</v>
      </c>
    </row>
    <row r="1316" spans="1:9" s="126" customFormat="1" x14ac:dyDescent="0.3">
      <c r="A1316" s="127"/>
      <c r="B1316" s="128" t="s">
        <v>33</v>
      </c>
      <c r="C1316" s="122">
        <f t="shared" si="274"/>
        <v>30</v>
      </c>
      <c r="D1316" s="122">
        <f>D1318+D1320+D1322</f>
        <v>30</v>
      </c>
      <c r="E1316" s="122">
        <f t="shared" si="295"/>
        <v>0</v>
      </c>
      <c r="F1316" s="122">
        <f t="shared" si="295"/>
        <v>0</v>
      </c>
      <c r="G1316" s="122">
        <f t="shared" si="295"/>
        <v>0</v>
      </c>
      <c r="H1316" s="122">
        <f t="shared" si="295"/>
        <v>0</v>
      </c>
      <c r="I1316" s="122">
        <f t="shared" si="295"/>
        <v>0</v>
      </c>
    </row>
    <row r="1317" spans="1:9" s="147" customFormat="1" ht="14.15" x14ac:dyDescent="0.35">
      <c r="A1317" s="328" t="s">
        <v>517</v>
      </c>
      <c r="B1317" s="40" t="s">
        <v>32</v>
      </c>
      <c r="C1317" s="41">
        <f t="shared" si="274"/>
        <v>4</v>
      </c>
      <c r="D1317" s="41">
        <v>4</v>
      </c>
      <c r="E1317" s="41">
        <v>0</v>
      </c>
      <c r="F1317" s="41">
        <v>0</v>
      </c>
      <c r="G1317" s="41">
        <v>0</v>
      </c>
      <c r="H1317" s="41">
        <v>0</v>
      </c>
      <c r="I1317" s="41">
        <v>0</v>
      </c>
    </row>
    <row r="1318" spans="1:9" s="131" customFormat="1" x14ac:dyDescent="0.3">
      <c r="A1318" s="60"/>
      <c r="B1318" s="53" t="s">
        <v>33</v>
      </c>
      <c r="C1318" s="49">
        <f t="shared" si="274"/>
        <v>4</v>
      </c>
      <c r="D1318" s="49">
        <v>4</v>
      </c>
      <c r="E1318" s="49">
        <v>0</v>
      </c>
      <c r="F1318" s="49">
        <v>0</v>
      </c>
      <c r="G1318" s="49">
        <v>0</v>
      </c>
      <c r="H1318" s="49">
        <v>0</v>
      </c>
      <c r="I1318" s="49">
        <v>0</v>
      </c>
    </row>
    <row r="1319" spans="1:9" s="147" customFormat="1" ht="14.15" x14ac:dyDescent="0.35">
      <c r="A1319" s="328" t="s">
        <v>518</v>
      </c>
      <c r="B1319" s="40" t="s">
        <v>32</v>
      </c>
      <c r="C1319" s="41">
        <f t="shared" si="274"/>
        <v>15</v>
      </c>
      <c r="D1319" s="41">
        <v>15</v>
      </c>
      <c r="E1319" s="41">
        <v>0</v>
      </c>
      <c r="F1319" s="41">
        <v>0</v>
      </c>
      <c r="G1319" s="41">
        <v>0</v>
      </c>
      <c r="H1319" s="41">
        <v>0</v>
      </c>
      <c r="I1319" s="41">
        <v>0</v>
      </c>
    </row>
    <row r="1320" spans="1:9" s="131" customFormat="1" x14ac:dyDescent="0.3">
      <c r="A1320" s="60"/>
      <c r="B1320" s="53" t="s">
        <v>33</v>
      </c>
      <c r="C1320" s="49">
        <f t="shared" si="274"/>
        <v>15</v>
      </c>
      <c r="D1320" s="49">
        <v>15</v>
      </c>
      <c r="E1320" s="49">
        <v>0</v>
      </c>
      <c r="F1320" s="49">
        <v>0</v>
      </c>
      <c r="G1320" s="49">
        <v>0</v>
      </c>
      <c r="H1320" s="49">
        <v>0</v>
      </c>
      <c r="I1320" s="49">
        <v>0</v>
      </c>
    </row>
    <row r="1321" spans="1:9" s="147" customFormat="1" ht="14.15" x14ac:dyDescent="0.35">
      <c r="A1321" s="328" t="s">
        <v>519</v>
      </c>
      <c r="B1321" s="40" t="s">
        <v>32</v>
      </c>
      <c r="C1321" s="41">
        <f t="shared" si="274"/>
        <v>11</v>
      </c>
      <c r="D1321" s="41">
        <v>11</v>
      </c>
      <c r="E1321" s="41">
        <v>0</v>
      </c>
      <c r="F1321" s="41">
        <v>0</v>
      </c>
      <c r="G1321" s="41">
        <v>0</v>
      </c>
      <c r="H1321" s="41">
        <v>0</v>
      </c>
      <c r="I1321" s="41">
        <v>0</v>
      </c>
    </row>
    <row r="1322" spans="1:9" s="131" customFormat="1" x14ac:dyDescent="0.3">
      <c r="A1322" s="60"/>
      <c r="B1322" s="53" t="s">
        <v>33</v>
      </c>
      <c r="C1322" s="49">
        <f t="shared" si="274"/>
        <v>11</v>
      </c>
      <c r="D1322" s="49">
        <v>11</v>
      </c>
      <c r="E1322" s="49">
        <v>0</v>
      </c>
      <c r="F1322" s="49">
        <v>0</v>
      </c>
      <c r="G1322" s="49">
        <v>0</v>
      </c>
      <c r="H1322" s="49">
        <v>0</v>
      </c>
      <c r="I1322" s="49">
        <v>0</v>
      </c>
    </row>
    <row r="1323" spans="1:9" s="126" customFormat="1" x14ac:dyDescent="0.3">
      <c r="A1323" s="15" t="s">
        <v>520</v>
      </c>
      <c r="B1323" s="124" t="s">
        <v>32</v>
      </c>
      <c r="C1323" s="122">
        <f t="shared" si="274"/>
        <v>25</v>
      </c>
      <c r="D1323" s="122">
        <f>D1325</f>
        <v>25</v>
      </c>
      <c r="E1323" s="122">
        <f t="shared" ref="E1323:I1324" si="296">E1325</f>
        <v>0</v>
      </c>
      <c r="F1323" s="122">
        <f t="shared" si="296"/>
        <v>0</v>
      </c>
      <c r="G1323" s="122">
        <f t="shared" si="296"/>
        <v>0</v>
      </c>
      <c r="H1323" s="122">
        <f t="shared" si="296"/>
        <v>0</v>
      </c>
      <c r="I1323" s="122">
        <f t="shared" si="296"/>
        <v>0</v>
      </c>
    </row>
    <row r="1324" spans="1:9" s="126" customFormat="1" x14ac:dyDescent="0.3">
      <c r="A1324" s="127"/>
      <c r="B1324" s="128" t="s">
        <v>33</v>
      </c>
      <c r="C1324" s="122">
        <f t="shared" si="274"/>
        <v>25</v>
      </c>
      <c r="D1324" s="122">
        <f>D1326</f>
        <v>25</v>
      </c>
      <c r="E1324" s="122">
        <f t="shared" si="296"/>
        <v>0</v>
      </c>
      <c r="F1324" s="122">
        <f t="shared" si="296"/>
        <v>0</v>
      </c>
      <c r="G1324" s="122">
        <f t="shared" si="296"/>
        <v>0</v>
      </c>
      <c r="H1324" s="122">
        <f t="shared" si="296"/>
        <v>0</v>
      </c>
      <c r="I1324" s="122">
        <f t="shared" si="296"/>
        <v>0</v>
      </c>
    </row>
    <row r="1325" spans="1:9" s="147" customFormat="1" ht="14.15" x14ac:dyDescent="0.35">
      <c r="A1325" s="349" t="s">
        <v>521</v>
      </c>
      <c r="B1325" s="40" t="s">
        <v>32</v>
      </c>
      <c r="C1325" s="41">
        <f t="shared" si="274"/>
        <v>25</v>
      </c>
      <c r="D1325" s="41">
        <v>25</v>
      </c>
      <c r="E1325" s="41">
        <v>0</v>
      </c>
      <c r="F1325" s="41">
        <v>0</v>
      </c>
      <c r="G1325" s="41">
        <v>0</v>
      </c>
      <c r="H1325" s="41">
        <v>0</v>
      </c>
      <c r="I1325" s="41">
        <v>0</v>
      </c>
    </row>
    <row r="1326" spans="1:9" s="131" customFormat="1" x14ac:dyDescent="0.3">
      <c r="A1326" s="60"/>
      <c r="B1326" s="53" t="s">
        <v>33</v>
      </c>
      <c r="C1326" s="49">
        <f t="shared" si="274"/>
        <v>25</v>
      </c>
      <c r="D1326" s="49">
        <v>25</v>
      </c>
      <c r="E1326" s="49">
        <v>0</v>
      </c>
      <c r="F1326" s="49">
        <v>0</v>
      </c>
      <c r="G1326" s="49">
        <v>0</v>
      </c>
      <c r="H1326" s="49">
        <v>0</v>
      </c>
      <c r="I1326" s="49">
        <v>0</v>
      </c>
    </row>
    <row r="1327" spans="1:9" s="126" customFormat="1" x14ac:dyDescent="0.3">
      <c r="A1327" s="353" t="s">
        <v>54</v>
      </c>
      <c r="B1327" s="124" t="s">
        <v>32</v>
      </c>
      <c r="C1327" s="122">
        <f t="shared" si="274"/>
        <v>103.3</v>
      </c>
      <c r="D1327" s="122">
        <f>D1329+D1345</f>
        <v>92.3</v>
      </c>
      <c r="E1327" s="122">
        <f t="shared" ref="E1327:I1328" si="297">E1329+E1345</f>
        <v>11</v>
      </c>
      <c r="F1327" s="122">
        <f t="shared" si="297"/>
        <v>0</v>
      </c>
      <c r="G1327" s="122">
        <f t="shared" si="297"/>
        <v>0</v>
      </c>
      <c r="H1327" s="122">
        <f t="shared" si="297"/>
        <v>0</v>
      </c>
      <c r="I1327" s="122">
        <f t="shared" si="297"/>
        <v>0</v>
      </c>
    </row>
    <row r="1328" spans="1:9" s="126" customFormat="1" x14ac:dyDescent="0.3">
      <c r="A1328" s="127"/>
      <c r="B1328" s="128" t="s">
        <v>33</v>
      </c>
      <c r="C1328" s="122">
        <f t="shared" si="274"/>
        <v>103.3</v>
      </c>
      <c r="D1328" s="122">
        <f>D1330+D1346</f>
        <v>92.3</v>
      </c>
      <c r="E1328" s="122">
        <f t="shared" si="297"/>
        <v>11</v>
      </c>
      <c r="F1328" s="122">
        <f t="shared" si="297"/>
        <v>0</v>
      </c>
      <c r="G1328" s="122">
        <f t="shared" si="297"/>
        <v>0</v>
      </c>
      <c r="H1328" s="122">
        <f t="shared" si="297"/>
        <v>0</v>
      </c>
      <c r="I1328" s="122">
        <f t="shared" si="297"/>
        <v>0</v>
      </c>
    </row>
    <row r="1329" spans="1:9" s="126" customFormat="1" x14ac:dyDescent="0.3">
      <c r="A1329" s="354" t="s">
        <v>516</v>
      </c>
      <c r="B1329" s="124" t="s">
        <v>32</v>
      </c>
      <c r="C1329" s="122">
        <f t="shared" si="274"/>
        <v>98</v>
      </c>
      <c r="D1329" s="122">
        <f>D1331+D1333+D1335+D1337+D1339+D1341+D1343</f>
        <v>87</v>
      </c>
      <c r="E1329" s="122">
        <f t="shared" ref="E1329:I1330" si="298">E1331+E1333+E1335+E1337+E1339+E1341+E1343</f>
        <v>11</v>
      </c>
      <c r="F1329" s="122">
        <f t="shared" si="298"/>
        <v>0</v>
      </c>
      <c r="G1329" s="122">
        <f t="shared" si="298"/>
        <v>0</v>
      </c>
      <c r="H1329" s="122">
        <f t="shared" si="298"/>
        <v>0</v>
      </c>
      <c r="I1329" s="122">
        <f t="shared" si="298"/>
        <v>0</v>
      </c>
    </row>
    <row r="1330" spans="1:9" s="126" customFormat="1" x14ac:dyDescent="0.3">
      <c r="A1330" s="85"/>
      <c r="B1330" s="128" t="s">
        <v>33</v>
      </c>
      <c r="C1330" s="122">
        <f t="shared" si="274"/>
        <v>98</v>
      </c>
      <c r="D1330" s="122">
        <f>D1332+D1334+D1336+D1338+D1340+D1342+D1344</f>
        <v>87</v>
      </c>
      <c r="E1330" s="122">
        <f t="shared" si="298"/>
        <v>11</v>
      </c>
      <c r="F1330" s="122">
        <f t="shared" si="298"/>
        <v>0</v>
      </c>
      <c r="G1330" s="122">
        <f t="shared" si="298"/>
        <v>0</v>
      </c>
      <c r="H1330" s="122">
        <f t="shared" si="298"/>
        <v>0</v>
      </c>
      <c r="I1330" s="122">
        <f t="shared" si="298"/>
        <v>0</v>
      </c>
    </row>
    <row r="1331" spans="1:9" s="357" customFormat="1" ht="20.25" customHeight="1" x14ac:dyDescent="0.3">
      <c r="A1331" s="213" t="s">
        <v>522</v>
      </c>
      <c r="B1331" s="355" t="s">
        <v>32</v>
      </c>
      <c r="C1331" s="356">
        <f t="shared" si="274"/>
        <v>3</v>
      </c>
      <c r="D1331" s="356">
        <v>3</v>
      </c>
      <c r="E1331" s="356">
        <v>0</v>
      </c>
      <c r="F1331" s="356">
        <v>0</v>
      </c>
      <c r="G1331" s="356">
        <v>0</v>
      </c>
      <c r="H1331" s="356">
        <v>0</v>
      </c>
      <c r="I1331" s="356">
        <v>0</v>
      </c>
    </row>
    <row r="1332" spans="1:9" s="131" customFormat="1" x14ac:dyDescent="0.3">
      <c r="A1332" s="60"/>
      <c r="B1332" s="53" t="s">
        <v>33</v>
      </c>
      <c r="C1332" s="49">
        <f t="shared" si="274"/>
        <v>3</v>
      </c>
      <c r="D1332" s="49">
        <v>3</v>
      </c>
      <c r="E1332" s="49">
        <v>0</v>
      </c>
      <c r="F1332" s="49">
        <v>0</v>
      </c>
      <c r="G1332" s="49">
        <v>0</v>
      </c>
      <c r="H1332" s="49">
        <v>0</v>
      </c>
      <c r="I1332" s="49">
        <v>0</v>
      </c>
    </row>
    <row r="1333" spans="1:9" s="147" customFormat="1" ht="14.15" x14ac:dyDescent="0.35">
      <c r="A1333" s="328" t="s">
        <v>523</v>
      </c>
      <c r="B1333" s="40" t="s">
        <v>32</v>
      </c>
      <c r="C1333" s="41">
        <f t="shared" ref="C1333:C1348" si="299">D1333+E1333+F1333+G1333+H1333+I1333</f>
        <v>6</v>
      </c>
      <c r="D1333" s="41">
        <v>6</v>
      </c>
      <c r="E1333" s="41">
        <v>0</v>
      </c>
      <c r="F1333" s="41">
        <v>0</v>
      </c>
      <c r="G1333" s="41">
        <v>0</v>
      </c>
      <c r="H1333" s="41">
        <v>0</v>
      </c>
      <c r="I1333" s="41">
        <v>0</v>
      </c>
    </row>
    <row r="1334" spans="1:9" s="131" customFormat="1" x14ac:dyDescent="0.3">
      <c r="A1334" s="60"/>
      <c r="B1334" s="53" t="s">
        <v>33</v>
      </c>
      <c r="C1334" s="49">
        <f t="shared" si="299"/>
        <v>6</v>
      </c>
      <c r="D1334" s="49">
        <v>6</v>
      </c>
      <c r="E1334" s="49">
        <v>0</v>
      </c>
      <c r="F1334" s="49">
        <v>0</v>
      </c>
      <c r="G1334" s="49">
        <v>0</v>
      </c>
      <c r="H1334" s="49">
        <v>0</v>
      </c>
      <c r="I1334" s="49">
        <v>0</v>
      </c>
    </row>
    <row r="1335" spans="1:9" s="147" customFormat="1" ht="14.15" x14ac:dyDescent="0.35">
      <c r="A1335" s="328" t="s">
        <v>524</v>
      </c>
      <c r="B1335" s="40" t="s">
        <v>32</v>
      </c>
      <c r="C1335" s="41">
        <f t="shared" si="299"/>
        <v>78</v>
      </c>
      <c r="D1335" s="41">
        <v>78</v>
      </c>
      <c r="E1335" s="41">
        <v>0</v>
      </c>
      <c r="F1335" s="41">
        <v>0</v>
      </c>
      <c r="G1335" s="41">
        <v>0</v>
      </c>
      <c r="H1335" s="41">
        <v>0</v>
      </c>
      <c r="I1335" s="41">
        <v>0</v>
      </c>
    </row>
    <row r="1336" spans="1:9" s="131" customFormat="1" x14ac:dyDescent="0.3">
      <c r="A1336" s="60"/>
      <c r="B1336" s="53" t="s">
        <v>33</v>
      </c>
      <c r="C1336" s="49">
        <f t="shared" si="299"/>
        <v>78</v>
      </c>
      <c r="D1336" s="49">
        <v>78</v>
      </c>
      <c r="E1336" s="49">
        <v>0</v>
      </c>
      <c r="F1336" s="49">
        <v>0</v>
      </c>
      <c r="G1336" s="49">
        <v>0</v>
      </c>
      <c r="H1336" s="49">
        <v>0</v>
      </c>
      <c r="I1336" s="49">
        <v>0</v>
      </c>
    </row>
    <row r="1337" spans="1:9" s="147" customFormat="1" x14ac:dyDescent="0.3">
      <c r="A1337" s="114" t="s">
        <v>525</v>
      </c>
      <c r="B1337" s="40" t="s">
        <v>32</v>
      </c>
      <c r="C1337" s="41">
        <f t="shared" si="299"/>
        <v>1</v>
      </c>
      <c r="D1337" s="41">
        <v>0</v>
      </c>
      <c r="E1337" s="41">
        <v>1</v>
      </c>
      <c r="F1337" s="41">
        <v>0</v>
      </c>
      <c r="G1337" s="41">
        <v>0</v>
      </c>
      <c r="H1337" s="41">
        <v>0</v>
      </c>
      <c r="I1337" s="41">
        <v>0</v>
      </c>
    </row>
    <row r="1338" spans="1:9" s="131" customFormat="1" x14ac:dyDescent="0.3">
      <c r="A1338" s="63"/>
      <c r="B1338" s="53" t="s">
        <v>33</v>
      </c>
      <c r="C1338" s="49">
        <f t="shared" si="299"/>
        <v>1</v>
      </c>
      <c r="D1338" s="49">
        <v>0</v>
      </c>
      <c r="E1338" s="49">
        <v>1</v>
      </c>
      <c r="F1338" s="49">
        <v>0</v>
      </c>
      <c r="G1338" s="49">
        <v>0</v>
      </c>
      <c r="H1338" s="49">
        <v>0</v>
      </c>
      <c r="I1338" s="49">
        <v>0</v>
      </c>
    </row>
    <row r="1339" spans="1:9" s="147" customFormat="1" x14ac:dyDescent="0.3">
      <c r="A1339" s="114" t="s">
        <v>526</v>
      </c>
      <c r="B1339" s="40" t="s">
        <v>32</v>
      </c>
      <c r="C1339" s="41">
        <f t="shared" si="299"/>
        <v>1</v>
      </c>
      <c r="D1339" s="41">
        <v>0</v>
      </c>
      <c r="E1339" s="41">
        <v>1</v>
      </c>
      <c r="F1339" s="41">
        <v>0</v>
      </c>
      <c r="G1339" s="41">
        <v>0</v>
      </c>
      <c r="H1339" s="41">
        <v>0</v>
      </c>
      <c r="I1339" s="41">
        <v>0</v>
      </c>
    </row>
    <row r="1340" spans="1:9" s="131" customFormat="1" x14ac:dyDescent="0.3">
      <c r="A1340" s="63"/>
      <c r="B1340" s="53" t="s">
        <v>33</v>
      </c>
      <c r="C1340" s="49">
        <f t="shared" si="299"/>
        <v>1</v>
      </c>
      <c r="D1340" s="49">
        <v>0</v>
      </c>
      <c r="E1340" s="49">
        <v>1</v>
      </c>
      <c r="F1340" s="49">
        <v>0</v>
      </c>
      <c r="G1340" s="49">
        <v>0</v>
      </c>
      <c r="H1340" s="49">
        <v>0</v>
      </c>
      <c r="I1340" s="49">
        <v>0</v>
      </c>
    </row>
    <row r="1341" spans="1:9" s="147" customFormat="1" x14ac:dyDescent="0.3">
      <c r="A1341" s="114" t="s">
        <v>527</v>
      </c>
      <c r="B1341" s="40" t="s">
        <v>32</v>
      </c>
      <c r="C1341" s="41">
        <f t="shared" si="299"/>
        <v>3</v>
      </c>
      <c r="D1341" s="41">
        <v>0</v>
      </c>
      <c r="E1341" s="41">
        <v>3</v>
      </c>
      <c r="F1341" s="41">
        <v>0</v>
      </c>
      <c r="G1341" s="41">
        <v>0</v>
      </c>
      <c r="H1341" s="41">
        <v>0</v>
      </c>
      <c r="I1341" s="41">
        <v>0</v>
      </c>
    </row>
    <row r="1342" spans="1:9" s="131" customFormat="1" x14ac:dyDescent="0.3">
      <c r="A1342" s="63"/>
      <c r="B1342" s="53" t="s">
        <v>33</v>
      </c>
      <c r="C1342" s="49">
        <f t="shared" si="299"/>
        <v>3</v>
      </c>
      <c r="D1342" s="49">
        <v>0</v>
      </c>
      <c r="E1342" s="49">
        <v>3</v>
      </c>
      <c r="F1342" s="49">
        <v>0</v>
      </c>
      <c r="G1342" s="49">
        <v>0</v>
      </c>
      <c r="H1342" s="49">
        <v>0</v>
      </c>
      <c r="I1342" s="49">
        <v>0</v>
      </c>
    </row>
    <row r="1343" spans="1:9" s="147" customFormat="1" x14ac:dyDescent="0.3">
      <c r="A1343" s="114" t="s">
        <v>528</v>
      </c>
      <c r="B1343" s="40" t="s">
        <v>32</v>
      </c>
      <c r="C1343" s="41">
        <f t="shared" si="299"/>
        <v>6</v>
      </c>
      <c r="D1343" s="41">
        <v>0</v>
      </c>
      <c r="E1343" s="41">
        <v>6</v>
      </c>
      <c r="F1343" s="41">
        <v>0</v>
      </c>
      <c r="G1343" s="41">
        <v>0</v>
      </c>
      <c r="H1343" s="41">
        <v>0</v>
      </c>
      <c r="I1343" s="41">
        <v>0</v>
      </c>
    </row>
    <row r="1344" spans="1:9" s="131" customFormat="1" x14ac:dyDescent="0.3">
      <c r="A1344" s="60"/>
      <c r="B1344" s="53" t="s">
        <v>33</v>
      </c>
      <c r="C1344" s="49">
        <f t="shared" si="299"/>
        <v>6</v>
      </c>
      <c r="D1344" s="49">
        <v>0</v>
      </c>
      <c r="E1344" s="49">
        <v>6</v>
      </c>
      <c r="F1344" s="49">
        <v>0</v>
      </c>
      <c r="G1344" s="49">
        <v>0</v>
      </c>
      <c r="H1344" s="49">
        <v>0</v>
      </c>
      <c r="I1344" s="49">
        <v>0</v>
      </c>
    </row>
    <row r="1345" spans="1:13" s="126" customFormat="1" x14ac:dyDescent="0.3">
      <c r="A1345" s="149" t="s">
        <v>529</v>
      </c>
      <c r="B1345" s="124" t="s">
        <v>32</v>
      </c>
      <c r="C1345" s="122">
        <f t="shared" si="299"/>
        <v>5.3</v>
      </c>
      <c r="D1345" s="122">
        <f>D1347</f>
        <v>5.3</v>
      </c>
      <c r="E1345" s="122">
        <f t="shared" ref="E1345:I1346" si="300">E1347</f>
        <v>0</v>
      </c>
      <c r="F1345" s="122">
        <f t="shared" si="300"/>
        <v>0</v>
      </c>
      <c r="G1345" s="122">
        <f t="shared" si="300"/>
        <v>0</v>
      </c>
      <c r="H1345" s="122">
        <f t="shared" si="300"/>
        <v>0</v>
      </c>
      <c r="I1345" s="122">
        <f t="shared" si="300"/>
        <v>0</v>
      </c>
    </row>
    <row r="1346" spans="1:13" s="126" customFormat="1" x14ac:dyDescent="0.3">
      <c r="A1346" s="127"/>
      <c r="B1346" s="128" t="s">
        <v>33</v>
      </c>
      <c r="C1346" s="122">
        <f t="shared" si="299"/>
        <v>5.3</v>
      </c>
      <c r="D1346" s="122">
        <f>D1348</f>
        <v>5.3</v>
      </c>
      <c r="E1346" s="122">
        <f t="shared" si="300"/>
        <v>0</v>
      </c>
      <c r="F1346" s="122">
        <f t="shared" si="300"/>
        <v>0</v>
      </c>
      <c r="G1346" s="122">
        <f t="shared" si="300"/>
        <v>0</v>
      </c>
      <c r="H1346" s="122">
        <f t="shared" si="300"/>
        <v>0</v>
      </c>
      <c r="I1346" s="122">
        <f t="shared" si="300"/>
        <v>0</v>
      </c>
    </row>
    <row r="1347" spans="1:13" s="147" customFormat="1" ht="14.15" x14ac:dyDescent="0.35">
      <c r="A1347" s="345" t="s">
        <v>530</v>
      </c>
      <c r="B1347" s="40" t="s">
        <v>32</v>
      </c>
      <c r="C1347" s="41">
        <f t="shared" si="299"/>
        <v>5.3</v>
      </c>
      <c r="D1347" s="41">
        <v>5.3</v>
      </c>
      <c r="E1347" s="41">
        <v>0</v>
      </c>
      <c r="F1347" s="41">
        <v>0</v>
      </c>
      <c r="G1347" s="41">
        <v>0</v>
      </c>
      <c r="H1347" s="41">
        <v>0</v>
      </c>
      <c r="I1347" s="41">
        <v>0</v>
      </c>
    </row>
    <row r="1348" spans="1:13" s="131" customFormat="1" x14ac:dyDescent="0.3">
      <c r="A1348" s="60"/>
      <c r="B1348" s="53" t="s">
        <v>33</v>
      </c>
      <c r="C1348" s="49">
        <f t="shared" si="299"/>
        <v>5.3</v>
      </c>
      <c r="D1348" s="49">
        <v>5.3</v>
      </c>
      <c r="E1348" s="41">
        <v>0</v>
      </c>
      <c r="F1348" s="49">
        <v>0</v>
      </c>
      <c r="G1348" s="49">
        <v>0</v>
      </c>
      <c r="H1348" s="49">
        <v>0</v>
      </c>
      <c r="I1348" s="49">
        <v>0</v>
      </c>
    </row>
    <row r="1349" spans="1:13" x14ac:dyDescent="0.3">
      <c r="A1349" s="1099" t="s">
        <v>531</v>
      </c>
      <c r="B1349" s="1100"/>
      <c r="C1349" s="1100"/>
      <c r="D1349" s="1100"/>
      <c r="E1349" s="1100"/>
      <c r="F1349" s="1100"/>
      <c r="G1349" s="1100"/>
      <c r="H1349" s="1100"/>
      <c r="I1349" s="1101"/>
    </row>
    <row r="1350" spans="1:13" x14ac:dyDescent="0.3">
      <c r="A1350" s="72" t="s">
        <v>57</v>
      </c>
      <c r="B1350" s="56" t="s">
        <v>32</v>
      </c>
      <c r="C1350" s="48">
        <f t="shared" ref="C1350:C1423" si="301">D1350+E1350+F1350+G1350+H1350+I1350</f>
        <v>2214</v>
      </c>
      <c r="D1350" s="48">
        <f t="shared" ref="D1350:I1351" si="302">D1352+D1416</f>
        <v>206</v>
      </c>
      <c r="E1350" s="48">
        <f t="shared" si="302"/>
        <v>2008</v>
      </c>
      <c r="F1350" s="48">
        <f t="shared" si="302"/>
        <v>0</v>
      </c>
      <c r="G1350" s="48">
        <f t="shared" si="302"/>
        <v>0</v>
      </c>
      <c r="H1350" s="48">
        <f t="shared" si="302"/>
        <v>0</v>
      </c>
      <c r="I1350" s="48">
        <f t="shared" si="302"/>
        <v>0</v>
      </c>
    </row>
    <row r="1351" spans="1:13" x14ac:dyDescent="0.3">
      <c r="A1351" s="60" t="s">
        <v>87</v>
      </c>
      <c r="B1351" s="38" t="s">
        <v>33</v>
      </c>
      <c r="C1351" s="48">
        <f t="shared" si="301"/>
        <v>2214</v>
      </c>
      <c r="D1351" s="48">
        <f t="shared" si="302"/>
        <v>206</v>
      </c>
      <c r="E1351" s="48">
        <f t="shared" si="302"/>
        <v>2008</v>
      </c>
      <c r="F1351" s="48">
        <f t="shared" si="302"/>
        <v>0</v>
      </c>
      <c r="G1351" s="48">
        <f t="shared" si="302"/>
        <v>0</v>
      </c>
      <c r="H1351" s="48">
        <f t="shared" si="302"/>
        <v>0</v>
      </c>
      <c r="I1351" s="48">
        <f t="shared" si="302"/>
        <v>0</v>
      </c>
    </row>
    <row r="1352" spans="1:13" s="14" customFormat="1" x14ac:dyDescent="0.3">
      <c r="A1352" s="15" t="s">
        <v>34</v>
      </c>
      <c r="B1352" s="12" t="s">
        <v>32</v>
      </c>
      <c r="C1352" s="36">
        <f t="shared" si="301"/>
        <v>1842</v>
      </c>
      <c r="D1352" s="36">
        <f t="shared" ref="D1352:I1353" si="303">D1360+D1354</f>
        <v>196</v>
      </c>
      <c r="E1352" s="36">
        <f t="shared" si="303"/>
        <v>1646</v>
      </c>
      <c r="F1352" s="36">
        <f t="shared" si="303"/>
        <v>0</v>
      </c>
      <c r="G1352" s="36">
        <f t="shared" si="303"/>
        <v>0</v>
      </c>
      <c r="H1352" s="36">
        <f t="shared" si="303"/>
        <v>0</v>
      </c>
      <c r="I1352" s="36">
        <f t="shared" si="303"/>
        <v>0</v>
      </c>
    </row>
    <row r="1353" spans="1:13" s="14" customFormat="1" x14ac:dyDescent="0.3">
      <c r="A1353" s="19" t="s">
        <v>89</v>
      </c>
      <c r="B1353" s="23" t="s">
        <v>33</v>
      </c>
      <c r="C1353" s="36">
        <f t="shared" si="301"/>
        <v>1842</v>
      </c>
      <c r="D1353" s="36">
        <f t="shared" si="303"/>
        <v>196</v>
      </c>
      <c r="E1353" s="36">
        <f t="shared" si="303"/>
        <v>1646</v>
      </c>
      <c r="F1353" s="36">
        <f t="shared" si="303"/>
        <v>0</v>
      </c>
      <c r="G1353" s="36">
        <f t="shared" si="303"/>
        <v>0</v>
      </c>
      <c r="H1353" s="36">
        <f t="shared" si="303"/>
        <v>0</v>
      </c>
      <c r="I1353" s="36">
        <f t="shared" si="303"/>
        <v>0</v>
      </c>
    </row>
    <row r="1354" spans="1:13" ht="25.75" x14ac:dyDescent="0.35">
      <c r="A1354" s="62" t="s">
        <v>52</v>
      </c>
      <c r="B1354" s="358" t="s">
        <v>32</v>
      </c>
      <c r="C1354" s="48">
        <f t="shared" ref="C1354:I1357" si="304">C1356</f>
        <v>13.5</v>
      </c>
      <c r="D1354" s="48">
        <f t="shared" si="304"/>
        <v>13.5</v>
      </c>
      <c r="E1354" s="48">
        <f t="shared" si="304"/>
        <v>0</v>
      </c>
      <c r="F1354" s="48">
        <f t="shared" si="304"/>
        <v>0</v>
      </c>
      <c r="G1354" s="48">
        <f t="shared" si="304"/>
        <v>0</v>
      </c>
      <c r="H1354" s="48">
        <f t="shared" si="304"/>
        <v>0</v>
      </c>
      <c r="I1354" s="48">
        <f t="shared" si="304"/>
        <v>0</v>
      </c>
    </row>
    <row r="1355" spans="1:13" x14ac:dyDescent="0.3">
      <c r="A1355" s="37"/>
      <c r="B1355" s="359" t="s">
        <v>33</v>
      </c>
      <c r="C1355" s="48">
        <f t="shared" si="304"/>
        <v>13.5</v>
      </c>
      <c r="D1355" s="48">
        <f t="shared" si="304"/>
        <v>13.5</v>
      </c>
      <c r="E1355" s="48">
        <f t="shared" si="304"/>
        <v>0</v>
      </c>
      <c r="F1355" s="48">
        <f t="shared" si="304"/>
        <v>0</v>
      </c>
      <c r="G1355" s="48">
        <f t="shared" si="304"/>
        <v>0</v>
      </c>
      <c r="H1355" s="48">
        <f t="shared" si="304"/>
        <v>0</v>
      </c>
      <c r="I1355" s="48">
        <f t="shared" si="304"/>
        <v>0</v>
      </c>
    </row>
    <row r="1356" spans="1:13" ht="24.9" x14ac:dyDescent="0.3">
      <c r="A1356" s="132" t="s">
        <v>103</v>
      </c>
      <c r="B1356" s="151" t="s">
        <v>32</v>
      </c>
      <c r="C1356" s="48">
        <f t="shared" si="304"/>
        <v>13.5</v>
      </c>
      <c r="D1356" s="48">
        <f t="shared" si="304"/>
        <v>13.5</v>
      </c>
      <c r="E1356" s="48">
        <f t="shared" si="304"/>
        <v>0</v>
      </c>
      <c r="F1356" s="48">
        <f t="shared" si="304"/>
        <v>0</v>
      </c>
      <c r="G1356" s="48">
        <f t="shared" si="304"/>
        <v>0</v>
      </c>
      <c r="H1356" s="48">
        <f t="shared" si="304"/>
        <v>0</v>
      </c>
      <c r="I1356" s="48">
        <f t="shared" si="304"/>
        <v>0</v>
      </c>
    </row>
    <row r="1357" spans="1:13" x14ac:dyDescent="0.3">
      <c r="A1357" s="37"/>
      <c r="B1357" s="44" t="s">
        <v>33</v>
      </c>
      <c r="C1357" s="48">
        <f t="shared" si="304"/>
        <v>13.5</v>
      </c>
      <c r="D1357" s="48">
        <f t="shared" si="304"/>
        <v>13.5</v>
      </c>
      <c r="E1357" s="48">
        <f t="shared" si="304"/>
        <v>0</v>
      </c>
      <c r="F1357" s="48">
        <f t="shared" si="304"/>
        <v>0</v>
      </c>
      <c r="G1357" s="48">
        <f t="shared" si="304"/>
        <v>0</v>
      </c>
      <c r="H1357" s="48">
        <f t="shared" si="304"/>
        <v>0</v>
      </c>
      <c r="I1357" s="48">
        <f t="shared" si="304"/>
        <v>0</v>
      </c>
    </row>
    <row r="1358" spans="1:13" s="42" customFormat="1" ht="24.9" x14ac:dyDescent="0.3">
      <c r="A1358" s="83" t="s">
        <v>532</v>
      </c>
      <c r="B1358" s="151" t="s">
        <v>32</v>
      </c>
      <c r="C1358" s="41">
        <f>D1358+E1358+F1358+G1358+H1358+I1358</f>
        <v>13.5</v>
      </c>
      <c r="D1358" s="41">
        <v>13.5</v>
      </c>
      <c r="E1358" s="41">
        <v>0</v>
      </c>
      <c r="F1358" s="41">
        <v>0</v>
      </c>
      <c r="G1358" s="41">
        <v>0</v>
      </c>
      <c r="H1358" s="41">
        <v>0</v>
      </c>
      <c r="I1358" s="41">
        <v>0</v>
      </c>
      <c r="J1358" s="1102" t="s">
        <v>533</v>
      </c>
      <c r="K1358" s="1103"/>
      <c r="L1358" s="1103"/>
      <c r="M1358" s="1103"/>
    </row>
    <row r="1359" spans="1:13" s="65" customFormat="1" x14ac:dyDescent="0.3">
      <c r="A1359" s="63"/>
      <c r="B1359" s="44" t="s">
        <v>33</v>
      </c>
      <c r="C1359" s="41">
        <f>D1359+E1359+F1359+G1359+H1359+I1359</f>
        <v>13.5</v>
      </c>
      <c r="D1359" s="41">
        <v>13.5</v>
      </c>
      <c r="E1359" s="41">
        <v>0</v>
      </c>
      <c r="F1359" s="41">
        <v>0</v>
      </c>
      <c r="G1359" s="41">
        <v>0</v>
      </c>
      <c r="H1359" s="41">
        <v>0</v>
      </c>
      <c r="I1359" s="41">
        <v>0</v>
      </c>
      <c r="J1359" s="105"/>
    </row>
    <row r="1360" spans="1:13" ht="12.9" x14ac:dyDescent="0.35">
      <c r="A1360" s="54" t="s">
        <v>40</v>
      </c>
      <c r="B1360" s="35" t="s">
        <v>32</v>
      </c>
      <c r="C1360" s="48">
        <f t="shared" si="301"/>
        <v>1828.5</v>
      </c>
      <c r="D1360" s="48">
        <f>D1362</f>
        <v>182.5</v>
      </c>
      <c r="E1360" s="48">
        <f t="shared" ref="E1360:I1361" si="305">E1362</f>
        <v>1646</v>
      </c>
      <c r="F1360" s="48">
        <f t="shared" si="305"/>
        <v>0</v>
      </c>
      <c r="G1360" s="48">
        <f t="shared" si="305"/>
        <v>0</v>
      </c>
      <c r="H1360" s="48">
        <f t="shared" si="305"/>
        <v>0</v>
      </c>
      <c r="I1360" s="48">
        <f t="shared" si="305"/>
        <v>0</v>
      </c>
    </row>
    <row r="1361" spans="1:9" ht="12.9" x14ac:dyDescent="0.35">
      <c r="A1361" s="43"/>
      <c r="B1361" s="38" t="s">
        <v>33</v>
      </c>
      <c r="C1361" s="48">
        <f t="shared" si="301"/>
        <v>1828.5</v>
      </c>
      <c r="D1361" s="48">
        <f>D1363</f>
        <v>182.5</v>
      </c>
      <c r="E1361" s="48">
        <f t="shared" si="305"/>
        <v>1646</v>
      </c>
      <c r="F1361" s="48">
        <f t="shared" si="305"/>
        <v>0</v>
      </c>
      <c r="G1361" s="48">
        <f t="shared" si="305"/>
        <v>0</v>
      </c>
      <c r="H1361" s="48">
        <f t="shared" si="305"/>
        <v>0</v>
      </c>
      <c r="I1361" s="48">
        <f t="shared" si="305"/>
        <v>0</v>
      </c>
    </row>
    <row r="1362" spans="1:9" x14ac:dyDescent="0.3">
      <c r="A1362" s="72" t="s">
        <v>53</v>
      </c>
      <c r="B1362" s="56" t="s">
        <v>32</v>
      </c>
      <c r="C1362" s="48">
        <f t="shared" si="301"/>
        <v>1828.5</v>
      </c>
      <c r="D1362" s="48">
        <f t="shared" ref="D1362:I1363" si="306">D1364+D1386+D1406</f>
        <v>182.5</v>
      </c>
      <c r="E1362" s="48">
        <f t="shared" si="306"/>
        <v>1646</v>
      </c>
      <c r="F1362" s="48">
        <f t="shared" si="306"/>
        <v>0</v>
      </c>
      <c r="G1362" s="48">
        <f t="shared" si="306"/>
        <v>0</v>
      </c>
      <c r="H1362" s="48">
        <f t="shared" si="306"/>
        <v>0</v>
      </c>
      <c r="I1362" s="48">
        <f t="shared" si="306"/>
        <v>0</v>
      </c>
    </row>
    <row r="1363" spans="1:9" x14ac:dyDescent="0.3">
      <c r="A1363" s="37"/>
      <c r="B1363" s="38" t="s">
        <v>33</v>
      </c>
      <c r="C1363" s="48">
        <f t="shared" si="301"/>
        <v>1828.5</v>
      </c>
      <c r="D1363" s="48">
        <f t="shared" si="306"/>
        <v>182.5</v>
      </c>
      <c r="E1363" s="48">
        <f t="shared" si="306"/>
        <v>1646</v>
      </c>
      <c r="F1363" s="48">
        <f t="shared" si="306"/>
        <v>0</v>
      </c>
      <c r="G1363" s="48">
        <f t="shared" si="306"/>
        <v>0</v>
      </c>
      <c r="H1363" s="48">
        <f t="shared" si="306"/>
        <v>0</v>
      </c>
      <c r="I1363" s="48">
        <f t="shared" si="306"/>
        <v>0</v>
      </c>
    </row>
    <row r="1364" spans="1:9" s="14" customFormat="1" x14ac:dyDescent="0.3">
      <c r="A1364" s="15" t="s">
        <v>43</v>
      </c>
      <c r="B1364" s="12" t="s">
        <v>32</v>
      </c>
      <c r="C1364" s="36">
        <f>D1364+E1364+F1364+G1364+H1364+I1364</f>
        <v>518</v>
      </c>
      <c r="D1364" s="36">
        <f>D1366+D1370+D1378+D1382</f>
        <v>105</v>
      </c>
      <c r="E1364" s="36">
        <f t="shared" ref="E1364:I1365" si="307">E1366+E1370+E1378+E1382</f>
        <v>413</v>
      </c>
      <c r="F1364" s="36">
        <f t="shared" si="307"/>
        <v>0</v>
      </c>
      <c r="G1364" s="36">
        <f t="shared" si="307"/>
        <v>0</v>
      </c>
      <c r="H1364" s="36">
        <f t="shared" si="307"/>
        <v>0</v>
      </c>
      <c r="I1364" s="36">
        <f t="shared" si="307"/>
        <v>0</v>
      </c>
    </row>
    <row r="1365" spans="1:9" s="14" customFormat="1" x14ac:dyDescent="0.3">
      <c r="A1365" s="19"/>
      <c r="B1365" s="23" t="s">
        <v>33</v>
      </c>
      <c r="C1365" s="36">
        <f t="shared" si="301"/>
        <v>518</v>
      </c>
      <c r="D1365" s="36">
        <f>D1367+D1371+D1379+D1383</f>
        <v>105</v>
      </c>
      <c r="E1365" s="36">
        <f t="shared" si="307"/>
        <v>413</v>
      </c>
      <c r="F1365" s="36">
        <f t="shared" si="307"/>
        <v>0</v>
      </c>
      <c r="G1365" s="36">
        <f t="shared" si="307"/>
        <v>0</v>
      </c>
      <c r="H1365" s="36">
        <f t="shared" si="307"/>
        <v>0</v>
      </c>
      <c r="I1365" s="36">
        <f t="shared" si="307"/>
        <v>0</v>
      </c>
    </row>
    <row r="1366" spans="1:9" s="126" customFormat="1" ht="24.9" x14ac:dyDescent="0.3">
      <c r="A1366" s="133" t="s">
        <v>534</v>
      </c>
      <c r="B1366" s="124" t="s">
        <v>32</v>
      </c>
      <c r="C1366" s="122">
        <f t="shared" si="301"/>
        <v>12</v>
      </c>
      <c r="D1366" s="122">
        <f>D1368</f>
        <v>12</v>
      </c>
      <c r="E1366" s="122">
        <f t="shared" ref="E1366:I1367" si="308">E1368</f>
        <v>0</v>
      </c>
      <c r="F1366" s="122">
        <f t="shared" si="308"/>
        <v>0</v>
      </c>
      <c r="G1366" s="122">
        <f t="shared" si="308"/>
        <v>0</v>
      </c>
      <c r="H1366" s="122">
        <f t="shared" si="308"/>
        <v>0</v>
      </c>
      <c r="I1366" s="122">
        <f t="shared" si="308"/>
        <v>0</v>
      </c>
    </row>
    <row r="1367" spans="1:9" s="126" customFormat="1" x14ac:dyDescent="0.3">
      <c r="A1367" s="127"/>
      <c r="B1367" s="128" t="s">
        <v>33</v>
      </c>
      <c r="C1367" s="122">
        <f t="shared" si="301"/>
        <v>12</v>
      </c>
      <c r="D1367" s="122">
        <f>D1369</f>
        <v>12</v>
      </c>
      <c r="E1367" s="122">
        <f t="shared" si="308"/>
        <v>0</v>
      </c>
      <c r="F1367" s="122">
        <f t="shared" si="308"/>
        <v>0</v>
      </c>
      <c r="G1367" s="122">
        <f t="shared" si="308"/>
        <v>0</v>
      </c>
      <c r="H1367" s="122">
        <f t="shared" si="308"/>
        <v>0</v>
      </c>
      <c r="I1367" s="122">
        <f t="shared" si="308"/>
        <v>0</v>
      </c>
    </row>
    <row r="1368" spans="1:9" s="65" customFormat="1" x14ac:dyDescent="0.3">
      <c r="A1368" s="360" t="s">
        <v>535</v>
      </c>
      <c r="B1368" s="40" t="s">
        <v>32</v>
      </c>
      <c r="C1368" s="41">
        <f t="shared" si="301"/>
        <v>12</v>
      </c>
      <c r="D1368" s="41">
        <v>12</v>
      </c>
      <c r="E1368" s="41">
        <v>0</v>
      </c>
      <c r="F1368" s="41">
        <v>0</v>
      </c>
      <c r="G1368" s="41">
        <v>0</v>
      </c>
      <c r="H1368" s="41">
        <v>0</v>
      </c>
      <c r="I1368" s="41">
        <v>0</v>
      </c>
    </row>
    <row r="1369" spans="1:9" s="42" customFormat="1" x14ac:dyDescent="0.3">
      <c r="A1369" s="63"/>
      <c r="B1369" s="44" t="s">
        <v>33</v>
      </c>
      <c r="C1369" s="41">
        <f t="shared" si="301"/>
        <v>12</v>
      </c>
      <c r="D1369" s="41">
        <v>12</v>
      </c>
      <c r="E1369" s="41">
        <v>0</v>
      </c>
      <c r="F1369" s="41">
        <v>0</v>
      </c>
      <c r="G1369" s="41">
        <v>0</v>
      </c>
      <c r="H1369" s="41">
        <v>0</v>
      </c>
      <c r="I1369" s="41">
        <v>0</v>
      </c>
    </row>
    <row r="1370" spans="1:9" s="126" customFormat="1" ht="27" customHeight="1" x14ac:dyDescent="0.3">
      <c r="A1370" s="133" t="s">
        <v>536</v>
      </c>
      <c r="B1370" s="124" t="s">
        <v>32</v>
      </c>
      <c r="C1370" s="122">
        <f t="shared" si="301"/>
        <v>407</v>
      </c>
      <c r="D1370" s="122">
        <f>D1372+D1374+D1376</f>
        <v>0</v>
      </c>
      <c r="E1370" s="122">
        <f t="shared" ref="E1370:I1371" si="309">E1372+E1374+E1376</f>
        <v>407</v>
      </c>
      <c r="F1370" s="122">
        <f t="shared" si="309"/>
        <v>0</v>
      </c>
      <c r="G1370" s="122">
        <f t="shared" si="309"/>
        <v>0</v>
      </c>
      <c r="H1370" s="122">
        <f t="shared" si="309"/>
        <v>0</v>
      </c>
      <c r="I1370" s="122">
        <f t="shared" si="309"/>
        <v>0</v>
      </c>
    </row>
    <row r="1371" spans="1:9" s="126" customFormat="1" x14ac:dyDescent="0.3">
      <c r="A1371" s="134"/>
      <c r="B1371" s="128" t="s">
        <v>33</v>
      </c>
      <c r="C1371" s="122">
        <f t="shared" si="301"/>
        <v>407</v>
      </c>
      <c r="D1371" s="122">
        <f>D1373+D1375+D1377</f>
        <v>0</v>
      </c>
      <c r="E1371" s="122">
        <f t="shared" si="309"/>
        <v>407</v>
      </c>
      <c r="F1371" s="122">
        <f t="shared" si="309"/>
        <v>0</v>
      </c>
      <c r="G1371" s="122">
        <f t="shared" si="309"/>
        <v>0</v>
      </c>
      <c r="H1371" s="122">
        <f t="shared" si="309"/>
        <v>0</v>
      </c>
      <c r="I1371" s="122">
        <f t="shared" si="309"/>
        <v>0</v>
      </c>
    </row>
    <row r="1372" spans="1:9" s="65" customFormat="1" ht="15.75" customHeight="1" x14ac:dyDescent="0.3">
      <c r="A1372" s="361" t="s">
        <v>251</v>
      </c>
      <c r="B1372" s="40" t="s">
        <v>32</v>
      </c>
      <c r="C1372" s="41">
        <f t="shared" si="301"/>
        <v>161</v>
      </c>
      <c r="D1372" s="41">
        <v>0</v>
      </c>
      <c r="E1372" s="41">
        <v>161</v>
      </c>
      <c r="F1372" s="41">
        <v>0</v>
      </c>
      <c r="G1372" s="41">
        <v>0</v>
      </c>
      <c r="H1372" s="41">
        <v>0</v>
      </c>
      <c r="I1372" s="41">
        <v>0</v>
      </c>
    </row>
    <row r="1373" spans="1:9" s="42" customFormat="1" x14ac:dyDescent="0.3">
      <c r="A1373" s="63"/>
      <c r="B1373" s="44" t="s">
        <v>33</v>
      </c>
      <c r="C1373" s="41">
        <f t="shared" si="301"/>
        <v>161</v>
      </c>
      <c r="D1373" s="41">
        <v>0</v>
      </c>
      <c r="E1373" s="41">
        <v>161</v>
      </c>
      <c r="F1373" s="41">
        <v>0</v>
      </c>
      <c r="G1373" s="41">
        <v>0</v>
      </c>
      <c r="H1373" s="41">
        <v>0</v>
      </c>
      <c r="I1373" s="41">
        <v>0</v>
      </c>
    </row>
    <row r="1374" spans="1:9" s="65" customFormat="1" ht="17.25" customHeight="1" x14ac:dyDescent="0.3">
      <c r="A1374" s="361" t="s">
        <v>537</v>
      </c>
      <c r="B1374" s="40" t="s">
        <v>32</v>
      </c>
      <c r="C1374" s="41">
        <f t="shared" si="301"/>
        <v>85</v>
      </c>
      <c r="D1374" s="41">
        <v>0</v>
      </c>
      <c r="E1374" s="41">
        <v>85</v>
      </c>
      <c r="F1374" s="41">
        <v>0</v>
      </c>
      <c r="G1374" s="41">
        <v>0</v>
      </c>
      <c r="H1374" s="41">
        <v>0</v>
      </c>
      <c r="I1374" s="41">
        <v>0</v>
      </c>
    </row>
    <row r="1375" spans="1:9" s="42" customFormat="1" x14ac:dyDescent="0.3">
      <c r="A1375" s="63"/>
      <c r="B1375" s="44" t="s">
        <v>33</v>
      </c>
      <c r="C1375" s="41">
        <f t="shared" si="301"/>
        <v>85</v>
      </c>
      <c r="D1375" s="41">
        <v>0</v>
      </c>
      <c r="E1375" s="41">
        <v>85</v>
      </c>
      <c r="F1375" s="41">
        <v>0</v>
      </c>
      <c r="G1375" s="41">
        <v>0</v>
      </c>
      <c r="H1375" s="41">
        <v>0</v>
      </c>
      <c r="I1375" s="41">
        <v>0</v>
      </c>
    </row>
    <row r="1376" spans="1:9" s="65" customFormat="1" ht="16.5" customHeight="1" x14ac:dyDescent="0.3">
      <c r="A1376" s="361" t="s">
        <v>252</v>
      </c>
      <c r="B1376" s="40" t="s">
        <v>32</v>
      </c>
      <c r="C1376" s="41">
        <f t="shared" si="301"/>
        <v>161</v>
      </c>
      <c r="D1376" s="41">
        <v>0</v>
      </c>
      <c r="E1376" s="41">
        <v>161</v>
      </c>
      <c r="F1376" s="41">
        <v>0</v>
      </c>
      <c r="G1376" s="41">
        <v>0</v>
      </c>
      <c r="H1376" s="41">
        <v>0</v>
      </c>
      <c r="I1376" s="41">
        <v>0</v>
      </c>
    </row>
    <row r="1377" spans="1:15" s="42" customFormat="1" x14ac:dyDescent="0.3">
      <c r="A1377" s="63"/>
      <c r="B1377" s="44" t="s">
        <v>33</v>
      </c>
      <c r="C1377" s="41">
        <f t="shared" si="301"/>
        <v>161</v>
      </c>
      <c r="D1377" s="41">
        <v>0</v>
      </c>
      <c r="E1377" s="41">
        <v>161</v>
      </c>
      <c r="F1377" s="41">
        <v>0</v>
      </c>
      <c r="G1377" s="41">
        <v>0</v>
      </c>
      <c r="H1377" s="41">
        <v>0</v>
      </c>
      <c r="I1377" s="41">
        <v>0</v>
      </c>
    </row>
    <row r="1378" spans="1:15" s="65" customFormat="1" ht="15.75" customHeight="1" x14ac:dyDescent="0.3">
      <c r="A1378" s="362" t="s">
        <v>538</v>
      </c>
      <c r="B1378" s="40" t="s">
        <v>32</v>
      </c>
      <c r="C1378" s="41">
        <f t="shared" si="301"/>
        <v>93</v>
      </c>
      <c r="D1378" s="41">
        <f>D1380</f>
        <v>93</v>
      </c>
      <c r="E1378" s="41">
        <f t="shared" ref="E1378:I1379" si="310">E1380</f>
        <v>0</v>
      </c>
      <c r="F1378" s="41">
        <f t="shared" si="310"/>
        <v>0</v>
      </c>
      <c r="G1378" s="41">
        <f t="shared" si="310"/>
        <v>0</v>
      </c>
      <c r="H1378" s="41">
        <f t="shared" si="310"/>
        <v>0</v>
      </c>
      <c r="I1378" s="41">
        <f t="shared" si="310"/>
        <v>0</v>
      </c>
    </row>
    <row r="1379" spans="1:15" s="65" customFormat="1" x14ac:dyDescent="0.3">
      <c r="A1379" s="63"/>
      <c r="B1379" s="44" t="s">
        <v>33</v>
      </c>
      <c r="C1379" s="41">
        <f t="shared" si="301"/>
        <v>93</v>
      </c>
      <c r="D1379" s="41">
        <f>D1381</f>
        <v>93</v>
      </c>
      <c r="E1379" s="41">
        <f t="shared" si="310"/>
        <v>0</v>
      </c>
      <c r="F1379" s="41">
        <f t="shared" si="310"/>
        <v>0</v>
      </c>
      <c r="G1379" s="41">
        <f t="shared" si="310"/>
        <v>0</v>
      </c>
      <c r="H1379" s="41">
        <f t="shared" si="310"/>
        <v>0</v>
      </c>
      <c r="I1379" s="41">
        <f t="shared" si="310"/>
        <v>0</v>
      </c>
    </row>
    <row r="1380" spans="1:15" s="65" customFormat="1" ht="14.15" x14ac:dyDescent="0.3">
      <c r="A1380" s="363" t="s">
        <v>539</v>
      </c>
      <c r="B1380" s="40" t="s">
        <v>32</v>
      </c>
      <c r="C1380" s="41">
        <f t="shared" si="301"/>
        <v>93</v>
      </c>
      <c r="D1380" s="41">
        <v>93</v>
      </c>
      <c r="E1380" s="41">
        <v>0</v>
      </c>
      <c r="F1380" s="41">
        <v>0</v>
      </c>
      <c r="G1380" s="41">
        <v>0</v>
      </c>
      <c r="H1380" s="41">
        <v>0</v>
      </c>
      <c r="I1380" s="41">
        <v>0</v>
      </c>
      <c r="J1380" s="1104" t="s">
        <v>540</v>
      </c>
      <c r="K1380" s="1105"/>
      <c r="L1380" s="1105"/>
      <c r="M1380" s="1105"/>
      <c r="N1380" s="1105"/>
      <c r="O1380" s="1105"/>
    </row>
    <row r="1381" spans="1:15" s="65" customFormat="1" x14ac:dyDescent="0.3">
      <c r="A1381" s="63"/>
      <c r="B1381" s="44" t="s">
        <v>33</v>
      </c>
      <c r="C1381" s="41">
        <f t="shared" si="301"/>
        <v>93</v>
      </c>
      <c r="D1381" s="41">
        <v>93</v>
      </c>
      <c r="E1381" s="41">
        <v>0</v>
      </c>
      <c r="F1381" s="41">
        <v>0</v>
      </c>
      <c r="G1381" s="41">
        <v>0</v>
      </c>
      <c r="H1381" s="41">
        <v>0</v>
      </c>
      <c r="I1381" s="41">
        <v>0</v>
      </c>
      <c r="J1381" s="1104"/>
      <c r="K1381" s="1105"/>
      <c r="L1381" s="1105"/>
      <c r="M1381" s="1105"/>
      <c r="N1381" s="1105"/>
      <c r="O1381" s="1105"/>
    </row>
    <row r="1382" spans="1:15" s="65" customFormat="1" ht="14.15" x14ac:dyDescent="0.3">
      <c r="A1382" s="364" t="s">
        <v>541</v>
      </c>
      <c r="B1382" s="40" t="s">
        <v>32</v>
      </c>
      <c r="C1382" s="41">
        <f t="shared" si="301"/>
        <v>6</v>
      </c>
      <c r="D1382" s="41">
        <f>D1384</f>
        <v>0</v>
      </c>
      <c r="E1382" s="41">
        <f t="shared" ref="E1382:I1383" si="311">E1384</f>
        <v>6</v>
      </c>
      <c r="F1382" s="41">
        <f t="shared" si="311"/>
        <v>0</v>
      </c>
      <c r="G1382" s="41">
        <f t="shared" si="311"/>
        <v>0</v>
      </c>
      <c r="H1382" s="41">
        <f t="shared" si="311"/>
        <v>0</v>
      </c>
      <c r="I1382" s="41">
        <f t="shared" si="311"/>
        <v>0</v>
      </c>
    </row>
    <row r="1383" spans="1:15" s="65" customFormat="1" x14ac:dyDescent="0.3">
      <c r="A1383" s="63"/>
      <c r="B1383" s="44" t="s">
        <v>33</v>
      </c>
      <c r="C1383" s="41">
        <f t="shared" si="301"/>
        <v>6</v>
      </c>
      <c r="D1383" s="41">
        <f>D1385</f>
        <v>0</v>
      </c>
      <c r="E1383" s="41">
        <f t="shared" si="311"/>
        <v>6</v>
      </c>
      <c r="F1383" s="41">
        <f t="shared" si="311"/>
        <v>0</v>
      </c>
      <c r="G1383" s="41">
        <f t="shared" si="311"/>
        <v>0</v>
      </c>
      <c r="H1383" s="41">
        <f t="shared" si="311"/>
        <v>0</v>
      </c>
      <c r="I1383" s="41">
        <f t="shared" si="311"/>
        <v>0</v>
      </c>
    </row>
    <row r="1384" spans="1:15" s="65" customFormat="1" ht="14.15" x14ac:dyDescent="0.3">
      <c r="A1384" s="365" t="s">
        <v>542</v>
      </c>
      <c r="B1384" s="40" t="s">
        <v>32</v>
      </c>
      <c r="C1384" s="41">
        <f t="shared" si="301"/>
        <v>6</v>
      </c>
      <c r="D1384" s="41">
        <v>0</v>
      </c>
      <c r="E1384" s="41">
        <v>6</v>
      </c>
      <c r="F1384" s="41">
        <v>0</v>
      </c>
      <c r="G1384" s="41">
        <v>0</v>
      </c>
      <c r="H1384" s="41">
        <v>0</v>
      </c>
      <c r="I1384" s="41">
        <v>0</v>
      </c>
    </row>
    <row r="1385" spans="1:15" s="65" customFormat="1" x14ac:dyDescent="0.3">
      <c r="A1385" s="63"/>
      <c r="B1385" s="44" t="s">
        <v>33</v>
      </c>
      <c r="C1385" s="41">
        <f t="shared" si="301"/>
        <v>6</v>
      </c>
      <c r="D1385" s="41">
        <v>0</v>
      </c>
      <c r="E1385" s="41">
        <v>6</v>
      </c>
      <c r="F1385" s="41">
        <v>0</v>
      </c>
      <c r="G1385" s="41">
        <v>0</v>
      </c>
      <c r="H1385" s="41">
        <v>0</v>
      </c>
      <c r="I1385" s="41">
        <v>0</v>
      </c>
    </row>
    <row r="1386" spans="1:15" s="126" customFormat="1" ht="16.5" customHeight="1" x14ac:dyDescent="0.3">
      <c r="A1386" s="133" t="s">
        <v>44</v>
      </c>
      <c r="B1386" s="124" t="s">
        <v>32</v>
      </c>
      <c r="C1386" s="122">
        <f t="shared" si="301"/>
        <v>1251.5</v>
      </c>
      <c r="D1386" s="122">
        <f>D1388+D1398+D1402</f>
        <v>18.5</v>
      </c>
      <c r="E1386" s="122">
        <f t="shared" ref="E1386:I1387" si="312">E1388+E1398+E1402</f>
        <v>1233</v>
      </c>
      <c r="F1386" s="122">
        <f t="shared" si="312"/>
        <v>0</v>
      </c>
      <c r="G1386" s="122">
        <f t="shared" si="312"/>
        <v>0</v>
      </c>
      <c r="H1386" s="122">
        <f t="shared" si="312"/>
        <v>0</v>
      </c>
      <c r="I1386" s="122">
        <f t="shared" si="312"/>
        <v>0</v>
      </c>
    </row>
    <row r="1387" spans="1:15" s="126" customFormat="1" x14ac:dyDescent="0.3">
      <c r="A1387" s="127"/>
      <c r="B1387" s="128" t="s">
        <v>33</v>
      </c>
      <c r="C1387" s="122">
        <f t="shared" si="301"/>
        <v>1251.5</v>
      </c>
      <c r="D1387" s="122">
        <f>D1389+D1399+D1403</f>
        <v>18.5</v>
      </c>
      <c r="E1387" s="122">
        <f t="shared" si="312"/>
        <v>1233</v>
      </c>
      <c r="F1387" s="122">
        <f t="shared" si="312"/>
        <v>0</v>
      </c>
      <c r="G1387" s="122">
        <f t="shared" si="312"/>
        <v>0</v>
      </c>
      <c r="H1387" s="122">
        <f t="shared" si="312"/>
        <v>0</v>
      </c>
      <c r="I1387" s="122">
        <f t="shared" si="312"/>
        <v>0</v>
      </c>
    </row>
    <row r="1388" spans="1:15" s="126" customFormat="1" ht="24.9" x14ac:dyDescent="0.3">
      <c r="A1388" s="366" t="s">
        <v>543</v>
      </c>
      <c r="B1388" s="124" t="s">
        <v>32</v>
      </c>
      <c r="C1388" s="122">
        <f t="shared" si="301"/>
        <v>1233</v>
      </c>
      <c r="D1388" s="122">
        <f>D1390+D1392+D1394+D1396</f>
        <v>0</v>
      </c>
      <c r="E1388" s="122">
        <f t="shared" ref="E1388:I1389" si="313">E1390+E1392+E1394+E1396</f>
        <v>1233</v>
      </c>
      <c r="F1388" s="122">
        <f t="shared" si="313"/>
        <v>0</v>
      </c>
      <c r="G1388" s="122">
        <f t="shared" si="313"/>
        <v>0</v>
      </c>
      <c r="H1388" s="122">
        <f t="shared" si="313"/>
        <v>0</v>
      </c>
      <c r="I1388" s="122">
        <f t="shared" si="313"/>
        <v>0</v>
      </c>
    </row>
    <row r="1389" spans="1:15" s="126" customFormat="1" x14ac:dyDescent="0.3">
      <c r="A1389" s="127"/>
      <c r="B1389" s="128" t="s">
        <v>33</v>
      </c>
      <c r="C1389" s="122">
        <f t="shared" si="301"/>
        <v>1233</v>
      </c>
      <c r="D1389" s="122">
        <f>D1391+D1393+D1395+D1397</f>
        <v>0</v>
      </c>
      <c r="E1389" s="122">
        <f t="shared" si="313"/>
        <v>1233</v>
      </c>
      <c r="F1389" s="122">
        <f t="shared" si="313"/>
        <v>0</v>
      </c>
      <c r="G1389" s="122">
        <f t="shared" si="313"/>
        <v>0</v>
      </c>
      <c r="H1389" s="122">
        <f t="shared" si="313"/>
        <v>0</v>
      </c>
      <c r="I1389" s="122">
        <f t="shared" si="313"/>
        <v>0</v>
      </c>
    </row>
    <row r="1390" spans="1:15" s="65" customFormat="1" ht="14.15" x14ac:dyDescent="0.35">
      <c r="A1390" s="339" t="s">
        <v>251</v>
      </c>
      <c r="B1390" s="40" t="s">
        <v>32</v>
      </c>
      <c r="C1390" s="143">
        <f t="shared" si="301"/>
        <v>56</v>
      </c>
      <c r="D1390" s="41">
        <v>0</v>
      </c>
      <c r="E1390" s="41">
        <v>56</v>
      </c>
      <c r="F1390" s="41">
        <v>0</v>
      </c>
      <c r="G1390" s="41">
        <v>0</v>
      </c>
      <c r="H1390" s="41">
        <v>0</v>
      </c>
      <c r="I1390" s="41">
        <v>0</v>
      </c>
    </row>
    <row r="1391" spans="1:15" s="65" customFormat="1" x14ac:dyDescent="0.3">
      <c r="A1391" s="63"/>
      <c r="B1391" s="44" t="s">
        <v>33</v>
      </c>
      <c r="C1391" s="143">
        <f t="shared" si="301"/>
        <v>56</v>
      </c>
      <c r="D1391" s="41">
        <v>0</v>
      </c>
      <c r="E1391" s="41">
        <v>56</v>
      </c>
      <c r="F1391" s="41">
        <v>0</v>
      </c>
      <c r="G1391" s="41">
        <v>0</v>
      </c>
      <c r="H1391" s="41">
        <v>0</v>
      </c>
      <c r="I1391" s="41">
        <v>0</v>
      </c>
    </row>
    <row r="1392" spans="1:15" s="65" customFormat="1" ht="14.15" x14ac:dyDescent="0.35">
      <c r="A1392" s="339" t="s">
        <v>537</v>
      </c>
      <c r="B1392" s="40" t="s">
        <v>32</v>
      </c>
      <c r="C1392" s="143">
        <f t="shared" si="301"/>
        <v>77</v>
      </c>
      <c r="D1392" s="41">
        <v>0</v>
      </c>
      <c r="E1392" s="41">
        <v>77</v>
      </c>
      <c r="F1392" s="41">
        <v>0</v>
      </c>
      <c r="G1392" s="41">
        <v>0</v>
      </c>
      <c r="H1392" s="41">
        <v>0</v>
      </c>
      <c r="I1392" s="41">
        <v>0</v>
      </c>
    </row>
    <row r="1393" spans="1:9" s="65" customFormat="1" x14ac:dyDescent="0.3">
      <c r="A1393" s="63"/>
      <c r="B1393" s="44" t="s">
        <v>33</v>
      </c>
      <c r="C1393" s="143">
        <f t="shared" si="301"/>
        <v>77</v>
      </c>
      <c r="D1393" s="41">
        <v>0</v>
      </c>
      <c r="E1393" s="41">
        <v>77</v>
      </c>
      <c r="F1393" s="41">
        <v>0</v>
      </c>
      <c r="G1393" s="41">
        <v>0</v>
      </c>
      <c r="H1393" s="41">
        <v>0</v>
      </c>
      <c r="I1393" s="41">
        <v>0</v>
      </c>
    </row>
    <row r="1394" spans="1:9" s="65" customFormat="1" ht="14.15" x14ac:dyDescent="0.35">
      <c r="A1394" s="339" t="s">
        <v>252</v>
      </c>
      <c r="B1394" s="40" t="s">
        <v>32</v>
      </c>
      <c r="C1394" s="143">
        <f t="shared" si="301"/>
        <v>56</v>
      </c>
      <c r="D1394" s="41">
        <v>0</v>
      </c>
      <c r="E1394" s="41">
        <v>56</v>
      </c>
      <c r="F1394" s="41">
        <v>0</v>
      </c>
      <c r="G1394" s="41">
        <v>0</v>
      </c>
      <c r="H1394" s="41">
        <v>0</v>
      </c>
      <c r="I1394" s="41">
        <v>0</v>
      </c>
    </row>
    <row r="1395" spans="1:9" s="65" customFormat="1" x14ac:dyDescent="0.3">
      <c r="A1395" s="63"/>
      <c r="B1395" s="44" t="s">
        <v>33</v>
      </c>
      <c r="C1395" s="143">
        <f t="shared" si="301"/>
        <v>56</v>
      </c>
      <c r="D1395" s="41">
        <v>0</v>
      </c>
      <c r="E1395" s="41">
        <v>56</v>
      </c>
      <c r="F1395" s="41">
        <v>0</v>
      </c>
      <c r="G1395" s="41">
        <v>0</v>
      </c>
      <c r="H1395" s="41">
        <v>0</v>
      </c>
      <c r="I1395" s="41">
        <v>0</v>
      </c>
    </row>
    <row r="1396" spans="1:9" s="65" customFormat="1" ht="14.15" x14ac:dyDescent="0.35">
      <c r="A1396" s="339" t="s">
        <v>253</v>
      </c>
      <c r="B1396" s="40" t="s">
        <v>32</v>
      </c>
      <c r="C1396" s="143">
        <f t="shared" si="301"/>
        <v>1044</v>
      </c>
      <c r="D1396" s="41">
        <v>0</v>
      </c>
      <c r="E1396" s="41">
        <v>1044</v>
      </c>
      <c r="F1396" s="41">
        <v>0</v>
      </c>
      <c r="G1396" s="41">
        <v>0</v>
      </c>
      <c r="H1396" s="41">
        <v>0</v>
      </c>
      <c r="I1396" s="41">
        <v>0</v>
      </c>
    </row>
    <row r="1397" spans="1:9" s="65" customFormat="1" x14ac:dyDescent="0.3">
      <c r="A1397" s="63"/>
      <c r="B1397" s="44" t="s">
        <v>33</v>
      </c>
      <c r="C1397" s="143">
        <f t="shared" si="301"/>
        <v>1044</v>
      </c>
      <c r="D1397" s="41">
        <v>0</v>
      </c>
      <c r="E1397" s="41">
        <v>1044</v>
      </c>
      <c r="F1397" s="41">
        <v>0</v>
      </c>
      <c r="G1397" s="41">
        <v>0</v>
      </c>
      <c r="H1397" s="41">
        <v>0</v>
      </c>
      <c r="I1397" s="41">
        <v>0</v>
      </c>
    </row>
    <row r="1398" spans="1:9" s="42" customFormat="1" ht="28.3" x14ac:dyDescent="0.35">
      <c r="A1398" s="367" t="s">
        <v>544</v>
      </c>
      <c r="B1398" s="40" t="s">
        <v>32</v>
      </c>
      <c r="C1398" s="143">
        <f t="shared" si="301"/>
        <v>8</v>
      </c>
      <c r="D1398" s="41">
        <f>D1400</f>
        <v>8</v>
      </c>
      <c r="E1398" s="41">
        <f t="shared" ref="E1398:I1399" si="314">E1400</f>
        <v>0</v>
      </c>
      <c r="F1398" s="41">
        <f t="shared" si="314"/>
        <v>0</v>
      </c>
      <c r="G1398" s="41">
        <f t="shared" si="314"/>
        <v>0</v>
      </c>
      <c r="H1398" s="41">
        <f t="shared" si="314"/>
        <v>0</v>
      </c>
      <c r="I1398" s="41">
        <f t="shared" si="314"/>
        <v>0</v>
      </c>
    </row>
    <row r="1399" spans="1:9" s="65" customFormat="1" x14ac:dyDescent="0.3">
      <c r="A1399" s="63"/>
      <c r="B1399" s="44" t="s">
        <v>33</v>
      </c>
      <c r="C1399" s="143">
        <f t="shared" si="301"/>
        <v>8</v>
      </c>
      <c r="D1399" s="41">
        <f>D1401</f>
        <v>8</v>
      </c>
      <c r="E1399" s="41">
        <f t="shared" si="314"/>
        <v>0</v>
      </c>
      <c r="F1399" s="41">
        <f t="shared" si="314"/>
        <v>0</v>
      </c>
      <c r="G1399" s="41">
        <f t="shared" si="314"/>
        <v>0</v>
      </c>
      <c r="H1399" s="41">
        <f t="shared" si="314"/>
        <v>0</v>
      </c>
      <c r="I1399" s="41">
        <f t="shared" si="314"/>
        <v>0</v>
      </c>
    </row>
    <row r="1400" spans="1:9" s="65" customFormat="1" ht="14.15" x14ac:dyDescent="0.35">
      <c r="A1400" s="368" t="s">
        <v>545</v>
      </c>
      <c r="B1400" s="40" t="s">
        <v>32</v>
      </c>
      <c r="C1400" s="143">
        <f t="shared" si="301"/>
        <v>8</v>
      </c>
      <c r="D1400" s="41">
        <v>8</v>
      </c>
      <c r="E1400" s="41">
        <v>0</v>
      </c>
      <c r="F1400" s="41">
        <v>0</v>
      </c>
      <c r="G1400" s="41">
        <v>0</v>
      </c>
      <c r="H1400" s="41">
        <v>0</v>
      </c>
      <c r="I1400" s="41">
        <v>0</v>
      </c>
    </row>
    <row r="1401" spans="1:9" s="65" customFormat="1" x14ac:dyDescent="0.3">
      <c r="A1401" s="63"/>
      <c r="B1401" s="44" t="s">
        <v>33</v>
      </c>
      <c r="C1401" s="143">
        <f t="shared" si="301"/>
        <v>8</v>
      </c>
      <c r="D1401" s="41">
        <v>8</v>
      </c>
      <c r="E1401" s="41">
        <v>0</v>
      </c>
      <c r="F1401" s="41">
        <v>0</v>
      </c>
      <c r="G1401" s="41">
        <v>0</v>
      </c>
      <c r="H1401" s="41">
        <v>0</v>
      </c>
      <c r="I1401" s="41">
        <v>0</v>
      </c>
    </row>
    <row r="1402" spans="1:9" s="42" customFormat="1" ht="24.9" x14ac:dyDescent="0.3">
      <c r="A1402" s="369" t="s">
        <v>546</v>
      </c>
      <c r="B1402" s="40" t="s">
        <v>32</v>
      </c>
      <c r="C1402" s="143">
        <f t="shared" si="301"/>
        <v>10.5</v>
      </c>
      <c r="D1402" s="41">
        <f>D1404</f>
        <v>10.5</v>
      </c>
      <c r="E1402" s="41">
        <f t="shared" ref="E1402:I1403" si="315">E1404</f>
        <v>0</v>
      </c>
      <c r="F1402" s="41">
        <f t="shared" si="315"/>
        <v>0</v>
      </c>
      <c r="G1402" s="41">
        <f t="shared" si="315"/>
        <v>0</v>
      </c>
      <c r="H1402" s="41">
        <f t="shared" si="315"/>
        <v>0</v>
      </c>
      <c r="I1402" s="41">
        <f t="shared" si="315"/>
        <v>0</v>
      </c>
    </row>
    <row r="1403" spans="1:9" s="65" customFormat="1" x14ac:dyDescent="0.3">
      <c r="A1403" s="63"/>
      <c r="B1403" s="44" t="s">
        <v>33</v>
      </c>
      <c r="C1403" s="143">
        <f t="shared" si="301"/>
        <v>10.5</v>
      </c>
      <c r="D1403" s="41">
        <f>D1405</f>
        <v>10.5</v>
      </c>
      <c r="E1403" s="41">
        <f t="shared" si="315"/>
        <v>0</v>
      </c>
      <c r="F1403" s="41">
        <f t="shared" si="315"/>
        <v>0</v>
      </c>
      <c r="G1403" s="41">
        <f t="shared" si="315"/>
        <v>0</v>
      </c>
      <c r="H1403" s="41">
        <f t="shared" si="315"/>
        <v>0</v>
      </c>
      <c r="I1403" s="41">
        <f t="shared" si="315"/>
        <v>0</v>
      </c>
    </row>
    <row r="1404" spans="1:9" s="65" customFormat="1" x14ac:dyDescent="0.3">
      <c r="A1404" s="370" t="s">
        <v>547</v>
      </c>
      <c r="B1404" s="40" t="s">
        <v>32</v>
      </c>
      <c r="C1404" s="143">
        <f t="shared" si="301"/>
        <v>10.5</v>
      </c>
      <c r="D1404" s="41">
        <v>10.5</v>
      </c>
      <c r="E1404" s="41">
        <v>0</v>
      </c>
      <c r="F1404" s="41">
        <v>0</v>
      </c>
      <c r="G1404" s="41">
        <v>0</v>
      </c>
      <c r="H1404" s="41">
        <v>0</v>
      </c>
      <c r="I1404" s="41">
        <v>0</v>
      </c>
    </row>
    <row r="1405" spans="1:9" s="65" customFormat="1" x14ac:dyDescent="0.3">
      <c r="A1405" s="63"/>
      <c r="B1405" s="44" t="s">
        <v>33</v>
      </c>
      <c r="C1405" s="143">
        <f t="shared" si="301"/>
        <v>10.5</v>
      </c>
      <c r="D1405" s="41">
        <v>10.5</v>
      </c>
      <c r="E1405" s="41">
        <v>0</v>
      </c>
      <c r="F1405" s="41">
        <v>0</v>
      </c>
      <c r="G1405" s="41">
        <v>0</v>
      </c>
      <c r="H1405" s="41">
        <v>0</v>
      </c>
      <c r="I1405" s="41">
        <v>0</v>
      </c>
    </row>
    <row r="1406" spans="1:9" s="126" customFormat="1" x14ac:dyDescent="0.3">
      <c r="A1406" s="285" t="s">
        <v>45</v>
      </c>
      <c r="B1406" s="124" t="s">
        <v>32</v>
      </c>
      <c r="C1406" s="122">
        <f t="shared" si="301"/>
        <v>59</v>
      </c>
      <c r="D1406" s="122">
        <f>D1408+D1412</f>
        <v>59</v>
      </c>
      <c r="E1406" s="122">
        <f t="shared" ref="E1406:I1407" si="316">E1408+E1412</f>
        <v>0</v>
      </c>
      <c r="F1406" s="122">
        <f t="shared" si="316"/>
        <v>0</v>
      </c>
      <c r="G1406" s="122">
        <f t="shared" si="316"/>
        <v>0</v>
      </c>
      <c r="H1406" s="122">
        <f t="shared" si="316"/>
        <v>0</v>
      </c>
      <c r="I1406" s="122">
        <f t="shared" si="316"/>
        <v>0</v>
      </c>
    </row>
    <row r="1407" spans="1:9" s="126" customFormat="1" x14ac:dyDescent="0.3">
      <c r="A1407" s="127"/>
      <c r="B1407" s="128" t="s">
        <v>33</v>
      </c>
      <c r="C1407" s="122">
        <f t="shared" si="301"/>
        <v>59</v>
      </c>
      <c r="D1407" s="122">
        <f>D1409+D1413</f>
        <v>59</v>
      </c>
      <c r="E1407" s="122">
        <f t="shared" si="316"/>
        <v>0</v>
      </c>
      <c r="F1407" s="122">
        <f t="shared" si="316"/>
        <v>0</v>
      </c>
      <c r="G1407" s="122">
        <f t="shared" si="316"/>
        <v>0</v>
      </c>
      <c r="H1407" s="122">
        <f t="shared" si="316"/>
        <v>0</v>
      </c>
      <c r="I1407" s="122">
        <f t="shared" si="316"/>
        <v>0</v>
      </c>
    </row>
    <row r="1408" spans="1:9" s="126" customFormat="1" ht="14.15" x14ac:dyDescent="0.35">
      <c r="A1408" s="371" t="s">
        <v>548</v>
      </c>
      <c r="B1408" s="124" t="s">
        <v>32</v>
      </c>
      <c r="C1408" s="122">
        <f t="shared" si="301"/>
        <v>49</v>
      </c>
      <c r="D1408" s="122">
        <f>D1410</f>
        <v>49</v>
      </c>
      <c r="E1408" s="122">
        <f t="shared" ref="E1408:I1409" si="317">E1410</f>
        <v>0</v>
      </c>
      <c r="F1408" s="122">
        <f t="shared" si="317"/>
        <v>0</v>
      </c>
      <c r="G1408" s="122">
        <f t="shared" si="317"/>
        <v>0</v>
      </c>
      <c r="H1408" s="122">
        <f t="shared" si="317"/>
        <v>0</v>
      </c>
      <c r="I1408" s="122">
        <f t="shared" si="317"/>
        <v>0</v>
      </c>
    </row>
    <row r="1409" spans="1:14" s="126" customFormat="1" x14ac:dyDescent="0.3">
      <c r="A1409" s="127"/>
      <c r="B1409" s="128" t="s">
        <v>33</v>
      </c>
      <c r="C1409" s="122">
        <f t="shared" si="301"/>
        <v>49</v>
      </c>
      <c r="D1409" s="122">
        <f>D1411</f>
        <v>49</v>
      </c>
      <c r="E1409" s="122">
        <f t="shared" si="317"/>
        <v>0</v>
      </c>
      <c r="F1409" s="122">
        <f t="shared" si="317"/>
        <v>0</v>
      </c>
      <c r="G1409" s="122">
        <f t="shared" si="317"/>
        <v>0</v>
      </c>
      <c r="H1409" s="122">
        <f t="shared" si="317"/>
        <v>0</v>
      </c>
      <c r="I1409" s="122">
        <f t="shared" si="317"/>
        <v>0</v>
      </c>
    </row>
    <row r="1410" spans="1:14" s="65" customFormat="1" ht="14.15" x14ac:dyDescent="0.35">
      <c r="A1410" s="293" t="s">
        <v>549</v>
      </c>
      <c r="B1410" s="40" t="s">
        <v>32</v>
      </c>
      <c r="C1410" s="143">
        <f t="shared" si="301"/>
        <v>49</v>
      </c>
      <c r="D1410" s="41">
        <v>49</v>
      </c>
      <c r="E1410" s="41">
        <v>0</v>
      </c>
      <c r="F1410" s="41">
        <v>0</v>
      </c>
      <c r="G1410" s="41">
        <v>0</v>
      </c>
      <c r="H1410" s="41">
        <v>0</v>
      </c>
      <c r="I1410" s="41">
        <v>0</v>
      </c>
      <c r="J1410" s="1106" t="s">
        <v>550</v>
      </c>
      <c r="K1410" s="1107"/>
      <c r="L1410" s="1107"/>
      <c r="M1410" s="1107"/>
      <c r="N1410" s="1107"/>
    </row>
    <row r="1411" spans="1:14" s="42" customFormat="1" x14ac:dyDescent="0.3">
      <c r="A1411" s="63"/>
      <c r="B1411" s="44" t="s">
        <v>33</v>
      </c>
      <c r="C1411" s="143">
        <f t="shared" si="301"/>
        <v>49</v>
      </c>
      <c r="D1411" s="41">
        <v>49</v>
      </c>
      <c r="E1411" s="41">
        <v>0</v>
      </c>
      <c r="F1411" s="41">
        <v>0</v>
      </c>
      <c r="G1411" s="41">
        <v>0</v>
      </c>
      <c r="H1411" s="41">
        <v>0</v>
      </c>
      <c r="I1411" s="41">
        <v>0</v>
      </c>
      <c r="J1411" s="1108"/>
      <c r="K1411" s="1109"/>
      <c r="L1411" s="1109"/>
      <c r="M1411" s="1109"/>
      <c r="N1411" s="1109"/>
    </row>
    <row r="1412" spans="1:14" s="65" customFormat="1" ht="28.3" x14ac:dyDescent="0.35">
      <c r="A1412" s="372" t="s">
        <v>551</v>
      </c>
      <c r="B1412" s="117" t="s">
        <v>32</v>
      </c>
      <c r="C1412" s="122">
        <f t="shared" si="301"/>
        <v>10</v>
      </c>
      <c r="D1412" s="36">
        <f>D1414</f>
        <v>10</v>
      </c>
      <c r="E1412" s="36">
        <f t="shared" ref="E1412:I1413" si="318">E1414</f>
        <v>0</v>
      </c>
      <c r="F1412" s="36">
        <f t="shared" si="318"/>
        <v>0</v>
      </c>
      <c r="G1412" s="36">
        <f t="shared" si="318"/>
        <v>0</v>
      </c>
      <c r="H1412" s="36">
        <f t="shared" si="318"/>
        <v>0</v>
      </c>
      <c r="I1412" s="36">
        <f t="shared" si="318"/>
        <v>0</v>
      </c>
    </row>
    <row r="1413" spans="1:14" s="42" customFormat="1" x14ac:dyDescent="0.3">
      <c r="A1413" s="63"/>
      <c r="B1413" s="44" t="s">
        <v>33</v>
      </c>
      <c r="C1413" s="122">
        <f t="shared" si="301"/>
        <v>10</v>
      </c>
      <c r="D1413" s="36">
        <f>D1415</f>
        <v>10</v>
      </c>
      <c r="E1413" s="36">
        <f t="shared" si="318"/>
        <v>0</v>
      </c>
      <c r="F1413" s="36">
        <f t="shared" si="318"/>
        <v>0</v>
      </c>
      <c r="G1413" s="36">
        <f t="shared" si="318"/>
        <v>0</v>
      </c>
      <c r="H1413" s="36">
        <f t="shared" si="318"/>
        <v>0</v>
      </c>
      <c r="I1413" s="36">
        <f t="shared" si="318"/>
        <v>0</v>
      </c>
    </row>
    <row r="1414" spans="1:14" s="65" customFormat="1" ht="14.15" x14ac:dyDescent="0.35">
      <c r="A1414" s="271" t="s">
        <v>552</v>
      </c>
      <c r="B1414" s="40" t="s">
        <v>32</v>
      </c>
      <c r="C1414" s="143">
        <f t="shared" si="301"/>
        <v>10</v>
      </c>
      <c r="D1414" s="41">
        <v>10</v>
      </c>
      <c r="E1414" s="41">
        <v>0</v>
      </c>
      <c r="F1414" s="41">
        <v>0</v>
      </c>
      <c r="G1414" s="41">
        <v>0</v>
      </c>
      <c r="H1414" s="41">
        <v>0</v>
      </c>
      <c r="I1414" s="41">
        <v>0</v>
      </c>
    </row>
    <row r="1415" spans="1:14" s="42" customFormat="1" x14ac:dyDescent="0.3">
      <c r="A1415" s="63"/>
      <c r="B1415" s="44" t="s">
        <v>33</v>
      </c>
      <c r="C1415" s="143">
        <f t="shared" si="301"/>
        <v>10</v>
      </c>
      <c r="D1415" s="41">
        <v>10</v>
      </c>
      <c r="E1415" s="41">
        <v>0</v>
      </c>
      <c r="F1415" s="41">
        <v>0</v>
      </c>
      <c r="G1415" s="41">
        <v>0</v>
      </c>
      <c r="H1415" s="41">
        <v>0</v>
      </c>
      <c r="I1415" s="41">
        <v>0</v>
      </c>
    </row>
    <row r="1416" spans="1:14" s="126" customFormat="1" x14ac:dyDescent="0.3">
      <c r="A1416" s="373" t="s">
        <v>50</v>
      </c>
      <c r="B1416" s="124" t="s">
        <v>32</v>
      </c>
      <c r="C1416" s="122">
        <f t="shared" si="301"/>
        <v>372</v>
      </c>
      <c r="D1416" s="122">
        <f t="shared" ref="D1416:I1419" si="319">D1418</f>
        <v>10</v>
      </c>
      <c r="E1416" s="122">
        <f t="shared" si="319"/>
        <v>362</v>
      </c>
      <c r="F1416" s="122">
        <f t="shared" si="319"/>
        <v>0</v>
      </c>
      <c r="G1416" s="122">
        <f t="shared" si="319"/>
        <v>0</v>
      </c>
      <c r="H1416" s="122">
        <f t="shared" si="319"/>
        <v>0</v>
      </c>
      <c r="I1416" s="122">
        <f t="shared" si="319"/>
        <v>0</v>
      </c>
    </row>
    <row r="1417" spans="1:14" s="126" customFormat="1" x14ac:dyDescent="0.3">
      <c r="A1417" s="374" t="s">
        <v>51</v>
      </c>
      <c r="B1417" s="128" t="s">
        <v>33</v>
      </c>
      <c r="C1417" s="122">
        <f t="shared" si="301"/>
        <v>372</v>
      </c>
      <c r="D1417" s="122">
        <f t="shared" si="319"/>
        <v>10</v>
      </c>
      <c r="E1417" s="122">
        <f t="shared" si="319"/>
        <v>362</v>
      </c>
      <c r="F1417" s="122">
        <f t="shared" si="319"/>
        <v>0</v>
      </c>
      <c r="G1417" s="122">
        <f t="shared" si="319"/>
        <v>0</v>
      </c>
      <c r="H1417" s="122">
        <f t="shared" si="319"/>
        <v>0</v>
      </c>
      <c r="I1417" s="122">
        <f t="shared" si="319"/>
        <v>0</v>
      </c>
    </row>
    <row r="1418" spans="1:14" s="260" customFormat="1" ht="12.9" x14ac:dyDescent="0.35">
      <c r="A1418" s="265" t="s">
        <v>40</v>
      </c>
      <c r="B1418" s="203" t="s">
        <v>32</v>
      </c>
      <c r="C1418" s="179">
        <f t="shared" si="301"/>
        <v>372</v>
      </c>
      <c r="D1418" s="179">
        <f t="shared" si="319"/>
        <v>10</v>
      </c>
      <c r="E1418" s="179">
        <f t="shared" si="319"/>
        <v>362</v>
      </c>
      <c r="F1418" s="179">
        <f t="shared" si="319"/>
        <v>0</v>
      </c>
      <c r="G1418" s="179">
        <f t="shared" si="319"/>
        <v>0</v>
      </c>
      <c r="H1418" s="179">
        <f t="shared" si="319"/>
        <v>0</v>
      </c>
      <c r="I1418" s="179">
        <f t="shared" si="319"/>
        <v>0</v>
      </c>
    </row>
    <row r="1419" spans="1:14" s="260" customFormat="1" ht="12.9" x14ac:dyDescent="0.35">
      <c r="A1419" s="266"/>
      <c r="B1419" s="263" t="s">
        <v>33</v>
      </c>
      <c r="C1419" s="179">
        <f t="shared" si="301"/>
        <v>372</v>
      </c>
      <c r="D1419" s="179">
        <f t="shared" si="319"/>
        <v>10</v>
      </c>
      <c r="E1419" s="179">
        <f t="shared" si="319"/>
        <v>362</v>
      </c>
      <c r="F1419" s="179">
        <f t="shared" si="319"/>
        <v>0</v>
      </c>
      <c r="G1419" s="179">
        <f t="shared" si="319"/>
        <v>0</v>
      </c>
      <c r="H1419" s="179">
        <f t="shared" si="319"/>
        <v>0</v>
      </c>
      <c r="I1419" s="179">
        <f t="shared" si="319"/>
        <v>0</v>
      </c>
    </row>
    <row r="1420" spans="1:14" s="260" customFormat="1" x14ac:dyDescent="0.3">
      <c r="A1420" s="178" t="s">
        <v>53</v>
      </c>
      <c r="B1420" s="150" t="s">
        <v>32</v>
      </c>
      <c r="C1420" s="179">
        <f t="shared" si="301"/>
        <v>372</v>
      </c>
      <c r="D1420" s="179">
        <f t="shared" ref="D1420:I1421" si="320">D1422+D1436</f>
        <v>10</v>
      </c>
      <c r="E1420" s="179">
        <f t="shared" si="320"/>
        <v>362</v>
      </c>
      <c r="F1420" s="179">
        <f t="shared" si="320"/>
        <v>0</v>
      </c>
      <c r="G1420" s="179">
        <f t="shared" si="320"/>
        <v>0</v>
      </c>
      <c r="H1420" s="179">
        <f t="shared" si="320"/>
        <v>0</v>
      </c>
      <c r="I1420" s="179">
        <f t="shared" si="320"/>
        <v>0</v>
      </c>
    </row>
    <row r="1421" spans="1:14" s="260" customFormat="1" x14ac:dyDescent="0.3">
      <c r="A1421" s="302"/>
      <c r="B1421" s="99" t="s">
        <v>33</v>
      </c>
      <c r="C1421" s="179">
        <f t="shared" si="301"/>
        <v>372</v>
      </c>
      <c r="D1421" s="179">
        <f t="shared" si="320"/>
        <v>10</v>
      </c>
      <c r="E1421" s="179">
        <f t="shared" si="320"/>
        <v>362</v>
      </c>
      <c r="F1421" s="179">
        <f t="shared" si="320"/>
        <v>0</v>
      </c>
      <c r="G1421" s="179">
        <f t="shared" si="320"/>
        <v>0</v>
      </c>
      <c r="H1421" s="179">
        <f t="shared" si="320"/>
        <v>0</v>
      </c>
      <c r="I1421" s="179">
        <f t="shared" si="320"/>
        <v>0</v>
      </c>
    </row>
    <row r="1422" spans="1:14" s="126" customFormat="1" x14ac:dyDescent="0.3">
      <c r="A1422" s="285" t="s">
        <v>43</v>
      </c>
      <c r="B1422" s="124" t="s">
        <v>32</v>
      </c>
      <c r="C1422" s="122">
        <f t="shared" si="301"/>
        <v>362</v>
      </c>
      <c r="D1422" s="122">
        <f t="shared" ref="D1422:I1423" si="321">D1424+D1432</f>
        <v>0</v>
      </c>
      <c r="E1422" s="122">
        <f t="shared" si="321"/>
        <v>362</v>
      </c>
      <c r="F1422" s="122">
        <f t="shared" si="321"/>
        <v>0</v>
      </c>
      <c r="G1422" s="122">
        <f t="shared" si="321"/>
        <v>0</v>
      </c>
      <c r="H1422" s="122">
        <f t="shared" si="321"/>
        <v>0</v>
      </c>
      <c r="I1422" s="122">
        <f t="shared" si="321"/>
        <v>0</v>
      </c>
    </row>
    <row r="1423" spans="1:14" s="126" customFormat="1" x14ac:dyDescent="0.3">
      <c r="A1423" s="127"/>
      <c r="B1423" s="128" t="s">
        <v>33</v>
      </c>
      <c r="C1423" s="122">
        <f t="shared" si="301"/>
        <v>362</v>
      </c>
      <c r="D1423" s="122">
        <f t="shared" si="321"/>
        <v>0</v>
      </c>
      <c r="E1423" s="122">
        <f t="shared" si="321"/>
        <v>362</v>
      </c>
      <c r="F1423" s="122">
        <f t="shared" si="321"/>
        <v>0</v>
      </c>
      <c r="G1423" s="122">
        <f t="shared" si="321"/>
        <v>0</v>
      </c>
      <c r="H1423" s="122">
        <f t="shared" si="321"/>
        <v>0</v>
      </c>
      <c r="I1423" s="122">
        <f t="shared" si="321"/>
        <v>0</v>
      </c>
    </row>
    <row r="1424" spans="1:14" s="375" customFormat="1" x14ac:dyDescent="0.3">
      <c r="A1424" s="133" t="s">
        <v>553</v>
      </c>
      <c r="B1424" s="124" t="s">
        <v>32</v>
      </c>
      <c r="C1424" s="122">
        <f t="shared" ref="C1424:C1441" si="322">D1424+E1424+F1424+G1424+H1424+I1424</f>
        <v>312</v>
      </c>
      <c r="D1424" s="122">
        <f>D1426+D1428+D1430</f>
        <v>0</v>
      </c>
      <c r="E1424" s="122">
        <f t="shared" ref="E1424:I1425" si="323">E1426+E1428+E1430</f>
        <v>312</v>
      </c>
      <c r="F1424" s="122">
        <f t="shared" si="323"/>
        <v>0</v>
      </c>
      <c r="G1424" s="122">
        <f t="shared" si="323"/>
        <v>0</v>
      </c>
      <c r="H1424" s="122">
        <f t="shared" si="323"/>
        <v>0</v>
      </c>
      <c r="I1424" s="122">
        <f t="shared" si="323"/>
        <v>0</v>
      </c>
    </row>
    <row r="1425" spans="1:15" s="375" customFormat="1" x14ac:dyDescent="0.3">
      <c r="A1425" s="127"/>
      <c r="B1425" s="128" t="s">
        <v>33</v>
      </c>
      <c r="C1425" s="122">
        <f t="shared" si="322"/>
        <v>312</v>
      </c>
      <c r="D1425" s="122">
        <f>D1427+D1429+D1431</f>
        <v>0</v>
      </c>
      <c r="E1425" s="122">
        <f t="shared" si="323"/>
        <v>312</v>
      </c>
      <c r="F1425" s="122">
        <f t="shared" si="323"/>
        <v>0</v>
      </c>
      <c r="G1425" s="122">
        <f t="shared" si="323"/>
        <v>0</v>
      </c>
      <c r="H1425" s="122">
        <f t="shared" si="323"/>
        <v>0</v>
      </c>
      <c r="I1425" s="122">
        <f t="shared" si="323"/>
        <v>0</v>
      </c>
    </row>
    <row r="1426" spans="1:15" s="65" customFormat="1" ht="14.15" x14ac:dyDescent="0.35">
      <c r="A1426" s="276" t="s">
        <v>554</v>
      </c>
      <c r="B1426" s="40" t="s">
        <v>32</v>
      </c>
      <c r="C1426" s="41">
        <f t="shared" si="322"/>
        <v>134</v>
      </c>
      <c r="D1426" s="41">
        <v>0</v>
      </c>
      <c r="E1426" s="41">
        <f>160-26</f>
        <v>134</v>
      </c>
      <c r="F1426" s="41">
        <v>0</v>
      </c>
      <c r="G1426" s="41">
        <v>0</v>
      </c>
      <c r="H1426" s="41">
        <v>0</v>
      </c>
      <c r="I1426" s="41">
        <v>0</v>
      </c>
      <c r="J1426" s="1097"/>
      <c r="K1426" s="1098"/>
      <c r="L1426" s="1098"/>
      <c r="M1426" s="1098"/>
      <c r="N1426" s="1098"/>
      <c r="O1426" s="1001"/>
    </row>
    <row r="1427" spans="1:15" s="65" customFormat="1" x14ac:dyDescent="0.3">
      <c r="A1427" s="63"/>
      <c r="B1427" s="44" t="s">
        <v>33</v>
      </c>
      <c r="C1427" s="41">
        <f t="shared" si="322"/>
        <v>134</v>
      </c>
      <c r="D1427" s="41">
        <v>0</v>
      </c>
      <c r="E1427" s="41">
        <f>160-26</f>
        <v>134</v>
      </c>
      <c r="F1427" s="41">
        <v>0</v>
      </c>
      <c r="G1427" s="41">
        <v>0</v>
      </c>
      <c r="H1427" s="41">
        <v>0</v>
      </c>
      <c r="I1427" s="41">
        <v>0</v>
      </c>
      <c r="J1427" s="1097"/>
      <c r="K1427" s="1098"/>
      <c r="L1427" s="1098"/>
      <c r="M1427" s="1098"/>
      <c r="N1427" s="1098"/>
      <c r="O1427" s="1001"/>
    </row>
    <row r="1428" spans="1:15" s="65" customFormat="1" ht="14.15" x14ac:dyDescent="0.35">
      <c r="A1428" s="276" t="s">
        <v>555</v>
      </c>
      <c r="B1428" s="40" t="s">
        <v>32</v>
      </c>
      <c r="C1428" s="41">
        <f t="shared" si="322"/>
        <v>145</v>
      </c>
      <c r="D1428" s="41">
        <v>0</v>
      </c>
      <c r="E1428" s="41">
        <f>180-35</f>
        <v>145</v>
      </c>
      <c r="F1428" s="41">
        <v>0</v>
      </c>
      <c r="G1428" s="41">
        <v>0</v>
      </c>
      <c r="H1428" s="41">
        <v>0</v>
      </c>
      <c r="I1428" s="41">
        <v>0</v>
      </c>
      <c r="J1428" s="1097"/>
      <c r="K1428" s="1098"/>
      <c r="L1428" s="1098"/>
      <c r="M1428" s="1098"/>
      <c r="N1428" s="1098"/>
      <c r="O1428" s="1001"/>
    </row>
    <row r="1429" spans="1:15" s="65" customFormat="1" x14ac:dyDescent="0.3">
      <c r="A1429" s="63"/>
      <c r="B1429" s="44" t="s">
        <v>33</v>
      </c>
      <c r="C1429" s="41">
        <f t="shared" si="322"/>
        <v>145</v>
      </c>
      <c r="D1429" s="41">
        <v>0</v>
      </c>
      <c r="E1429" s="41">
        <f>180-35</f>
        <v>145</v>
      </c>
      <c r="F1429" s="41">
        <v>0</v>
      </c>
      <c r="G1429" s="41">
        <v>0</v>
      </c>
      <c r="H1429" s="41">
        <v>0</v>
      </c>
      <c r="I1429" s="41">
        <v>0</v>
      </c>
      <c r="J1429" s="1097"/>
      <c r="K1429" s="1098"/>
      <c r="L1429" s="1098"/>
      <c r="M1429" s="1098"/>
      <c r="N1429" s="1098"/>
      <c r="O1429" s="1001"/>
    </row>
    <row r="1430" spans="1:15" s="65" customFormat="1" ht="14.15" x14ac:dyDescent="0.35">
      <c r="A1430" s="276" t="s">
        <v>556</v>
      </c>
      <c r="B1430" s="40" t="s">
        <v>32</v>
      </c>
      <c r="C1430" s="41">
        <f t="shared" si="322"/>
        <v>33</v>
      </c>
      <c r="D1430" s="41">
        <v>0</v>
      </c>
      <c r="E1430" s="41">
        <v>33</v>
      </c>
      <c r="F1430" s="41">
        <v>0</v>
      </c>
      <c r="G1430" s="41">
        <v>0</v>
      </c>
      <c r="H1430" s="41">
        <v>0</v>
      </c>
      <c r="I1430" s="41">
        <v>0</v>
      </c>
      <c r="J1430" s="1097"/>
      <c r="K1430" s="1098"/>
      <c r="L1430" s="1098"/>
      <c r="M1430" s="1098"/>
      <c r="N1430" s="1098"/>
      <c r="O1430" s="1001"/>
    </row>
    <row r="1431" spans="1:15" s="65" customFormat="1" x14ac:dyDescent="0.3">
      <c r="A1431" s="63"/>
      <c r="B1431" s="44" t="s">
        <v>33</v>
      </c>
      <c r="C1431" s="41">
        <f t="shared" si="322"/>
        <v>33</v>
      </c>
      <c r="D1431" s="41">
        <v>0</v>
      </c>
      <c r="E1431" s="41">
        <v>33</v>
      </c>
      <c r="F1431" s="41">
        <v>0</v>
      </c>
      <c r="G1431" s="41">
        <v>0</v>
      </c>
      <c r="H1431" s="41">
        <v>0</v>
      </c>
      <c r="I1431" s="41">
        <v>0</v>
      </c>
      <c r="J1431" s="1097"/>
      <c r="K1431" s="1098"/>
      <c r="L1431" s="1098"/>
      <c r="M1431" s="1098"/>
      <c r="N1431" s="1098"/>
      <c r="O1431" s="1001"/>
    </row>
    <row r="1432" spans="1:15" s="375" customFormat="1" x14ac:dyDescent="0.3">
      <c r="A1432" s="133" t="s">
        <v>557</v>
      </c>
      <c r="B1432" s="124" t="s">
        <v>32</v>
      </c>
      <c r="C1432" s="122">
        <f t="shared" si="322"/>
        <v>50</v>
      </c>
      <c r="D1432" s="122">
        <f>D1434</f>
        <v>0</v>
      </c>
      <c r="E1432" s="122">
        <f t="shared" ref="E1432:I1433" si="324">E1434</f>
        <v>50</v>
      </c>
      <c r="F1432" s="122">
        <f t="shared" si="324"/>
        <v>0</v>
      </c>
      <c r="G1432" s="122">
        <f t="shared" si="324"/>
        <v>0</v>
      </c>
      <c r="H1432" s="122">
        <f t="shared" si="324"/>
        <v>0</v>
      </c>
      <c r="I1432" s="122">
        <f t="shared" si="324"/>
        <v>0</v>
      </c>
    </row>
    <row r="1433" spans="1:15" s="375" customFormat="1" x14ac:dyDescent="0.3">
      <c r="A1433" s="127"/>
      <c r="B1433" s="128" t="s">
        <v>33</v>
      </c>
      <c r="C1433" s="122">
        <f t="shared" si="322"/>
        <v>50</v>
      </c>
      <c r="D1433" s="122">
        <f>D1435</f>
        <v>0</v>
      </c>
      <c r="E1433" s="122">
        <f t="shared" si="324"/>
        <v>50</v>
      </c>
      <c r="F1433" s="122">
        <f t="shared" si="324"/>
        <v>0</v>
      </c>
      <c r="G1433" s="122">
        <f t="shared" si="324"/>
        <v>0</v>
      </c>
      <c r="H1433" s="122">
        <f t="shared" si="324"/>
        <v>0</v>
      </c>
      <c r="I1433" s="122">
        <f t="shared" si="324"/>
        <v>0</v>
      </c>
    </row>
    <row r="1434" spans="1:15" s="65" customFormat="1" ht="14.15" x14ac:dyDescent="0.35">
      <c r="A1434" s="278" t="s">
        <v>558</v>
      </c>
      <c r="B1434" s="40" t="s">
        <v>32</v>
      </c>
      <c r="C1434" s="41">
        <f t="shared" si="322"/>
        <v>50</v>
      </c>
      <c r="D1434" s="41">
        <v>0</v>
      </c>
      <c r="E1434" s="41">
        <v>50</v>
      </c>
      <c r="F1434" s="41">
        <v>0</v>
      </c>
      <c r="G1434" s="41">
        <v>0</v>
      </c>
      <c r="H1434" s="41">
        <v>0</v>
      </c>
      <c r="I1434" s="41">
        <v>0</v>
      </c>
      <c r="J1434" s="1097"/>
      <c r="K1434" s="1098"/>
      <c r="L1434" s="1098"/>
      <c r="M1434" s="1098"/>
      <c r="N1434" s="1098"/>
      <c r="O1434" s="1001"/>
    </row>
    <row r="1435" spans="1:15" s="65" customFormat="1" x14ac:dyDescent="0.3">
      <c r="A1435" s="63"/>
      <c r="B1435" s="44" t="s">
        <v>33</v>
      </c>
      <c r="C1435" s="41">
        <f t="shared" si="322"/>
        <v>50</v>
      </c>
      <c r="D1435" s="41">
        <v>0</v>
      </c>
      <c r="E1435" s="41">
        <v>50</v>
      </c>
      <c r="F1435" s="41">
        <v>0</v>
      </c>
      <c r="G1435" s="41">
        <v>0</v>
      </c>
      <c r="H1435" s="41">
        <v>0</v>
      </c>
      <c r="I1435" s="41">
        <v>0</v>
      </c>
      <c r="J1435" s="1097"/>
      <c r="K1435" s="1098"/>
      <c r="L1435" s="1098"/>
      <c r="M1435" s="1098"/>
      <c r="N1435" s="1098"/>
      <c r="O1435" s="1001"/>
    </row>
    <row r="1436" spans="1:15" s="126" customFormat="1" ht="16.5" customHeight="1" x14ac:dyDescent="0.3">
      <c r="A1436" s="133" t="s">
        <v>44</v>
      </c>
      <c r="B1436" s="124" t="s">
        <v>32</v>
      </c>
      <c r="C1436" s="122">
        <f t="shared" si="322"/>
        <v>10</v>
      </c>
      <c r="D1436" s="122">
        <f>D1438</f>
        <v>10</v>
      </c>
      <c r="E1436" s="122">
        <f t="shared" ref="E1436:I1439" si="325">E1438</f>
        <v>0</v>
      </c>
      <c r="F1436" s="122">
        <f t="shared" si="325"/>
        <v>0</v>
      </c>
      <c r="G1436" s="122">
        <f t="shared" si="325"/>
        <v>0</v>
      </c>
      <c r="H1436" s="122">
        <f t="shared" si="325"/>
        <v>0</v>
      </c>
      <c r="I1436" s="122">
        <f t="shared" si="325"/>
        <v>0</v>
      </c>
    </row>
    <row r="1437" spans="1:15" s="126" customFormat="1" x14ac:dyDescent="0.3">
      <c r="A1437" s="127"/>
      <c r="B1437" s="128" t="s">
        <v>33</v>
      </c>
      <c r="C1437" s="122">
        <f t="shared" si="322"/>
        <v>10</v>
      </c>
      <c r="D1437" s="122">
        <f>D1439</f>
        <v>10</v>
      </c>
      <c r="E1437" s="122">
        <f t="shared" si="325"/>
        <v>0</v>
      </c>
      <c r="F1437" s="122">
        <f t="shared" si="325"/>
        <v>0</v>
      </c>
      <c r="G1437" s="122">
        <f t="shared" si="325"/>
        <v>0</v>
      </c>
      <c r="H1437" s="122">
        <f t="shared" si="325"/>
        <v>0</v>
      </c>
      <c r="I1437" s="122">
        <f t="shared" si="325"/>
        <v>0</v>
      </c>
    </row>
    <row r="1438" spans="1:15" s="126" customFormat="1" ht="14.15" x14ac:dyDescent="0.35">
      <c r="A1438" s="376" t="s">
        <v>559</v>
      </c>
      <c r="B1438" s="124" t="s">
        <v>32</v>
      </c>
      <c r="C1438" s="122">
        <f t="shared" si="322"/>
        <v>10</v>
      </c>
      <c r="D1438" s="122">
        <f>D1440</f>
        <v>10</v>
      </c>
      <c r="E1438" s="122">
        <f t="shared" si="325"/>
        <v>0</v>
      </c>
      <c r="F1438" s="122">
        <f t="shared" si="325"/>
        <v>0</v>
      </c>
      <c r="G1438" s="122">
        <f t="shared" si="325"/>
        <v>0</v>
      </c>
      <c r="H1438" s="122">
        <f t="shared" si="325"/>
        <v>0</v>
      </c>
      <c r="I1438" s="122">
        <f t="shared" si="325"/>
        <v>0</v>
      </c>
    </row>
    <row r="1439" spans="1:15" s="126" customFormat="1" x14ac:dyDescent="0.3">
      <c r="A1439" s="127"/>
      <c r="B1439" s="128" t="s">
        <v>33</v>
      </c>
      <c r="C1439" s="122">
        <f t="shared" si="322"/>
        <v>10</v>
      </c>
      <c r="D1439" s="122">
        <f>D1441</f>
        <v>10</v>
      </c>
      <c r="E1439" s="122">
        <f t="shared" si="325"/>
        <v>0</v>
      </c>
      <c r="F1439" s="122">
        <f t="shared" si="325"/>
        <v>0</v>
      </c>
      <c r="G1439" s="122">
        <f t="shared" si="325"/>
        <v>0</v>
      </c>
      <c r="H1439" s="122">
        <f t="shared" si="325"/>
        <v>0</v>
      </c>
      <c r="I1439" s="122">
        <f t="shared" si="325"/>
        <v>0</v>
      </c>
    </row>
    <row r="1440" spans="1:15" s="65" customFormat="1" ht="14.15" x14ac:dyDescent="0.35">
      <c r="A1440" s="271" t="s">
        <v>560</v>
      </c>
      <c r="B1440" s="40" t="s">
        <v>32</v>
      </c>
      <c r="C1440" s="143">
        <f t="shared" si="322"/>
        <v>10</v>
      </c>
      <c r="D1440" s="41">
        <v>10</v>
      </c>
      <c r="E1440" s="41">
        <v>0</v>
      </c>
      <c r="F1440" s="41">
        <v>0</v>
      </c>
      <c r="G1440" s="41">
        <v>0</v>
      </c>
      <c r="H1440" s="41">
        <v>0</v>
      </c>
      <c r="I1440" s="41">
        <v>0</v>
      </c>
    </row>
    <row r="1441" spans="1:9" s="65" customFormat="1" x14ac:dyDescent="0.3">
      <c r="A1441" s="63"/>
      <c r="B1441" s="44" t="s">
        <v>33</v>
      </c>
      <c r="C1441" s="143">
        <f t="shared" si="322"/>
        <v>10</v>
      </c>
      <c r="D1441" s="41">
        <v>10</v>
      </c>
      <c r="E1441" s="41">
        <v>0</v>
      </c>
      <c r="F1441" s="41">
        <v>0</v>
      </c>
      <c r="G1441" s="41">
        <v>0</v>
      </c>
      <c r="H1441" s="41">
        <v>0</v>
      </c>
      <c r="I1441" s="41">
        <v>0</v>
      </c>
    </row>
    <row r="1442" spans="1:9" x14ac:dyDescent="0.3">
      <c r="A1442" s="1062" t="s">
        <v>561</v>
      </c>
      <c r="B1442" s="1064"/>
      <c r="C1442" s="1064"/>
      <c r="D1442" s="1064"/>
      <c r="E1442" s="1064"/>
      <c r="F1442" s="1064"/>
      <c r="G1442" s="1064"/>
      <c r="H1442" s="1064"/>
      <c r="I1442" s="1065"/>
    </row>
    <row r="1443" spans="1:9" x14ac:dyDescent="0.3">
      <c r="A1443" s="72" t="s">
        <v>57</v>
      </c>
      <c r="B1443" s="56" t="s">
        <v>32</v>
      </c>
      <c r="C1443" s="97">
        <f t="shared" ref="C1443:C1456" si="326">D1443+E1443+F1443+G1443+H1443+I1443</f>
        <v>1585</v>
      </c>
      <c r="D1443" s="49">
        <f t="shared" ref="D1443:I1450" si="327">D1445</f>
        <v>1165</v>
      </c>
      <c r="E1443" s="49">
        <f t="shared" si="327"/>
        <v>420</v>
      </c>
      <c r="F1443" s="49">
        <f t="shared" si="327"/>
        <v>0</v>
      </c>
      <c r="G1443" s="49">
        <f t="shared" si="327"/>
        <v>0</v>
      </c>
      <c r="H1443" s="49">
        <f t="shared" si="327"/>
        <v>0</v>
      </c>
      <c r="I1443" s="49">
        <f t="shared" si="327"/>
        <v>0</v>
      </c>
    </row>
    <row r="1444" spans="1:9" x14ac:dyDescent="0.3">
      <c r="A1444" s="60" t="s">
        <v>87</v>
      </c>
      <c r="B1444" s="38" t="s">
        <v>33</v>
      </c>
      <c r="C1444" s="97">
        <f t="shared" si="326"/>
        <v>1585</v>
      </c>
      <c r="D1444" s="49">
        <f t="shared" si="327"/>
        <v>1165</v>
      </c>
      <c r="E1444" s="49">
        <f t="shared" si="327"/>
        <v>420</v>
      </c>
      <c r="F1444" s="49">
        <f t="shared" si="327"/>
        <v>0</v>
      </c>
      <c r="G1444" s="49">
        <f t="shared" si="327"/>
        <v>0</v>
      </c>
      <c r="H1444" s="49">
        <f t="shared" si="327"/>
        <v>0</v>
      </c>
      <c r="I1444" s="49">
        <f t="shared" si="327"/>
        <v>0</v>
      </c>
    </row>
    <row r="1445" spans="1:9" x14ac:dyDescent="0.3">
      <c r="A1445" s="15" t="s">
        <v>120</v>
      </c>
      <c r="B1445" s="47" t="s">
        <v>32</v>
      </c>
      <c r="C1445" s="97">
        <f t="shared" si="326"/>
        <v>1585</v>
      </c>
      <c r="D1445" s="49">
        <f t="shared" si="327"/>
        <v>1165</v>
      </c>
      <c r="E1445" s="49">
        <f t="shared" si="327"/>
        <v>420</v>
      </c>
      <c r="F1445" s="49">
        <f t="shared" si="327"/>
        <v>0</v>
      </c>
      <c r="G1445" s="49">
        <f t="shared" si="327"/>
        <v>0</v>
      </c>
      <c r="H1445" s="49">
        <f t="shared" si="327"/>
        <v>0</v>
      </c>
      <c r="I1445" s="49">
        <f t="shared" si="327"/>
        <v>0</v>
      </c>
    </row>
    <row r="1446" spans="1:9" x14ac:dyDescent="0.3">
      <c r="A1446" s="60" t="s">
        <v>121</v>
      </c>
      <c r="B1446" s="53" t="s">
        <v>33</v>
      </c>
      <c r="C1446" s="97">
        <f t="shared" si="326"/>
        <v>1585</v>
      </c>
      <c r="D1446" s="49">
        <f t="shared" si="327"/>
        <v>1165</v>
      </c>
      <c r="E1446" s="49">
        <f t="shared" si="327"/>
        <v>420</v>
      </c>
      <c r="F1446" s="49">
        <f t="shared" si="327"/>
        <v>0</v>
      </c>
      <c r="G1446" s="49">
        <f t="shared" si="327"/>
        <v>0</v>
      </c>
      <c r="H1446" s="49">
        <f t="shared" si="327"/>
        <v>0</v>
      </c>
      <c r="I1446" s="49">
        <f t="shared" si="327"/>
        <v>0</v>
      </c>
    </row>
    <row r="1447" spans="1:9" ht="12.9" x14ac:dyDescent="0.35">
      <c r="A1447" s="54" t="s">
        <v>40</v>
      </c>
      <c r="B1447" s="35" t="s">
        <v>32</v>
      </c>
      <c r="C1447" s="97">
        <f t="shared" si="326"/>
        <v>1585</v>
      </c>
      <c r="D1447" s="49">
        <f t="shared" si="327"/>
        <v>1165</v>
      </c>
      <c r="E1447" s="49">
        <f t="shared" si="327"/>
        <v>420</v>
      </c>
      <c r="F1447" s="49">
        <f t="shared" si="327"/>
        <v>0</v>
      </c>
      <c r="G1447" s="49">
        <f t="shared" si="327"/>
        <v>0</v>
      </c>
      <c r="H1447" s="49">
        <f t="shared" si="327"/>
        <v>0</v>
      </c>
      <c r="I1447" s="49">
        <f t="shared" si="327"/>
        <v>0</v>
      </c>
    </row>
    <row r="1448" spans="1:9" ht="12.9" x14ac:dyDescent="0.35">
      <c r="A1448" s="43"/>
      <c r="B1448" s="38" t="s">
        <v>33</v>
      </c>
      <c r="C1448" s="97">
        <f t="shared" si="326"/>
        <v>1585</v>
      </c>
      <c r="D1448" s="49">
        <f t="shared" si="327"/>
        <v>1165</v>
      </c>
      <c r="E1448" s="49">
        <f t="shared" si="327"/>
        <v>420</v>
      </c>
      <c r="F1448" s="49">
        <f t="shared" si="327"/>
        <v>0</v>
      </c>
      <c r="G1448" s="49">
        <f t="shared" si="327"/>
        <v>0</v>
      </c>
      <c r="H1448" s="49">
        <f t="shared" si="327"/>
        <v>0</v>
      </c>
      <c r="I1448" s="49">
        <f t="shared" si="327"/>
        <v>0</v>
      </c>
    </row>
    <row r="1449" spans="1:9" x14ac:dyDescent="0.3">
      <c r="A1449" s="58" t="s">
        <v>53</v>
      </c>
      <c r="B1449" s="377" t="s">
        <v>32</v>
      </c>
      <c r="C1449" s="97">
        <f t="shared" si="326"/>
        <v>1585</v>
      </c>
      <c r="D1449" s="49">
        <f t="shared" si="327"/>
        <v>1165</v>
      </c>
      <c r="E1449" s="49">
        <f t="shared" si="327"/>
        <v>420</v>
      </c>
      <c r="F1449" s="49">
        <f t="shared" si="327"/>
        <v>0</v>
      </c>
      <c r="G1449" s="49">
        <f t="shared" si="327"/>
        <v>0</v>
      </c>
      <c r="H1449" s="49">
        <f t="shared" si="327"/>
        <v>0</v>
      </c>
      <c r="I1449" s="49">
        <f t="shared" si="327"/>
        <v>0</v>
      </c>
    </row>
    <row r="1450" spans="1:9" x14ac:dyDescent="0.3">
      <c r="A1450" s="37"/>
      <c r="B1450" s="378" t="s">
        <v>33</v>
      </c>
      <c r="C1450" s="97">
        <f t="shared" si="326"/>
        <v>1585</v>
      </c>
      <c r="D1450" s="49">
        <f t="shared" si="327"/>
        <v>1165</v>
      </c>
      <c r="E1450" s="49">
        <f t="shared" si="327"/>
        <v>420</v>
      </c>
      <c r="F1450" s="49">
        <f t="shared" si="327"/>
        <v>0</v>
      </c>
      <c r="G1450" s="49">
        <f t="shared" si="327"/>
        <v>0</v>
      </c>
      <c r="H1450" s="49">
        <f t="shared" si="327"/>
        <v>0</v>
      </c>
      <c r="I1450" s="49">
        <f t="shared" si="327"/>
        <v>0</v>
      </c>
    </row>
    <row r="1451" spans="1:9" s="14" customFormat="1" x14ac:dyDescent="0.3">
      <c r="A1451" s="149" t="s">
        <v>43</v>
      </c>
      <c r="B1451" s="12" t="s">
        <v>32</v>
      </c>
      <c r="C1451" s="97">
        <f t="shared" si="326"/>
        <v>1585</v>
      </c>
      <c r="D1451" s="165">
        <f>D1453+D1455</f>
        <v>1165</v>
      </c>
      <c r="E1451" s="165">
        <f t="shared" ref="E1451:I1452" si="328">E1453+E1455</f>
        <v>420</v>
      </c>
      <c r="F1451" s="165">
        <f t="shared" si="328"/>
        <v>0</v>
      </c>
      <c r="G1451" s="165">
        <f t="shared" si="328"/>
        <v>0</v>
      </c>
      <c r="H1451" s="165">
        <f t="shared" si="328"/>
        <v>0</v>
      </c>
      <c r="I1451" s="165">
        <f t="shared" si="328"/>
        <v>0</v>
      </c>
    </row>
    <row r="1452" spans="1:9" s="14" customFormat="1" x14ac:dyDescent="0.3">
      <c r="A1452" s="19"/>
      <c r="B1452" s="23" t="s">
        <v>33</v>
      </c>
      <c r="C1452" s="97">
        <f t="shared" si="326"/>
        <v>1585</v>
      </c>
      <c r="D1452" s="165">
        <f>D1454+D1456</f>
        <v>1165</v>
      </c>
      <c r="E1452" s="165">
        <f t="shared" si="328"/>
        <v>420</v>
      </c>
      <c r="F1452" s="165">
        <f t="shared" si="328"/>
        <v>0</v>
      </c>
      <c r="G1452" s="165">
        <f t="shared" si="328"/>
        <v>0</v>
      </c>
      <c r="H1452" s="165">
        <f t="shared" si="328"/>
        <v>0</v>
      </c>
      <c r="I1452" s="165">
        <f t="shared" si="328"/>
        <v>0</v>
      </c>
    </row>
    <row r="1453" spans="1:9" s="147" customFormat="1" ht="14.15" x14ac:dyDescent="0.3">
      <c r="A1453" s="379" t="s">
        <v>562</v>
      </c>
      <c r="B1453" s="380" t="s">
        <v>32</v>
      </c>
      <c r="C1453" s="143">
        <f t="shared" si="326"/>
        <v>1165</v>
      </c>
      <c r="D1453" s="143">
        <v>1165</v>
      </c>
      <c r="E1453" s="41">
        <v>0</v>
      </c>
      <c r="F1453" s="143">
        <v>0</v>
      </c>
      <c r="G1453" s="143">
        <v>0</v>
      </c>
      <c r="H1453" s="143">
        <v>0</v>
      </c>
      <c r="I1453" s="143">
        <v>0</v>
      </c>
    </row>
    <row r="1454" spans="1:9" s="145" customFormat="1" x14ac:dyDescent="0.3">
      <c r="A1454" s="302"/>
      <c r="B1454" s="381" t="s">
        <v>33</v>
      </c>
      <c r="C1454" s="97">
        <f t="shared" si="326"/>
        <v>1165</v>
      </c>
      <c r="D1454" s="97">
        <v>1165</v>
      </c>
      <c r="E1454" s="49">
        <v>0</v>
      </c>
      <c r="F1454" s="97">
        <v>0</v>
      </c>
      <c r="G1454" s="97">
        <v>0</v>
      </c>
      <c r="H1454" s="97">
        <v>0</v>
      </c>
      <c r="I1454" s="97">
        <v>0</v>
      </c>
    </row>
    <row r="1455" spans="1:9" s="147" customFormat="1" ht="14.15" x14ac:dyDescent="0.3">
      <c r="A1455" s="382" t="s">
        <v>563</v>
      </c>
      <c r="B1455" s="380" t="s">
        <v>32</v>
      </c>
      <c r="C1455" s="143">
        <f t="shared" si="326"/>
        <v>420</v>
      </c>
      <c r="D1455" s="143">
        <v>0</v>
      </c>
      <c r="E1455" s="41">
        <v>420</v>
      </c>
      <c r="F1455" s="143">
        <v>0</v>
      </c>
      <c r="G1455" s="143">
        <v>0</v>
      </c>
      <c r="H1455" s="143">
        <v>0</v>
      </c>
      <c r="I1455" s="143">
        <v>0</v>
      </c>
    </row>
    <row r="1456" spans="1:9" s="145" customFormat="1" x14ac:dyDescent="0.3">
      <c r="A1456" s="302"/>
      <c r="B1456" s="381" t="s">
        <v>33</v>
      </c>
      <c r="C1456" s="97">
        <f t="shared" si="326"/>
        <v>420</v>
      </c>
      <c r="D1456" s="97">
        <v>0</v>
      </c>
      <c r="E1456" s="49">
        <v>420</v>
      </c>
      <c r="F1456" s="97">
        <v>0</v>
      </c>
      <c r="G1456" s="97">
        <v>0</v>
      </c>
      <c r="H1456" s="97">
        <v>0</v>
      </c>
      <c r="I1456" s="97">
        <v>0</v>
      </c>
    </row>
    <row r="1457" spans="1:9" x14ac:dyDescent="0.3">
      <c r="A1457" s="1069" t="s">
        <v>564</v>
      </c>
      <c r="B1457" s="1070"/>
      <c r="C1457" s="1070"/>
      <c r="D1457" s="1070"/>
      <c r="E1457" s="1070"/>
      <c r="F1457" s="1070"/>
      <c r="G1457" s="1070"/>
      <c r="H1457" s="1070"/>
      <c r="I1457" s="1071"/>
    </row>
    <row r="1458" spans="1:9" x14ac:dyDescent="0.3">
      <c r="A1458" s="1010" t="s">
        <v>57</v>
      </c>
      <c r="B1458" s="1011"/>
      <c r="C1458" s="1011"/>
      <c r="D1458" s="1011"/>
      <c r="E1458" s="1011"/>
      <c r="F1458" s="1011"/>
      <c r="G1458" s="1011"/>
      <c r="H1458" s="1011"/>
      <c r="I1458" s="1012"/>
    </row>
    <row r="1459" spans="1:9" x14ac:dyDescent="0.3">
      <c r="A1459" s="245" t="s">
        <v>31</v>
      </c>
      <c r="B1459" s="35" t="s">
        <v>32</v>
      </c>
      <c r="C1459" s="48">
        <f t="shared" ref="C1459:C1478" si="329">D1459+E1459+F1459+G1459+H1459+I1459</f>
        <v>29344.546999999999</v>
      </c>
      <c r="D1459" s="48">
        <f t="shared" ref="D1459:I1460" si="330">D1461+D1471</f>
        <v>8308.0669999999991</v>
      </c>
      <c r="E1459" s="48">
        <f t="shared" si="330"/>
        <v>13305.8</v>
      </c>
      <c r="F1459" s="48">
        <f t="shared" si="330"/>
        <v>249</v>
      </c>
      <c r="G1459" s="48">
        <f t="shared" si="330"/>
        <v>1550</v>
      </c>
      <c r="H1459" s="48">
        <f t="shared" si="330"/>
        <v>0</v>
      </c>
      <c r="I1459" s="48">
        <f t="shared" si="330"/>
        <v>5931.68</v>
      </c>
    </row>
    <row r="1460" spans="1:9" ht="12.9" thickBot="1" x14ac:dyDescent="0.35">
      <c r="A1460" s="246"/>
      <c r="B1460" s="247" t="s">
        <v>33</v>
      </c>
      <c r="C1460" s="48">
        <f t="shared" si="329"/>
        <v>29344.546999999999</v>
      </c>
      <c r="D1460" s="48">
        <f t="shared" si="330"/>
        <v>8308.0669999999991</v>
      </c>
      <c r="E1460" s="41">
        <f t="shared" si="330"/>
        <v>13305.8</v>
      </c>
      <c r="F1460" s="48">
        <f t="shared" si="330"/>
        <v>249</v>
      </c>
      <c r="G1460" s="48">
        <f t="shared" si="330"/>
        <v>1550</v>
      </c>
      <c r="H1460" s="48">
        <f t="shared" si="330"/>
        <v>0</v>
      </c>
      <c r="I1460" s="48">
        <f t="shared" si="330"/>
        <v>5931.68</v>
      </c>
    </row>
    <row r="1461" spans="1:9" x14ac:dyDescent="0.3">
      <c r="A1461" s="34" t="s">
        <v>34</v>
      </c>
      <c r="B1461" s="35" t="s">
        <v>32</v>
      </c>
      <c r="C1461" s="48">
        <f t="shared" si="329"/>
        <v>18408.199999999997</v>
      </c>
      <c r="D1461" s="48">
        <f>D1463+D1465</f>
        <v>5014.9599999999991</v>
      </c>
      <c r="E1461" s="48">
        <f t="shared" ref="E1461:I1462" si="331">E1463+E1465</f>
        <v>10869.8</v>
      </c>
      <c r="F1461" s="48">
        <f t="shared" si="331"/>
        <v>249</v>
      </c>
      <c r="G1461" s="48">
        <f t="shared" si="331"/>
        <v>1550</v>
      </c>
      <c r="H1461" s="48">
        <f t="shared" si="331"/>
        <v>0</v>
      </c>
      <c r="I1461" s="48">
        <f t="shared" si="331"/>
        <v>724.44</v>
      </c>
    </row>
    <row r="1462" spans="1:9" x14ac:dyDescent="0.3">
      <c r="A1462" s="37" t="s">
        <v>35</v>
      </c>
      <c r="B1462" s="38" t="s">
        <v>33</v>
      </c>
      <c r="C1462" s="48">
        <f t="shared" si="329"/>
        <v>18408.199999999997</v>
      </c>
      <c r="D1462" s="48">
        <f>D1464+D1466</f>
        <v>5014.9599999999991</v>
      </c>
      <c r="E1462" s="48">
        <f t="shared" si="331"/>
        <v>10869.8</v>
      </c>
      <c r="F1462" s="48">
        <f t="shared" si="331"/>
        <v>249</v>
      </c>
      <c r="G1462" s="48">
        <f t="shared" si="331"/>
        <v>1550</v>
      </c>
      <c r="H1462" s="48">
        <f t="shared" si="331"/>
        <v>0</v>
      </c>
      <c r="I1462" s="48">
        <f t="shared" si="331"/>
        <v>724.44</v>
      </c>
    </row>
    <row r="1463" spans="1:9" ht="25.75" x14ac:dyDescent="0.35">
      <c r="A1463" s="64" t="s">
        <v>52</v>
      </c>
      <c r="B1463" s="40" t="s">
        <v>32</v>
      </c>
      <c r="C1463" s="48">
        <f>D1463+E1463+F1463+G1463+H1463+I1463</f>
        <v>4557</v>
      </c>
      <c r="D1463" s="48">
        <f>D2055</f>
        <v>2509</v>
      </c>
      <c r="E1463" s="48">
        <f t="shared" ref="E1463:I1464" si="332">E2055</f>
        <v>249</v>
      </c>
      <c r="F1463" s="48">
        <f t="shared" si="332"/>
        <v>249</v>
      </c>
      <c r="G1463" s="48">
        <f t="shared" si="332"/>
        <v>1550</v>
      </c>
      <c r="H1463" s="48">
        <f t="shared" si="332"/>
        <v>0</v>
      </c>
      <c r="I1463" s="48">
        <f t="shared" si="332"/>
        <v>0</v>
      </c>
    </row>
    <row r="1464" spans="1:9" ht="12.9" x14ac:dyDescent="0.35">
      <c r="A1464" s="43"/>
      <c r="B1464" s="44" t="s">
        <v>33</v>
      </c>
      <c r="C1464" s="48">
        <f>D1464+E1464+F1464+G1464+H1464+I1464</f>
        <v>4557</v>
      </c>
      <c r="D1464" s="48">
        <f>D2056</f>
        <v>2509</v>
      </c>
      <c r="E1464" s="48">
        <f t="shared" si="332"/>
        <v>249</v>
      </c>
      <c r="F1464" s="48">
        <f t="shared" si="332"/>
        <v>249</v>
      </c>
      <c r="G1464" s="48">
        <f t="shared" si="332"/>
        <v>1550</v>
      </c>
      <c r="H1464" s="48">
        <f t="shared" si="332"/>
        <v>0</v>
      </c>
      <c r="I1464" s="48">
        <f t="shared" si="332"/>
        <v>0</v>
      </c>
    </row>
    <row r="1465" spans="1:9" ht="12.9" x14ac:dyDescent="0.35">
      <c r="A1465" s="54" t="s">
        <v>40</v>
      </c>
      <c r="B1465" s="35" t="s">
        <v>32</v>
      </c>
      <c r="C1465" s="48">
        <f t="shared" si="329"/>
        <v>13851.199999999999</v>
      </c>
      <c r="D1465" s="48">
        <f>D1467</f>
        <v>2505.9599999999996</v>
      </c>
      <c r="E1465" s="48">
        <f t="shared" ref="E1465:I1468" si="333">E1467</f>
        <v>10620.8</v>
      </c>
      <c r="F1465" s="48">
        <f t="shared" si="333"/>
        <v>0</v>
      </c>
      <c r="G1465" s="48">
        <f t="shared" si="333"/>
        <v>0</v>
      </c>
      <c r="H1465" s="48">
        <f t="shared" si="333"/>
        <v>0</v>
      </c>
      <c r="I1465" s="48">
        <f t="shared" si="333"/>
        <v>724.44</v>
      </c>
    </row>
    <row r="1466" spans="1:9" ht="12.9" x14ac:dyDescent="0.35">
      <c r="A1466" s="43"/>
      <c r="B1466" s="38" t="s">
        <v>33</v>
      </c>
      <c r="C1466" s="48">
        <f t="shared" si="329"/>
        <v>13851.199999999999</v>
      </c>
      <c r="D1466" s="48">
        <f>D1468</f>
        <v>2505.9599999999996</v>
      </c>
      <c r="E1466" s="48">
        <f>E1468</f>
        <v>10620.8</v>
      </c>
      <c r="F1466" s="48">
        <f t="shared" si="333"/>
        <v>0</v>
      </c>
      <c r="G1466" s="48">
        <f t="shared" si="333"/>
        <v>0</v>
      </c>
      <c r="H1466" s="48">
        <f t="shared" si="333"/>
        <v>0</v>
      </c>
      <c r="I1466" s="48">
        <f t="shared" si="333"/>
        <v>724.44</v>
      </c>
    </row>
    <row r="1467" spans="1:9" ht="12.9" x14ac:dyDescent="0.35">
      <c r="A1467" s="383" t="s">
        <v>41</v>
      </c>
      <c r="B1467" s="35" t="s">
        <v>32</v>
      </c>
      <c r="C1467" s="48">
        <f t="shared" si="329"/>
        <v>13851.199999999999</v>
      </c>
      <c r="D1467" s="48">
        <f>D1469</f>
        <v>2505.9599999999996</v>
      </c>
      <c r="E1467" s="48">
        <f>E1469</f>
        <v>10620.8</v>
      </c>
      <c r="F1467" s="48">
        <f t="shared" si="333"/>
        <v>0</v>
      </c>
      <c r="G1467" s="48">
        <f t="shared" si="333"/>
        <v>0</v>
      </c>
      <c r="H1467" s="48">
        <f t="shared" si="333"/>
        <v>0</v>
      </c>
      <c r="I1467" s="48">
        <f t="shared" si="333"/>
        <v>724.44</v>
      </c>
    </row>
    <row r="1468" spans="1:9" x14ac:dyDescent="0.3">
      <c r="A1468" s="37"/>
      <c r="B1468" s="38" t="s">
        <v>33</v>
      </c>
      <c r="C1468" s="48">
        <f t="shared" si="329"/>
        <v>13851.199999999999</v>
      </c>
      <c r="D1468" s="48">
        <f>D1470</f>
        <v>2505.9599999999996</v>
      </c>
      <c r="E1468" s="48">
        <f>E1470</f>
        <v>10620.8</v>
      </c>
      <c r="F1468" s="48">
        <f t="shared" si="333"/>
        <v>0</v>
      </c>
      <c r="G1468" s="48">
        <f t="shared" si="333"/>
        <v>0</v>
      </c>
      <c r="H1468" s="48">
        <f t="shared" si="333"/>
        <v>0</v>
      </c>
      <c r="I1468" s="48">
        <f t="shared" si="333"/>
        <v>724.44</v>
      </c>
    </row>
    <row r="1469" spans="1:9" x14ac:dyDescent="0.3">
      <c r="A1469" s="257" t="s">
        <v>45</v>
      </c>
      <c r="B1469" s="35" t="s">
        <v>32</v>
      </c>
      <c r="C1469" s="48">
        <f t="shared" si="329"/>
        <v>13851.199999999999</v>
      </c>
      <c r="D1469" s="48">
        <f t="shared" ref="D1469:I1470" si="334">D2063+D1563+D1578+D1488+D1593+D1761+D1834</f>
        <v>2505.9599999999996</v>
      </c>
      <c r="E1469" s="48">
        <f t="shared" si="334"/>
        <v>10620.8</v>
      </c>
      <c r="F1469" s="48">
        <f t="shared" si="334"/>
        <v>0</v>
      </c>
      <c r="G1469" s="48">
        <f t="shared" si="334"/>
        <v>0</v>
      </c>
      <c r="H1469" s="48">
        <f t="shared" si="334"/>
        <v>0</v>
      </c>
      <c r="I1469" s="48">
        <f t="shared" si="334"/>
        <v>724.44</v>
      </c>
    </row>
    <row r="1470" spans="1:9" x14ac:dyDescent="0.3">
      <c r="A1470" s="37"/>
      <c r="B1470" s="38" t="s">
        <v>33</v>
      </c>
      <c r="C1470" s="48">
        <f t="shared" si="329"/>
        <v>13851.199999999999</v>
      </c>
      <c r="D1470" s="48">
        <f t="shared" si="334"/>
        <v>2505.9599999999996</v>
      </c>
      <c r="E1470" s="48">
        <f t="shared" si="334"/>
        <v>10620.8</v>
      </c>
      <c r="F1470" s="48">
        <f t="shared" si="334"/>
        <v>0</v>
      </c>
      <c r="G1470" s="48">
        <f t="shared" si="334"/>
        <v>0</v>
      </c>
      <c r="H1470" s="48">
        <f t="shared" si="334"/>
        <v>0</v>
      </c>
      <c r="I1470" s="48">
        <f t="shared" si="334"/>
        <v>724.44</v>
      </c>
    </row>
    <row r="1471" spans="1:9" x14ac:dyDescent="0.3">
      <c r="A1471" s="384" t="s">
        <v>50</v>
      </c>
      <c r="B1471" s="385" t="s">
        <v>32</v>
      </c>
      <c r="C1471" s="36">
        <f t="shared" si="329"/>
        <v>10936.347</v>
      </c>
      <c r="D1471" s="36">
        <f t="shared" ref="D1471:I1476" si="335">D1473</f>
        <v>3293.1070000000004</v>
      </c>
      <c r="E1471" s="36">
        <f t="shared" si="335"/>
        <v>2436</v>
      </c>
      <c r="F1471" s="36">
        <f t="shared" si="335"/>
        <v>0</v>
      </c>
      <c r="G1471" s="36">
        <f t="shared" si="335"/>
        <v>0</v>
      </c>
      <c r="H1471" s="36">
        <f t="shared" si="335"/>
        <v>0</v>
      </c>
      <c r="I1471" s="36">
        <f t="shared" si="335"/>
        <v>5207.24</v>
      </c>
    </row>
    <row r="1472" spans="1:9" x14ac:dyDescent="0.3">
      <c r="A1472" s="386" t="s">
        <v>51</v>
      </c>
      <c r="B1472" s="90" t="s">
        <v>33</v>
      </c>
      <c r="C1472" s="36">
        <f t="shared" si="329"/>
        <v>10936.347</v>
      </c>
      <c r="D1472" s="36">
        <f t="shared" si="335"/>
        <v>3293.1070000000004</v>
      </c>
      <c r="E1472" s="36">
        <f t="shared" si="335"/>
        <v>2436</v>
      </c>
      <c r="F1472" s="36">
        <f t="shared" si="335"/>
        <v>0</v>
      </c>
      <c r="G1472" s="36">
        <f t="shared" si="335"/>
        <v>0</v>
      </c>
      <c r="H1472" s="36">
        <f t="shared" si="335"/>
        <v>0</v>
      </c>
      <c r="I1472" s="36">
        <f t="shared" si="335"/>
        <v>5207.24</v>
      </c>
    </row>
    <row r="1473" spans="1:9" ht="12.9" x14ac:dyDescent="0.35">
      <c r="A1473" s="54" t="s">
        <v>40</v>
      </c>
      <c r="B1473" s="35" t="s">
        <v>32</v>
      </c>
      <c r="C1473" s="48">
        <f t="shared" si="329"/>
        <v>10936.347</v>
      </c>
      <c r="D1473" s="48">
        <f t="shared" si="335"/>
        <v>3293.1070000000004</v>
      </c>
      <c r="E1473" s="48">
        <f t="shared" si="335"/>
        <v>2436</v>
      </c>
      <c r="F1473" s="48">
        <f t="shared" si="335"/>
        <v>0</v>
      </c>
      <c r="G1473" s="48">
        <f t="shared" si="335"/>
        <v>0</v>
      </c>
      <c r="H1473" s="48">
        <f t="shared" si="335"/>
        <v>0</v>
      </c>
      <c r="I1473" s="48">
        <f t="shared" si="335"/>
        <v>5207.24</v>
      </c>
    </row>
    <row r="1474" spans="1:9" ht="12.9" x14ac:dyDescent="0.35">
      <c r="A1474" s="43"/>
      <c r="B1474" s="38" t="s">
        <v>33</v>
      </c>
      <c r="C1474" s="48">
        <f t="shared" si="329"/>
        <v>10936.347</v>
      </c>
      <c r="D1474" s="48">
        <f t="shared" si="335"/>
        <v>3293.1070000000004</v>
      </c>
      <c r="E1474" s="48">
        <f t="shared" si="335"/>
        <v>2436</v>
      </c>
      <c r="F1474" s="48">
        <f t="shared" si="335"/>
        <v>0</v>
      </c>
      <c r="G1474" s="48">
        <f t="shared" si="335"/>
        <v>0</v>
      </c>
      <c r="H1474" s="48">
        <f t="shared" si="335"/>
        <v>0</v>
      </c>
      <c r="I1474" s="48">
        <f t="shared" si="335"/>
        <v>5207.24</v>
      </c>
    </row>
    <row r="1475" spans="1:9" ht="12.9" x14ac:dyDescent="0.35">
      <c r="A1475" s="387" t="s">
        <v>41</v>
      </c>
      <c r="B1475" s="385" t="s">
        <v>32</v>
      </c>
      <c r="C1475" s="48">
        <f t="shared" si="329"/>
        <v>10936.347</v>
      </c>
      <c r="D1475" s="48">
        <f t="shared" si="335"/>
        <v>3293.1070000000004</v>
      </c>
      <c r="E1475" s="48">
        <f t="shared" si="335"/>
        <v>2436</v>
      </c>
      <c r="F1475" s="48">
        <f t="shared" si="335"/>
        <v>0</v>
      </c>
      <c r="G1475" s="48">
        <f t="shared" si="335"/>
        <v>0</v>
      </c>
      <c r="H1475" s="48">
        <f t="shared" si="335"/>
        <v>0</v>
      </c>
      <c r="I1475" s="48">
        <f t="shared" si="335"/>
        <v>5207.24</v>
      </c>
    </row>
    <row r="1476" spans="1:9" x14ac:dyDescent="0.3">
      <c r="A1476" s="388"/>
      <c r="B1476" s="90" t="s">
        <v>33</v>
      </c>
      <c r="C1476" s="48">
        <f t="shared" si="329"/>
        <v>10936.347</v>
      </c>
      <c r="D1476" s="48">
        <f t="shared" si="335"/>
        <v>3293.1070000000004</v>
      </c>
      <c r="E1476" s="48">
        <f>E1478</f>
        <v>2436</v>
      </c>
      <c r="F1476" s="48">
        <f t="shared" si="335"/>
        <v>0</v>
      </c>
      <c r="G1476" s="48">
        <f t="shared" si="335"/>
        <v>0</v>
      </c>
      <c r="H1476" s="48">
        <f t="shared" si="335"/>
        <v>0</v>
      </c>
      <c r="I1476" s="48">
        <f t="shared" si="335"/>
        <v>5207.24</v>
      </c>
    </row>
    <row r="1477" spans="1:9" x14ac:dyDescent="0.3">
      <c r="A1477" s="389" t="s">
        <v>45</v>
      </c>
      <c r="B1477" s="385" t="s">
        <v>32</v>
      </c>
      <c r="C1477" s="48">
        <f t="shared" si="329"/>
        <v>10936.347</v>
      </c>
      <c r="D1477" s="48">
        <f t="shared" ref="D1477:I1478" si="336">D1608+D1773+D2020</f>
        <v>3293.1070000000004</v>
      </c>
      <c r="E1477" s="48">
        <f t="shared" si="336"/>
        <v>2436</v>
      </c>
      <c r="F1477" s="48">
        <f t="shared" si="336"/>
        <v>0</v>
      </c>
      <c r="G1477" s="48">
        <f t="shared" si="336"/>
        <v>0</v>
      </c>
      <c r="H1477" s="48">
        <f t="shared" si="336"/>
        <v>0</v>
      </c>
      <c r="I1477" s="48">
        <f t="shared" si="336"/>
        <v>5207.24</v>
      </c>
    </row>
    <row r="1478" spans="1:9" x14ac:dyDescent="0.3">
      <c r="A1478" s="63"/>
      <c r="B1478" s="90" t="s">
        <v>33</v>
      </c>
      <c r="C1478" s="48">
        <f t="shared" si="329"/>
        <v>10936.347</v>
      </c>
      <c r="D1478" s="48">
        <f t="shared" si="336"/>
        <v>3293.1070000000004</v>
      </c>
      <c r="E1478" s="48">
        <f t="shared" si="336"/>
        <v>2436</v>
      </c>
      <c r="F1478" s="48">
        <f t="shared" si="336"/>
        <v>0</v>
      </c>
      <c r="G1478" s="48">
        <f t="shared" si="336"/>
        <v>0</v>
      </c>
      <c r="H1478" s="48">
        <f t="shared" si="336"/>
        <v>0</v>
      </c>
      <c r="I1478" s="48">
        <f t="shared" si="336"/>
        <v>5207.24</v>
      </c>
    </row>
    <row r="1479" spans="1:9" x14ac:dyDescent="0.3">
      <c r="A1479" s="1041" t="s">
        <v>62</v>
      </c>
      <c r="B1479" s="1042"/>
      <c r="C1479" s="1042"/>
      <c r="D1479" s="1042"/>
      <c r="E1479" s="1042"/>
      <c r="F1479" s="1042"/>
      <c r="G1479" s="1042"/>
      <c r="H1479" s="1042"/>
      <c r="I1479" s="1086"/>
    </row>
    <row r="1480" spans="1:9" s="260" customFormat="1" x14ac:dyDescent="0.3">
      <c r="A1480" s="267" t="s">
        <v>57</v>
      </c>
      <c r="B1480" s="262" t="s">
        <v>32</v>
      </c>
      <c r="C1480" s="179">
        <f t="shared" ref="C1480:C1495" si="337">D1480+E1480+F1480+G1480+H1480+I1480</f>
        <v>3737.05</v>
      </c>
      <c r="D1480" s="179">
        <f t="shared" ref="D1480:I1485" si="338">D1482</f>
        <v>1173.5899999999999</v>
      </c>
      <c r="E1480" s="179">
        <f t="shared" si="338"/>
        <v>2517</v>
      </c>
      <c r="F1480" s="179">
        <f t="shared" si="338"/>
        <v>0</v>
      </c>
      <c r="G1480" s="179">
        <f t="shared" si="338"/>
        <v>0</v>
      </c>
      <c r="H1480" s="179">
        <f t="shared" si="338"/>
        <v>0</v>
      </c>
      <c r="I1480" s="179">
        <f t="shared" si="338"/>
        <v>46.46</v>
      </c>
    </row>
    <row r="1481" spans="1:9" s="260" customFormat="1" x14ac:dyDescent="0.3">
      <c r="A1481" s="130" t="s">
        <v>87</v>
      </c>
      <c r="B1481" s="263" t="s">
        <v>33</v>
      </c>
      <c r="C1481" s="179">
        <f t="shared" si="337"/>
        <v>3737.05</v>
      </c>
      <c r="D1481" s="179">
        <f t="shared" si="338"/>
        <v>1173.5899999999999</v>
      </c>
      <c r="E1481" s="143">
        <f t="shared" si="338"/>
        <v>2517</v>
      </c>
      <c r="F1481" s="179">
        <f t="shared" si="338"/>
        <v>0</v>
      </c>
      <c r="G1481" s="179">
        <f t="shared" si="338"/>
        <v>0</v>
      </c>
      <c r="H1481" s="179">
        <f t="shared" si="338"/>
        <v>0</v>
      </c>
      <c r="I1481" s="179">
        <f t="shared" si="338"/>
        <v>46.46</v>
      </c>
    </row>
    <row r="1482" spans="1:9" s="260" customFormat="1" x14ac:dyDescent="0.3">
      <c r="A1482" s="269" t="s">
        <v>34</v>
      </c>
      <c r="B1482" s="203" t="s">
        <v>32</v>
      </c>
      <c r="C1482" s="179">
        <f t="shared" si="337"/>
        <v>3737.05</v>
      </c>
      <c r="D1482" s="179">
        <f>D1484</f>
        <v>1173.5899999999999</v>
      </c>
      <c r="E1482" s="179">
        <f t="shared" si="338"/>
        <v>2517</v>
      </c>
      <c r="F1482" s="179">
        <f t="shared" si="338"/>
        <v>0</v>
      </c>
      <c r="G1482" s="179">
        <f t="shared" si="338"/>
        <v>0</v>
      </c>
      <c r="H1482" s="179">
        <f t="shared" si="338"/>
        <v>0</v>
      </c>
      <c r="I1482" s="179">
        <f t="shared" si="338"/>
        <v>46.46</v>
      </c>
    </row>
    <row r="1483" spans="1:9" s="260" customFormat="1" x14ac:dyDescent="0.3">
      <c r="A1483" s="268" t="s">
        <v>35</v>
      </c>
      <c r="B1483" s="263" t="s">
        <v>33</v>
      </c>
      <c r="C1483" s="179">
        <f t="shared" si="337"/>
        <v>3737.05</v>
      </c>
      <c r="D1483" s="179">
        <f>D1485</f>
        <v>1173.5899999999999</v>
      </c>
      <c r="E1483" s="179">
        <f t="shared" si="338"/>
        <v>2517</v>
      </c>
      <c r="F1483" s="179">
        <f t="shared" si="338"/>
        <v>0</v>
      </c>
      <c r="G1483" s="179">
        <f t="shared" si="338"/>
        <v>0</v>
      </c>
      <c r="H1483" s="179">
        <f t="shared" si="338"/>
        <v>0</v>
      </c>
      <c r="I1483" s="179">
        <f t="shared" si="338"/>
        <v>46.46</v>
      </c>
    </row>
    <row r="1484" spans="1:9" s="260" customFormat="1" ht="12.9" x14ac:dyDescent="0.35">
      <c r="A1484" s="265" t="s">
        <v>40</v>
      </c>
      <c r="B1484" s="203" t="s">
        <v>32</v>
      </c>
      <c r="C1484" s="179">
        <f t="shared" si="337"/>
        <v>3737.05</v>
      </c>
      <c r="D1484" s="179">
        <f>D1486</f>
        <v>1173.5899999999999</v>
      </c>
      <c r="E1484" s="179">
        <f t="shared" si="338"/>
        <v>2517</v>
      </c>
      <c r="F1484" s="179">
        <f t="shared" si="338"/>
        <v>0</v>
      </c>
      <c r="G1484" s="179">
        <f t="shared" si="338"/>
        <v>0</v>
      </c>
      <c r="H1484" s="179">
        <f t="shared" si="338"/>
        <v>0</v>
      </c>
      <c r="I1484" s="179">
        <f t="shared" si="338"/>
        <v>46.46</v>
      </c>
    </row>
    <row r="1485" spans="1:9" s="260" customFormat="1" ht="12.9" x14ac:dyDescent="0.35">
      <c r="A1485" s="266"/>
      <c r="B1485" s="263" t="s">
        <v>33</v>
      </c>
      <c r="C1485" s="179">
        <f t="shared" si="337"/>
        <v>3737.05</v>
      </c>
      <c r="D1485" s="179">
        <f>D1487</f>
        <v>1173.5899999999999</v>
      </c>
      <c r="E1485" s="179">
        <f t="shared" si="338"/>
        <v>2517</v>
      </c>
      <c r="F1485" s="179">
        <f t="shared" si="338"/>
        <v>0</v>
      </c>
      <c r="G1485" s="179">
        <f t="shared" si="338"/>
        <v>0</v>
      </c>
      <c r="H1485" s="179">
        <f t="shared" si="338"/>
        <v>0</v>
      </c>
      <c r="I1485" s="179">
        <f t="shared" si="338"/>
        <v>46.46</v>
      </c>
    </row>
    <row r="1486" spans="1:9" s="260" customFormat="1" ht="12.9" x14ac:dyDescent="0.35">
      <c r="A1486" s="390" t="s">
        <v>41</v>
      </c>
      <c r="B1486" s="203" t="s">
        <v>32</v>
      </c>
      <c r="C1486" s="179">
        <f t="shared" si="337"/>
        <v>3737.05</v>
      </c>
      <c r="D1486" s="179">
        <f t="shared" ref="D1486:I1487" si="339">D1488</f>
        <v>1173.5899999999999</v>
      </c>
      <c r="E1486" s="179">
        <f t="shared" si="339"/>
        <v>2517</v>
      </c>
      <c r="F1486" s="179">
        <f t="shared" si="339"/>
        <v>0</v>
      </c>
      <c r="G1486" s="179">
        <f t="shared" si="339"/>
        <v>0</v>
      </c>
      <c r="H1486" s="179">
        <f t="shared" si="339"/>
        <v>0</v>
      </c>
      <c r="I1486" s="179">
        <f t="shared" si="339"/>
        <v>46.46</v>
      </c>
    </row>
    <row r="1487" spans="1:9" s="260" customFormat="1" x14ac:dyDescent="0.3">
      <c r="A1487" s="268"/>
      <c r="B1487" s="263" t="s">
        <v>33</v>
      </c>
      <c r="C1487" s="179">
        <f t="shared" si="337"/>
        <v>3737.05</v>
      </c>
      <c r="D1487" s="179">
        <f t="shared" si="339"/>
        <v>1173.5899999999999</v>
      </c>
      <c r="E1487" s="179">
        <f t="shared" si="339"/>
        <v>2517</v>
      </c>
      <c r="F1487" s="179">
        <f t="shared" si="339"/>
        <v>0</v>
      </c>
      <c r="G1487" s="179">
        <f t="shared" si="339"/>
        <v>0</v>
      </c>
      <c r="H1487" s="179">
        <f t="shared" si="339"/>
        <v>0</v>
      </c>
      <c r="I1487" s="179">
        <f t="shared" si="339"/>
        <v>46.46</v>
      </c>
    </row>
    <row r="1488" spans="1:9" s="125" customFormat="1" x14ac:dyDescent="0.3">
      <c r="A1488" s="301" t="s">
        <v>45</v>
      </c>
      <c r="B1488" s="391" t="s">
        <v>32</v>
      </c>
      <c r="C1488" s="392">
        <f t="shared" si="337"/>
        <v>3737.05</v>
      </c>
      <c r="D1488" s="122">
        <f>D1490+D1492+D1494+D1496+D1498+D1500+D1502+D1504+D1506+D1508+D1510+D1512+D1514+D1516+D1518+D1520+D1522+D1524+D1526+D1528+D1530+D1532+D1534+D1536+D1538+D1540+D1542+D1544+D1546+D1548+D1550+D1552</f>
        <v>1173.5899999999999</v>
      </c>
      <c r="E1488" s="122">
        <f t="shared" ref="E1488:I1489" si="340">E1490+E1492+E1494+E1496+E1498+E1500+E1502+E1504+E1506+E1508+E1510+E1512+E1514+E1516+E1518+E1520+E1522+E1524+E1526+E1528+E1530+E1532+E1534+E1536+E1538+E1540+E1542+E1544+E1546+E1548+E1550+E1552</f>
        <v>2517</v>
      </c>
      <c r="F1488" s="122">
        <f t="shared" si="340"/>
        <v>0</v>
      </c>
      <c r="G1488" s="122">
        <f t="shared" si="340"/>
        <v>0</v>
      </c>
      <c r="H1488" s="122">
        <f t="shared" si="340"/>
        <v>0</v>
      </c>
      <c r="I1488" s="122">
        <f t="shared" si="340"/>
        <v>46.46</v>
      </c>
    </row>
    <row r="1489" spans="1:14" s="126" customFormat="1" x14ac:dyDescent="0.3">
      <c r="A1489" s="127"/>
      <c r="B1489" s="128" t="s">
        <v>33</v>
      </c>
      <c r="C1489" s="122">
        <f>D1489+E1489+F1489+G1489+H1489+I1489</f>
        <v>3737.05</v>
      </c>
      <c r="D1489" s="122">
        <f>D1491+D1493+D1495+D1497+D1499+D1501+D1503+D1505+D1507+D1509+D1511+D1513+D1515+D1517+D1519+D1521+D1523+D1525+D1527+D1529+D1531+D1533+D1535+D1537+D1539+D1541+D1543+D1545+D1547+D1549+D1551+D1553</f>
        <v>1173.5899999999999</v>
      </c>
      <c r="E1489" s="122">
        <f t="shared" si="340"/>
        <v>2517</v>
      </c>
      <c r="F1489" s="122">
        <f t="shared" si="340"/>
        <v>0</v>
      </c>
      <c r="G1489" s="122">
        <f t="shared" si="340"/>
        <v>0</v>
      </c>
      <c r="H1489" s="122">
        <f t="shared" si="340"/>
        <v>0</v>
      </c>
      <c r="I1489" s="122">
        <f t="shared" si="340"/>
        <v>46.46</v>
      </c>
    </row>
    <row r="1490" spans="1:14" s="100" customFormat="1" ht="24.9" x14ac:dyDescent="0.3">
      <c r="A1490" s="182" t="s">
        <v>565</v>
      </c>
      <c r="B1490" s="150" t="s">
        <v>32</v>
      </c>
      <c r="C1490" s="97">
        <f t="shared" si="337"/>
        <v>81</v>
      </c>
      <c r="D1490" s="97">
        <v>81</v>
      </c>
      <c r="E1490" s="97">
        <v>0</v>
      </c>
      <c r="F1490" s="97">
        <v>0</v>
      </c>
      <c r="G1490" s="97">
        <v>0</v>
      </c>
      <c r="H1490" s="97">
        <v>0</v>
      </c>
      <c r="I1490" s="97">
        <v>0</v>
      </c>
    </row>
    <row r="1491" spans="1:14" s="100" customFormat="1" x14ac:dyDescent="0.3">
      <c r="A1491" s="130"/>
      <c r="B1491" s="99" t="s">
        <v>33</v>
      </c>
      <c r="C1491" s="97">
        <f t="shared" si="337"/>
        <v>81</v>
      </c>
      <c r="D1491" s="97">
        <v>81</v>
      </c>
      <c r="E1491" s="97">
        <v>0</v>
      </c>
      <c r="F1491" s="97">
        <v>0</v>
      </c>
      <c r="G1491" s="97">
        <v>0</v>
      </c>
      <c r="H1491" s="97">
        <v>0</v>
      </c>
      <c r="I1491" s="97">
        <v>0</v>
      </c>
    </row>
    <row r="1492" spans="1:14" s="100" customFormat="1" ht="24.9" x14ac:dyDescent="0.3">
      <c r="A1492" s="182" t="s">
        <v>566</v>
      </c>
      <c r="B1492" s="150" t="s">
        <v>32</v>
      </c>
      <c r="C1492" s="97">
        <f t="shared" si="337"/>
        <v>12</v>
      </c>
      <c r="D1492" s="97">
        <v>12</v>
      </c>
      <c r="E1492" s="97">
        <v>0</v>
      </c>
      <c r="F1492" s="97">
        <v>0</v>
      </c>
      <c r="G1492" s="97">
        <v>0</v>
      </c>
      <c r="H1492" s="97">
        <v>0</v>
      </c>
      <c r="I1492" s="97">
        <v>0</v>
      </c>
    </row>
    <row r="1493" spans="1:14" s="100" customFormat="1" x14ac:dyDescent="0.3">
      <c r="A1493" s="130"/>
      <c r="B1493" s="99" t="s">
        <v>33</v>
      </c>
      <c r="C1493" s="97">
        <f t="shared" si="337"/>
        <v>12</v>
      </c>
      <c r="D1493" s="97">
        <v>12</v>
      </c>
      <c r="E1493" s="97">
        <v>0</v>
      </c>
      <c r="F1493" s="97">
        <v>0</v>
      </c>
      <c r="G1493" s="97">
        <v>0</v>
      </c>
      <c r="H1493" s="97">
        <v>0</v>
      </c>
      <c r="I1493" s="97">
        <v>0</v>
      </c>
    </row>
    <row r="1494" spans="1:14" s="100" customFormat="1" ht="24.9" x14ac:dyDescent="0.3">
      <c r="A1494" s="182" t="s">
        <v>567</v>
      </c>
      <c r="B1494" s="150" t="s">
        <v>32</v>
      </c>
      <c r="C1494" s="97">
        <f t="shared" si="337"/>
        <v>142.80000000000001</v>
      </c>
      <c r="D1494" s="97">
        <f>D1495</f>
        <v>142.80000000000001</v>
      </c>
      <c r="E1494" s="97">
        <v>0</v>
      </c>
      <c r="F1494" s="97">
        <v>0</v>
      </c>
      <c r="G1494" s="97">
        <v>0</v>
      </c>
      <c r="H1494" s="97">
        <v>0</v>
      </c>
      <c r="I1494" s="97">
        <v>0</v>
      </c>
      <c r="J1494" s="1087" t="s">
        <v>568</v>
      </c>
      <c r="K1494" s="1088"/>
      <c r="L1494" s="1088"/>
      <c r="M1494" s="1088"/>
      <c r="N1494" s="1088"/>
    </row>
    <row r="1495" spans="1:14" s="100" customFormat="1" x14ac:dyDescent="0.3">
      <c r="A1495" s="130"/>
      <c r="B1495" s="99" t="s">
        <v>33</v>
      </c>
      <c r="C1495" s="97">
        <f t="shared" si="337"/>
        <v>142.80000000000001</v>
      </c>
      <c r="D1495" s="97">
        <v>142.80000000000001</v>
      </c>
      <c r="E1495" s="97">
        <v>0</v>
      </c>
      <c r="F1495" s="97">
        <v>0</v>
      </c>
      <c r="G1495" s="97">
        <v>0</v>
      </c>
      <c r="H1495" s="97">
        <v>0</v>
      </c>
      <c r="I1495" s="97">
        <v>0</v>
      </c>
    </row>
    <row r="1496" spans="1:14" s="145" customFormat="1" ht="52.5" customHeight="1" x14ac:dyDescent="0.3">
      <c r="A1496" s="393" t="s">
        <v>569</v>
      </c>
      <c r="B1496" s="146" t="s">
        <v>32</v>
      </c>
      <c r="C1496" s="143">
        <f>C1497</f>
        <v>42</v>
      </c>
      <c r="D1496" s="143">
        <v>42</v>
      </c>
      <c r="E1496" s="41">
        <v>0</v>
      </c>
      <c r="F1496" s="143">
        <v>0</v>
      </c>
      <c r="G1496" s="143">
        <v>0</v>
      </c>
      <c r="H1496" s="143">
        <v>0</v>
      </c>
      <c r="I1496" s="143">
        <f>I1497</f>
        <v>0</v>
      </c>
    </row>
    <row r="1497" spans="1:14" s="145" customFormat="1" ht="12.9" x14ac:dyDescent="0.35">
      <c r="A1497" s="266"/>
      <c r="B1497" s="142" t="s">
        <v>33</v>
      </c>
      <c r="C1497" s="143">
        <f>D1497+E1497+F1497+G1497+H1497+I1497</f>
        <v>42</v>
      </c>
      <c r="D1497" s="143">
        <v>42</v>
      </c>
      <c r="E1497" s="41">
        <v>0</v>
      </c>
      <c r="F1497" s="143">
        <v>0</v>
      </c>
      <c r="G1497" s="143">
        <v>0</v>
      </c>
      <c r="H1497" s="143">
        <v>0</v>
      </c>
      <c r="I1497" s="143">
        <v>0</v>
      </c>
    </row>
    <row r="1498" spans="1:14" s="145" customFormat="1" x14ac:dyDescent="0.3">
      <c r="A1498" s="1089" t="s">
        <v>570</v>
      </c>
      <c r="B1498" s="146" t="s">
        <v>32</v>
      </c>
      <c r="C1498" s="143">
        <f>C1499</f>
        <v>59</v>
      </c>
      <c r="D1498" s="143">
        <v>59</v>
      </c>
      <c r="E1498" s="41">
        <v>0</v>
      </c>
      <c r="F1498" s="143">
        <v>0</v>
      </c>
      <c r="G1498" s="143">
        <v>0</v>
      </c>
      <c r="H1498" s="143">
        <v>0</v>
      </c>
      <c r="I1498" s="143">
        <v>0</v>
      </c>
    </row>
    <row r="1499" spans="1:14" s="145" customFormat="1" ht="52.5" customHeight="1" x14ac:dyDescent="0.3">
      <c r="A1499" s="1090"/>
      <c r="B1499" s="142" t="s">
        <v>33</v>
      </c>
      <c r="C1499" s="143">
        <f>D1499+E1499+F1499+G1499+H1499+I1499</f>
        <v>59</v>
      </c>
      <c r="D1499" s="143">
        <v>59</v>
      </c>
      <c r="E1499" s="41">
        <v>0</v>
      </c>
      <c r="F1499" s="143">
        <v>0</v>
      </c>
      <c r="G1499" s="143">
        <v>0</v>
      </c>
      <c r="H1499" s="143">
        <v>0</v>
      </c>
      <c r="I1499" s="143">
        <v>0</v>
      </c>
    </row>
    <row r="1500" spans="1:14" s="100" customFormat="1" ht="64.5" customHeight="1" x14ac:dyDescent="0.3">
      <c r="A1500" s="182" t="s">
        <v>571</v>
      </c>
      <c r="B1500" s="394" t="s">
        <v>32</v>
      </c>
      <c r="C1500" s="97">
        <f>C1501</f>
        <v>114</v>
      </c>
      <c r="D1500" s="97">
        <f>D1501</f>
        <v>114</v>
      </c>
      <c r="E1500" s="49">
        <v>0</v>
      </c>
      <c r="F1500" s="97">
        <v>0</v>
      </c>
      <c r="G1500" s="97">
        <v>0</v>
      </c>
      <c r="H1500" s="97">
        <v>0</v>
      </c>
      <c r="I1500" s="97">
        <v>0</v>
      </c>
    </row>
    <row r="1501" spans="1:14" s="100" customFormat="1" ht="15" customHeight="1" x14ac:dyDescent="0.3">
      <c r="A1501" s="130"/>
      <c r="B1501" s="99" t="s">
        <v>33</v>
      </c>
      <c r="C1501" s="97">
        <f>D1501+E1501+F1501+G1501+H1501+I1501</f>
        <v>114</v>
      </c>
      <c r="D1501" s="97">
        <v>114</v>
      </c>
      <c r="E1501" s="49">
        <v>0</v>
      </c>
      <c r="F1501" s="97">
        <v>0</v>
      </c>
      <c r="G1501" s="97">
        <v>0</v>
      </c>
      <c r="H1501" s="97">
        <v>0</v>
      </c>
      <c r="I1501" s="97">
        <v>0</v>
      </c>
    </row>
    <row r="1502" spans="1:14" s="100" customFormat="1" ht="12" customHeight="1" x14ac:dyDescent="0.3">
      <c r="A1502" s="1091" t="s">
        <v>572</v>
      </c>
      <c r="B1502" s="150" t="s">
        <v>32</v>
      </c>
      <c r="C1502" s="97">
        <f>D1502+E1502+F1502+G1502+H1502+I1502</f>
        <v>172</v>
      </c>
      <c r="D1502" s="97">
        <f>D1503</f>
        <v>172</v>
      </c>
      <c r="E1502" s="49">
        <v>0</v>
      </c>
      <c r="F1502" s="97">
        <v>0</v>
      </c>
      <c r="G1502" s="97">
        <v>0</v>
      </c>
      <c r="H1502" s="97">
        <v>0</v>
      </c>
      <c r="I1502" s="97">
        <v>0</v>
      </c>
    </row>
    <row r="1503" spans="1:14" s="100" customFormat="1" ht="53.25" customHeight="1" x14ac:dyDescent="0.3">
      <c r="A1503" s="1092"/>
      <c r="B1503" s="99" t="s">
        <v>33</v>
      </c>
      <c r="C1503" s="97">
        <f>D1503+E1503+F1503+G1503+H1503+I1503</f>
        <v>172</v>
      </c>
      <c r="D1503" s="97">
        <v>172</v>
      </c>
      <c r="E1503" s="49">
        <v>0</v>
      </c>
      <c r="F1503" s="97">
        <v>0</v>
      </c>
      <c r="G1503" s="97">
        <v>0</v>
      </c>
      <c r="H1503" s="97">
        <v>0</v>
      </c>
      <c r="I1503" s="97">
        <v>0</v>
      </c>
    </row>
    <row r="1504" spans="1:14" s="145" customFormat="1" ht="16.5" customHeight="1" x14ac:dyDescent="0.3">
      <c r="A1504" s="1093" t="s">
        <v>573</v>
      </c>
      <c r="B1504" s="146" t="s">
        <v>32</v>
      </c>
      <c r="C1504" s="143">
        <f>C1505</f>
        <v>149</v>
      </c>
      <c r="D1504" s="143">
        <f>66+74.5</f>
        <v>140.5</v>
      </c>
      <c r="E1504" s="41">
        <v>0</v>
      </c>
      <c r="F1504" s="143">
        <v>0</v>
      </c>
      <c r="G1504" s="143">
        <v>0</v>
      </c>
      <c r="H1504" s="143">
        <v>0</v>
      </c>
      <c r="I1504" s="143">
        <f>149-140.5</f>
        <v>8.5</v>
      </c>
    </row>
    <row r="1505" spans="1:11" s="145" customFormat="1" ht="47.25" customHeight="1" x14ac:dyDescent="0.3">
      <c r="A1505" s="1094"/>
      <c r="B1505" s="142" t="s">
        <v>33</v>
      </c>
      <c r="C1505" s="143">
        <f t="shared" ref="C1505:C1553" si="341">D1505+E1505+F1505+G1505+H1505+I1505</f>
        <v>149</v>
      </c>
      <c r="D1505" s="143">
        <f>66+74.5</f>
        <v>140.5</v>
      </c>
      <c r="E1505" s="41">
        <v>0</v>
      </c>
      <c r="F1505" s="143">
        <v>0</v>
      </c>
      <c r="G1505" s="143">
        <v>0</v>
      </c>
      <c r="H1505" s="143">
        <v>0</v>
      </c>
      <c r="I1505" s="143">
        <f>149-140.5</f>
        <v>8.5</v>
      </c>
    </row>
    <row r="1506" spans="1:11" s="145" customFormat="1" ht="16.5" customHeight="1" x14ac:dyDescent="0.3">
      <c r="A1506" s="1095" t="s">
        <v>574</v>
      </c>
      <c r="B1506" s="146" t="s">
        <v>32</v>
      </c>
      <c r="C1506" s="143">
        <f t="shared" si="341"/>
        <v>50</v>
      </c>
      <c r="D1506" s="143">
        <f>D1507</f>
        <v>19.04</v>
      </c>
      <c r="E1506" s="41">
        <v>0</v>
      </c>
      <c r="F1506" s="143">
        <v>0</v>
      </c>
      <c r="G1506" s="143">
        <v>0</v>
      </c>
      <c r="H1506" s="143">
        <v>0</v>
      </c>
      <c r="I1506" s="143">
        <f>I1507</f>
        <v>30.96</v>
      </c>
    </row>
    <row r="1507" spans="1:11" s="145" customFormat="1" ht="47.25" customHeight="1" x14ac:dyDescent="0.3">
      <c r="A1507" s="1096"/>
      <c r="B1507" s="142" t="s">
        <v>33</v>
      </c>
      <c r="C1507" s="143">
        <f t="shared" si="341"/>
        <v>50</v>
      </c>
      <c r="D1507" s="143">
        <v>19.04</v>
      </c>
      <c r="E1507" s="41">
        <v>0</v>
      </c>
      <c r="F1507" s="143">
        <v>0</v>
      </c>
      <c r="G1507" s="143">
        <v>0</v>
      </c>
      <c r="H1507" s="143">
        <v>0</v>
      </c>
      <c r="I1507" s="143">
        <f>50-19.04</f>
        <v>30.96</v>
      </c>
    </row>
    <row r="1508" spans="1:11" s="131" customFormat="1" ht="14.25" customHeight="1" x14ac:dyDescent="0.3">
      <c r="A1508" s="1084" t="s">
        <v>575</v>
      </c>
      <c r="B1508" s="47" t="s">
        <v>32</v>
      </c>
      <c r="C1508" s="97">
        <f t="shared" si="341"/>
        <v>45</v>
      </c>
      <c r="D1508" s="97">
        <v>41.5</v>
      </c>
      <c r="E1508" s="49">
        <v>0</v>
      </c>
      <c r="F1508" s="97">
        <v>0</v>
      </c>
      <c r="G1508" s="97">
        <v>0</v>
      </c>
      <c r="H1508" s="97">
        <v>0</v>
      </c>
      <c r="I1508" s="97">
        <f>45-41.5</f>
        <v>3.5</v>
      </c>
    </row>
    <row r="1509" spans="1:11" s="131" customFormat="1" ht="42.75" customHeight="1" x14ac:dyDescent="0.3">
      <c r="A1509" s="1085"/>
      <c r="B1509" s="53" t="s">
        <v>33</v>
      </c>
      <c r="C1509" s="97">
        <f t="shared" si="341"/>
        <v>45</v>
      </c>
      <c r="D1509" s="97">
        <v>41.5</v>
      </c>
      <c r="E1509" s="49">
        <v>0</v>
      </c>
      <c r="F1509" s="97">
        <v>0</v>
      </c>
      <c r="G1509" s="97">
        <v>0</v>
      </c>
      <c r="H1509" s="97">
        <v>0</v>
      </c>
      <c r="I1509" s="97">
        <f>45-41.5</f>
        <v>3.5</v>
      </c>
    </row>
    <row r="1510" spans="1:11" s="131" customFormat="1" ht="20.25" customHeight="1" x14ac:dyDescent="0.3">
      <c r="A1510" s="1084" t="s">
        <v>576</v>
      </c>
      <c r="B1510" s="47" t="s">
        <v>32</v>
      </c>
      <c r="C1510" s="97">
        <f t="shared" si="341"/>
        <v>2</v>
      </c>
      <c r="D1510" s="97">
        <v>1.5</v>
      </c>
      <c r="E1510" s="49">
        <v>0</v>
      </c>
      <c r="F1510" s="97">
        <v>0</v>
      </c>
      <c r="G1510" s="97">
        <v>0</v>
      </c>
      <c r="H1510" s="97">
        <v>0</v>
      </c>
      <c r="I1510" s="97">
        <f>2-1.5</f>
        <v>0.5</v>
      </c>
    </row>
    <row r="1511" spans="1:11" s="131" customFormat="1" ht="28.5" customHeight="1" x14ac:dyDescent="0.3">
      <c r="A1511" s="1085"/>
      <c r="B1511" s="53" t="s">
        <v>33</v>
      </c>
      <c r="C1511" s="97">
        <f t="shared" si="341"/>
        <v>2</v>
      </c>
      <c r="D1511" s="97">
        <v>1.5</v>
      </c>
      <c r="E1511" s="49">
        <v>0</v>
      </c>
      <c r="F1511" s="97">
        <v>0</v>
      </c>
      <c r="G1511" s="97">
        <v>0</v>
      </c>
      <c r="H1511" s="97">
        <v>0</v>
      </c>
      <c r="I1511" s="97">
        <f>2-1.5</f>
        <v>0.5</v>
      </c>
    </row>
    <row r="1512" spans="1:11" s="131" customFormat="1" x14ac:dyDescent="0.3">
      <c r="A1512" s="1084" t="s">
        <v>577</v>
      </c>
      <c r="B1512" s="47" t="s">
        <v>32</v>
      </c>
      <c r="C1512" s="97">
        <f t="shared" si="341"/>
        <v>78</v>
      </c>
      <c r="D1512" s="97">
        <v>75</v>
      </c>
      <c r="E1512" s="49">
        <v>0</v>
      </c>
      <c r="F1512" s="97">
        <v>0</v>
      </c>
      <c r="G1512" s="97">
        <v>0</v>
      </c>
      <c r="H1512" s="97">
        <v>0</v>
      </c>
      <c r="I1512" s="97">
        <f>78-75</f>
        <v>3</v>
      </c>
      <c r="J1512" s="93"/>
    </row>
    <row r="1513" spans="1:11" s="131" customFormat="1" ht="36.75" customHeight="1" x14ac:dyDescent="0.3">
      <c r="A1513" s="1085"/>
      <c r="B1513" s="53" t="s">
        <v>33</v>
      </c>
      <c r="C1513" s="97">
        <f t="shared" si="341"/>
        <v>78</v>
      </c>
      <c r="D1513" s="97">
        <v>75</v>
      </c>
      <c r="E1513" s="49">
        <v>0</v>
      </c>
      <c r="F1513" s="97">
        <v>0</v>
      </c>
      <c r="G1513" s="97">
        <v>0</v>
      </c>
      <c r="H1513" s="97">
        <v>0</v>
      </c>
      <c r="I1513" s="97">
        <f>78-75</f>
        <v>3</v>
      </c>
      <c r="J1513" s="93"/>
      <c r="K1513" s="399"/>
    </row>
    <row r="1514" spans="1:11" s="131" customFormat="1" ht="14.25" customHeight="1" x14ac:dyDescent="0.3">
      <c r="A1514" s="1084" t="s">
        <v>578</v>
      </c>
      <c r="B1514" s="47" t="s">
        <v>32</v>
      </c>
      <c r="C1514" s="97">
        <f t="shared" si="341"/>
        <v>15</v>
      </c>
      <c r="D1514" s="97">
        <v>15</v>
      </c>
      <c r="E1514" s="49">
        <v>0</v>
      </c>
      <c r="F1514" s="97">
        <v>0</v>
      </c>
      <c r="G1514" s="97">
        <v>0</v>
      </c>
      <c r="H1514" s="97">
        <v>0</v>
      </c>
      <c r="I1514" s="97">
        <v>0</v>
      </c>
      <c r="J1514" s="93"/>
    </row>
    <row r="1515" spans="1:11" s="131" customFormat="1" ht="32.25" customHeight="1" x14ac:dyDescent="0.3">
      <c r="A1515" s="1085"/>
      <c r="B1515" s="53" t="s">
        <v>33</v>
      </c>
      <c r="C1515" s="97">
        <f t="shared" si="341"/>
        <v>15</v>
      </c>
      <c r="D1515" s="97">
        <v>15</v>
      </c>
      <c r="E1515" s="49">
        <v>0</v>
      </c>
      <c r="F1515" s="97">
        <v>0</v>
      </c>
      <c r="G1515" s="97">
        <v>0</v>
      </c>
      <c r="H1515" s="97">
        <v>0</v>
      </c>
      <c r="I1515" s="97">
        <v>0</v>
      </c>
    </row>
    <row r="1516" spans="1:11" s="131" customFormat="1" ht="24.9" x14ac:dyDescent="0.3">
      <c r="A1516" s="397" t="s">
        <v>579</v>
      </c>
      <c r="B1516" s="47" t="s">
        <v>32</v>
      </c>
      <c r="C1516" s="97">
        <f t="shared" si="341"/>
        <v>50</v>
      </c>
      <c r="D1516" s="97">
        <v>50</v>
      </c>
      <c r="E1516" s="49">
        <v>0</v>
      </c>
      <c r="F1516" s="97">
        <v>0</v>
      </c>
      <c r="G1516" s="97">
        <v>0</v>
      </c>
      <c r="H1516" s="97">
        <v>0</v>
      </c>
      <c r="I1516" s="97">
        <v>0</v>
      </c>
      <c r="J1516" s="93"/>
    </row>
    <row r="1517" spans="1:11" s="131" customFormat="1" ht="15.75" customHeight="1" x14ac:dyDescent="0.3">
      <c r="A1517" s="398"/>
      <c r="B1517" s="53" t="s">
        <v>33</v>
      </c>
      <c r="C1517" s="97">
        <f t="shared" si="341"/>
        <v>50</v>
      </c>
      <c r="D1517" s="97">
        <v>50</v>
      </c>
      <c r="E1517" s="49">
        <v>0</v>
      </c>
      <c r="F1517" s="97">
        <v>0</v>
      </c>
      <c r="G1517" s="97">
        <v>0</v>
      </c>
      <c r="H1517" s="97">
        <v>0</v>
      </c>
      <c r="I1517" s="97">
        <v>0</v>
      </c>
    </row>
    <row r="1518" spans="1:11" s="147" customFormat="1" ht="27" customHeight="1" x14ac:dyDescent="0.3">
      <c r="A1518" s="115" t="s">
        <v>580</v>
      </c>
      <c r="B1518" s="47" t="s">
        <v>32</v>
      </c>
      <c r="C1518" s="97">
        <f t="shared" si="341"/>
        <v>119</v>
      </c>
      <c r="D1518" s="97">
        <v>119</v>
      </c>
      <c r="E1518" s="49">
        <v>0</v>
      </c>
      <c r="F1518" s="97">
        <v>0</v>
      </c>
      <c r="G1518" s="97">
        <v>0</v>
      </c>
      <c r="H1518" s="97">
        <v>0</v>
      </c>
      <c r="I1518" s="97">
        <v>0</v>
      </c>
      <c r="J1518" s="105"/>
    </row>
    <row r="1519" spans="1:11" s="131" customFormat="1" ht="13.5" customHeight="1" x14ac:dyDescent="0.3">
      <c r="A1519" s="398"/>
      <c r="B1519" s="53" t="s">
        <v>33</v>
      </c>
      <c r="C1519" s="97">
        <f t="shared" si="341"/>
        <v>119</v>
      </c>
      <c r="D1519" s="97">
        <v>119</v>
      </c>
      <c r="E1519" s="49">
        <v>0</v>
      </c>
      <c r="F1519" s="97">
        <v>0</v>
      </c>
      <c r="G1519" s="97">
        <v>0</v>
      </c>
      <c r="H1519" s="97">
        <v>0</v>
      </c>
      <c r="I1519" s="97">
        <v>0</v>
      </c>
    </row>
    <row r="1520" spans="1:11" s="131" customFormat="1" ht="43.5" customHeight="1" x14ac:dyDescent="0.3">
      <c r="A1520" s="400" t="s">
        <v>581</v>
      </c>
      <c r="B1520" s="47" t="s">
        <v>32</v>
      </c>
      <c r="C1520" s="97">
        <f t="shared" si="341"/>
        <v>89.25</v>
      </c>
      <c r="D1520" s="97">
        <v>89.25</v>
      </c>
      <c r="E1520" s="49">
        <v>0</v>
      </c>
      <c r="F1520" s="97">
        <v>0</v>
      </c>
      <c r="G1520" s="97">
        <v>0</v>
      </c>
      <c r="H1520" s="97">
        <v>0</v>
      </c>
      <c r="I1520" s="97">
        <v>0</v>
      </c>
      <c r="J1520" s="93"/>
    </row>
    <row r="1521" spans="1:10" s="131" customFormat="1" ht="13.5" customHeight="1" x14ac:dyDescent="0.3">
      <c r="A1521" s="398"/>
      <c r="B1521" s="53" t="s">
        <v>33</v>
      </c>
      <c r="C1521" s="97">
        <f t="shared" si="341"/>
        <v>89.25</v>
      </c>
      <c r="D1521" s="97">
        <v>89.25</v>
      </c>
      <c r="E1521" s="49">
        <v>0</v>
      </c>
      <c r="F1521" s="97">
        <v>0</v>
      </c>
      <c r="G1521" s="97">
        <v>0</v>
      </c>
      <c r="H1521" s="97">
        <v>0</v>
      </c>
      <c r="I1521" s="97">
        <v>0</v>
      </c>
    </row>
    <row r="1522" spans="1:10" s="147" customFormat="1" ht="56.25" customHeight="1" x14ac:dyDescent="0.3">
      <c r="A1522" s="401" t="s">
        <v>582</v>
      </c>
      <c r="B1522" s="40" t="s">
        <v>32</v>
      </c>
      <c r="C1522" s="143">
        <f t="shared" si="341"/>
        <v>58</v>
      </c>
      <c r="D1522" s="143">
        <v>0</v>
      </c>
      <c r="E1522" s="41">
        <v>58</v>
      </c>
      <c r="F1522" s="143">
        <v>0</v>
      </c>
      <c r="G1522" s="143">
        <v>0</v>
      </c>
      <c r="H1522" s="143">
        <v>0</v>
      </c>
      <c r="I1522" s="143">
        <v>0</v>
      </c>
      <c r="J1522" s="105"/>
    </row>
    <row r="1523" spans="1:10" s="131" customFormat="1" ht="13.5" customHeight="1" x14ac:dyDescent="0.3">
      <c r="A1523" s="398"/>
      <c r="B1523" s="53" t="s">
        <v>33</v>
      </c>
      <c r="C1523" s="97">
        <f t="shared" si="341"/>
        <v>58</v>
      </c>
      <c r="D1523" s="97">
        <v>0</v>
      </c>
      <c r="E1523" s="49">
        <v>58</v>
      </c>
      <c r="F1523" s="97">
        <v>0</v>
      </c>
      <c r="G1523" s="97">
        <v>0</v>
      </c>
      <c r="H1523" s="97">
        <v>0</v>
      </c>
      <c r="I1523" s="97">
        <v>0</v>
      </c>
    </row>
    <row r="1524" spans="1:10" s="147" customFormat="1" ht="72.75" customHeight="1" x14ac:dyDescent="0.3">
      <c r="A1524" s="401" t="s">
        <v>583</v>
      </c>
      <c r="B1524" s="40" t="s">
        <v>32</v>
      </c>
      <c r="C1524" s="143">
        <f t="shared" si="341"/>
        <v>58</v>
      </c>
      <c r="D1524" s="143">
        <v>0</v>
      </c>
      <c r="E1524" s="41">
        <v>58</v>
      </c>
      <c r="F1524" s="143">
        <v>0</v>
      </c>
      <c r="G1524" s="143">
        <v>0</v>
      </c>
      <c r="H1524" s="143">
        <v>0</v>
      </c>
      <c r="I1524" s="143">
        <v>0</v>
      </c>
      <c r="J1524" s="105"/>
    </row>
    <row r="1525" spans="1:10" s="131" customFormat="1" ht="13.5" customHeight="1" x14ac:dyDescent="0.3">
      <c r="A1525" s="396"/>
      <c r="B1525" s="44" t="s">
        <v>33</v>
      </c>
      <c r="C1525" s="143">
        <f t="shared" si="341"/>
        <v>58</v>
      </c>
      <c r="D1525" s="143">
        <v>0</v>
      </c>
      <c r="E1525" s="41">
        <v>58</v>
      </c>
      <c r="F1525" s="143">
        <v>0</v>
      </c>
      <c r="G1525" s="143">
        <v>0</v>
      </c>
      <c r="H1525" s="143">
        <v>0</v>
      </c>
      <c r="I1525" s="143">
        <v>0</v>
      </c>
    </row>
    <row r="1526" spans="1:10" s="105" customFormat="1" ht="80.25" customHeight="1" x14ac:dyDescent="0.3">
      <c r="A1526" s="402" t="s">
        <v>584</v>
      </c>
      <c r="B1526" s="110" t="s">
        <v>32</v>
      </c>
      <c r="C1526" s="108">
        <f t="shared" si="341"/>
        <v>168</v>
      </c>
      <c r="D1526" s="108">
        <v>0</v>
      </c>
      <c r="E1526" s="49">
        <f>166+2</f>
        <v>168</v>
      </c>
      <c r="F1526" s="108">
        <v>0</v>
      </c>
      <c r="G1526" s="108">
        <v>0</v>
      </c>
      <c r="H1526" s="108">
        <v>0</v>
      </c>
      <c r="I1526" s="108">
        <v>0</v>
      </c>
    </row>
    <row r="1527" spans="1:10" s="131" customFormat="1" ht="13.5" customHeight="1" x14ac:dyDescent="0.3">
      <c r="A1527" s="398"/>
      <c r="B1527" s="53" t="s">
        <v>33</v>
      </c>
      <c r="C1527" s="97">
        <f t="shared" si="341"/>
        <v>168</v>
      </c>
      <c r="D1527" s="97">
        <v>0</v>
      </c>
      <c r="E1527" s="49">
        <f>166+2</f>
        <v>168</v>
      </c>
      <c r="F1527" s="97">
        <v>0</v>
      </c>
      <c r="G1527" s="97">
        <v>0</v>
      </c>
      <c r="H1527" s="97">
        <v>0</v>
      </c>
      <c r="I1527" s="97">
        <v>0</v>
      </c>
    </row>
    <row r="1528" spans="1:10" s="105" customFormat="1" ht="64.5" customHeight="1" x14ac:dyDescent="0.3">
      <c r="A1528" s="402" t="s">
        <v>585</v>
      </c>
      <c r="B1528" s="110" t="s">
        <v>32</v>
      </c>
      <c r="C1528" s="108">
        <f t="shared" si="341"/>
        <v>100</v>
      </c>
      <c r="D1528" s="108">
        <v>0</v>
      </c>
      <c r="E1528" s="108">
        <v>100</v>
      </c>
      <c r="F1528" s="108">
        <v>0</v>
      </c>
      <c r="G1528" s="108">
        <v>0</v>
      </c>
      <c r="H1528" s="108">
        <v>0</v>
      </c>
      <c r="I1528" s="108">
        <v>0</v>
      </c>
    </row>
    <row r="1529" spans="1:10" s="131" customFormat="1" ht="13.5" customHeight="1" x14ac:dyDescent="0.3">
      <c r="A1529" s="398"/>
      <c r="B1529" s="53" t="s">
        <v>33</v>
      </c>
      <c r="C1529" s="97">
        <f t="shared" si="341"/>
        <v>100</v>
      </c>
      <c r="D1529" s="97">
        <v>0</v>
      </c>
      <c r="E1529" s="49">
        <v>100</v>
      </c>
      <c r="F1529" s="97">
        <v>0</v>
      </c>
      <c r="G1529" s="97">
        <v>0</v>
      </c>
      <c r="H1529" s="97">
        <v>0</v>
      </c>
      <c r="I1529" s="97">
        <v>0</v>
      </c>
    </row>
    <row r="1530" spans="1:10" s="131" customFormat="1" ht="29.25" customHeight="1" x14ac:dyDescent="0.3">
      <c r="A1530" s="109" t="s">
        <v>586</v>
      </c>
      <c r="B1530" s="40" t="s">
        <v>32</v>
      </c>
      <c r="C1530" s="143">
        <f t="shared" si="341"/>
        <v>476</v>
      </c>
      <c r="D1530" s="143">
        <v>0</v>
      </c>
      <c r="E1530" s="41">
        <v>476</v>
      </c>
      <c r="F1530" s="143">
        <v>0</v>
      </c>
      <c r="G1530" s="143">
        <v>0</v>
      </c>
      <c r="H1530" s="143">
        <v>0</v>
      </c>
      <c r="I1530" s="143">
        <v>0</v>
      </c>
      <c r="J1530" s="93"/>
    </row>
    <row r="1531" spans="1:10" s="131" customFormat="1" ht="15.75" customHeight="1" x14ac:dyDescent="0.3">
      <c r="A1531" s="396"/>
      <c r="B1531" s="44" t="s">
        <v>33</v>
      </c>
      <c r="C1531" s="143">
        <f t="shared" si="341"/>
        <v>476</v>
      </c>
      <c r="D1531" s="143">
        <v>0</v>
      </c>
      <c r="E1531" s="41">
        <v>476</v>
      </c>
      <c r="F1531" s="143">
        <v>0</v>
      </c>
      <c r="G1531" s="143">
        <v>0</v>
      </c>
      <c r="H1531" s="143">
        <v>0</v>
      </c>
      <c r="I1531" s="143">
        <v>0</v>
      </c>
    </row>
    <row r="1532" spans="1:10" s="147" customFormat="1" ht="51.75" customHeight="1" x14ac:dyDescent="0.3">
      <c r="A1532" s="403" t="s">
        <v>587</v>
      </c>
      <c r="B1532" s="40" t="s">
        <v>32</v>
      </c>
      <c r="C1532" s="143">
        <f t="shared" si="341"/>
        <v>149</v>
      </c>
      <c r="D1532" s="143">
        <v>0</v>
      </c>
      <c r="E1532" s="41">
        <v>149</v>
      </c>
      <c r="F1532" s="143">
        <v>0</v>
      </c>
      <c r="G1532" s="143">
        <v>0</v>
      </c>
      <c r="H1532" s="143">
        <v>0</v>
      </c>
      <c r="I1532" s="143">
        <v>0</v>
      </c>
      <c r="J1532" s="105"/>
    </row>
    <row r="1533" spans="1:10" s="131" customFormat="1" ht="15.75" customHeight="1" x14ac:dyDescent="0.3">
      <c r="A1533" s="398"/>
      <c r="B1533" s="53" t="s">
        <v>33</v>
      </c>
      <c r="C1533" s="97">
        <f t="shared" si="341"/>
        <v>149</v>
      </c>
      <c r="D1533" s="97">
        <v>0</v>
      </c>
      <c r="E1533" s="49">
        <v>149</v>
      </c>
      <c r="F1533" s="97">
        <v>0</v>
      </c>
      <c r="G1533" s="97">
        <v>0</v>
      </c>
      <c r="H1533" s="97">
        <v>0</v>
      </c>
      <c r="I1533" s="97">
        <v>0</v>
      </c>
    </row>
    <row r="1534" spans="1:10" s="131" customFormat="1" ht="59.25" customHeight="1" x14ac:dyDescent="0.3">
      <c r="A1534" s="404" t="s">
        <v>588</v>
      </c>
      <c r="B1534" s="47" t="s">
        <v>32</v>
      </c>
      <c r="C1534" s="97">
        <f t="shared" si="341"/>
        <v>58</v>
      </c>
      <c r="D1534" s="97">
        <v>0</v>
      </c>
      <c r="E1534" s="49">
        <v>58</v>
      </c>
      <c r="F1534" s="97">
        <v>0</v>
      </c>
      <c r="G1534" s="97">
        <v>0</v>
      </c>
      <c r="H1534" s="97">
        <v>0</v>
      </c>
      <c r="I1534" s="97">
        <v>0</v>
      </c>
      <c r="J1534" s="93"/>
    </row>
    <row r="1535" spans="1:10" s="131" customFormat="1" ht="15" customHeight="1" x14ac:dyDescent="0.3">
      <c r="A1535" s="398"/>
      <c r="B1535" s="53" t="s">
        <v>33</v>
      </c>
      <c r="C1535" s="97">
        <f t="shared" si="341"/>
        <v>58</v>
      </c>
      <c r="D1535" s="97">
        <v>0</v>
      </c>
      <c r="E1535" s="49">
        <v>58</v>
      </c>
      <c r="F1535" s="97">
        <v>0</v>
      </c>
      <c r="G1535" s="97">
        <v>0</v>
      </c>
      <c r="H1535" s="97">
        <v>0</v>
      </c>
      <c r="I1535" s="97">
        <v>0</v>
      </c>
    </row>
    <row r="1536" spans="1:10" s="131" customFormat="1" ht="44.25" customHeight="1" x14ac:dyDescent="0.35">
      <c r="A1536" s="317" t="s">
        <v>589</v>
      </c>
      <c r="B1536" s="47" t="s">
        <v>32</v>
      </c>
      <c r="C1536" s="97">
        <f t="shared" si="341"/>
        <v>138</v>
      </c>
      <c r="D1536" s="97">
        <v>0</v>
      </c>
      <c r="E1536" s="49">
        <v>138</v>
      </c>
      <c r="F1536" s="97">
        <v>0</v>
      </c>
      <c r="G1536" s="97">
        <v>0</v>
      </c>
      <c r="H1536" s="97">
        <v>0</v>
      </c>
      <c r="I1536" s="97">
        <v>0</v>
      </c>
      <c r="J1536" s="93"/>
    </row>
    <row r="1537" spans="1:10" s="131" customFormat="1" ht="15" customHeight="1" x14ac:dyDescent="0.3">
      <c r="A1537" s="398"/>
      <c r="B1537" s="53" t="s">
        <v>33</v>
      </c>
      <c r="C1537" s="97">
        <f t="shared" si="341"/>
        <v>138</v>
      </c>
      <c r="D1537" s="97">
        <v>0</v>
      </c>
      <c r="E1537" s="49">
        <v>138</v>
      </c>
      <c r="F1537" s="97">
        <v>0</v>
      </c>
      <c r="G1537" s="97">
        <v>0</v>
      </c>
      <c r="H1537" s="97">
        <v>0</v>
      </c>
      <c r="I1537" s="97">
        <v>0</v>
      </c>
    </row>
    <row r="1538" spans="1:10" s="131" customFormat="1" ht="58.5" customHeight="1" x14ac:dyDescent="0.35">
      <c r="A1538" s="317" t="s">
        <v>590</v>
      </c>
      <c r="B1538" s="47" t="s">
        <v>32</v>
      </c>
      <c r="C1538" s="97">
        <f t="shared" si="341"/>
        <v>153</v>
      </c>
      <c r="D1538" s="97">
        <v>0</v>
      </c>
      <c r="E1538" s="49">
        <v>153</v>
      </c>
      <c r="F1538" s="97">
        <v>0</v>
      </c>
      <c r="G1538" s="97">
        <v>0</v>
      </c>
      <c r="H1538" s="97">
        <v>0</v>
      </c>
      <c r="I1538" s="97">
        <v>0</v>
      </c>
      <c r="J1538" s="93"/>
    </row>
    <row r="1539" spans="1:10" s="131" customFormat="1" ht="15" customHeight="1" x14ac:dyDescent="0.3">
      <c r="A1539" s="398"/>
      <c r="B1539" s="53" t="s">
        <v>33</v>
      </c>
      <c r="C1539" s="97">
        <f t="shared" si="341"/>
        <v>153</v>
      </c>
      <c r="D1539" s="97">
        <v>0</v>
      </c>
      <c r="E1539" s="49">
        <v>153</v>
      </c>
      <c r="F1539" s="97">
        <v>0</v>
      </c>
      <c r="G1539" s="97">
        <v>0</v>
      </c>
      <c r="H1539" s="97">
        <v>0</v>
      </c>
      <c r="I1539" s="97">
        <v>0</v>
      </c>
    </row>
    <row r="1540" spans="1:10" s="131" customFormat="1" ht="45" customHeight="1" x14ac:dyDescent="0.3">
      <c r="A1540" s="314" t="s">
        <v>591</v>
      </c>
      <c r="B1540" s="47" t="s">
        <v>32</v>
      </c>
      <c r="C1540" s="97">
        <f t="shared" si="341"/>
        <v>30</v>
      </c>
      <c r="D1540" s="97">
        <v>0</v>
      </c>
      <c r="E1540" s="49">
        <v>30</v>
      </c>
      <c r="F1540" s="97">
        <v>0</v>
      </c>
      <c r="G1540" s="97">
        <v>0</v>
      </c>
      <c r="H1540" s="97">
        <v>0</v>
      </c>
      <c r="I1540" s="97">
        <v>0</v>
      </c>
      <c r="J1540" s="93"/>
    </row>
    <row r="1541" spans="1:10" s="131" customFormat="1" ht="15" customHeight="1" x14ac:dyDescent="0.3">
      <c r="A1541" s="398"/>
      <c r="B1541" s="53" t="s">
        <v>33</v>
      </c>
      <c r="C1541" s="97">
        <f t="shared" si="341"/>
        <v>30</v>
      </c>
      <c r="D1541" s="97">
        <v>0</v>
      </c>
      <c r="E1541" s="49">
        <v>30</v>
      </c>
      <c r="F1541" s="97">
        <v>0</v>
      </c>
      <c r="G1541" s="97">
        <v>0</v>
      </c>
      <c r="H1541" s="97">
        <v>0</v>
      </c>
      <c r="I1541" s="97">
        <v>0</v>
      </c>
    </row>
    <row r="1542" spans="1:10" s="131" customFormat="1" ht="39.75" customHeight="1" x14ac:dyDescent="0.3">
      <c r="A1542" s="405" t="s">
        <v>592</v>
      </c>
      <c r="B1542" s="47" t="s">
        <v>32</v>
      </c>
      <c r="C1542" s="97">
        <f t="shared" si="341"/>
        <v>320</v>
      </c>
      <c r="D1542" s="97">
        <v>0</v>
      </c>
      <c r="E1542" s="49">
        <v>320</v>
      </c>
      <c r="F1542" s="97">
        <v>0</v>
      </c>
      <c r="G1542" s="97">
        <v>0</v>
      </c>
      <c r="H1542" s="97">
        <v>0</v>
      </c>
      <c r="I1542" s="97">
        <v>0</v>
      </c>
      <c r="J1542" s="93"/>
    </row>
    <row r="1543" spans="1:10" s="131" customFormat="1" ht="15" customHeight="1" x14ac:dyDescent="0.3">
      <c r="A1543" s="398"/>
      <c r="B1543" s="53" t="s">
        <v>33</v>
      </c>
      <c r="C1543" s="97">
        <f t="shared" si="341"/>
        <v>320</v>
      </c>
      <c r="D1543" s="97">
        <v>0</v>
      </c>
      <c r="E1543" s="49">
        <v>320</v>
      </c>
      <c r="F1543" s="97">
        <v>0</v>
      </c>
      <c r="G1543" s="97">
        <v>0</v>
      </c>
      <c r="H1543" s="97">
        <v>0</v>
      </c>
      <c r="I1543" s="97">
        <v>0</v>
      </c>
    </row>
    <row r="1544" spans="1:10" s="131" customFormat="1" ht="54.75" customHeight="1" x14ac:dyDescent="0.3">
      <c r="A1544" s="406" t="s">
        <v>593</v>
      </c>
      <c r="B1544" s="47" t="s">
        <v>32</v>
      </c>
      <c r="C1544" s="97">
        <f t="shared" si="341"/>
        <v>30</v>
      </c>
      <c r="D1544" s="97">
        <v>0</v>
      </c>
      <c r="E1544" s="49">
        <v>30</v>
      </c>
      <c r="F1544" s="97">
        <v>0</v>
      </c>
      <c r="G1544" s="97">
        <v>0</v>
      </c>
      <c r="H1544" s="97">
        <v>0</v>
      </c>
      <c r="I1544" s="97">
        <v>0</v>
      </c>
      <c r="J1544" s="93"/>
    </row>
    <row r="1545" spans="1:10" s="131" customFormat="1" ht="15" customHeight="1" x14ac:dyDescent="0.3">
      <c r="A1545" s="398"/>
      <c r="B1545" s="53" t="s">
        <v>33</v>
      </c>
      <c r="C1545" s="97">
        <f t="shared" si="341"/>
        <v>30</v>
      </c>
      <c r="D1545" s="97">
        <v>0</v>
      </c>
      <c r="E1545" s="49">
        <v>30</v>
      </c>
      <c r="F1545" s="97">
        <v>0</v>
      </c>
      <c r="G1545" s="97">
        <v>0</v>
      </c>
      <c r="H1545" s="97">
        <v>0</v>
      </c>
      <c r="I1545" s="97">
        <v>0</v>
      </c>
    </row>
    <row r="1546" spans="1:10" s="131" customFormat="1" ht="64.5" customHeight="1" x14ac:dyDescent="0.3">
      <c r="A1546" s="315" t="s">
        <v>594</v>
      </c>
      <c r="B1546" s="47" t="s">
        <v>32</v>
      </c>
      <c r="C1546" s="97">
        <f t="shared" si="341"/>
        <v>280</v>
      </c>
      <c r="D1546" s="97">
        <v>0</v>
      </c>
      <c r="E1546" s="49">
        <v>280</v>
      </c>
      <c r="F1546" s="97">
        <v>0</v>
      </c>
      <c r="G1546" s="97">
        <v>0</v>
      </c>
      <c r="H1546" s="97">
        <v>0</v>
      </c>
      <c r="I1546" s="97">
        <v>0</v>
      </c>
      <c r="J1546" s="93"/>
    </row>
    <row r="1547" spans="1:10" s="131" customFormat="1" ht="15" customHeight="1" x14ac:dyDescent="0.3">
      <c r="A1547" s="398"/>
      <c r="B1547" s="53" t="s">
        <v>33</v>
      </c>
      <c r="C1547" s="97">
        <f t="shared" si="341"/>
        <v>280</v>
      </c>
      <c r="D1547" s="97">
        <v>0</v>
      </c>
      <c r="E1547" s="49">
        <v>280</v>
      </c>
      <c r="F1547" s="97">
        <v>0</v>
      </c>
      <c r="G1547" s="97">
        <v>0</v>
      </c>
      <c r="H1547" s="97">
        <v>0</v>
      </c>
      <c r="I1547" s="97">
        <v>0</v>
      </c>
    </row>
    <row r="1548" spans="1:10" s="131" customFormat="1" ht="45.75" customHeight="1" x14ac:dyDescent="0.3">
      <c r="A1548" s="407" t="s">
        <v>595</v>
      </c>
      <c r="B1548" s="47" t="s">
        <v>32</v>
      </c>
      <c r="C1548" s="97">
        <f t="shared" si="341"/>
        <v>179</v>
      </c>
      <c r="D1548" s="97">
        <v>0</v>
      </c>
      <c r="E1548" s="49">
        <v>179</v>
      </c>
      <c r="F1548" s="97">
        <v>0</v>
      </c>
      <c r="G1548" s="97">
        <v>0</v>
      </c>
      <c r="H1548" s="97">
        <v>0</v>
      </c>
      <c r="I1548" s="97">
        <v>0</v>
      </c>
      <c r="J1548" s="93"/>
    </row>
    <row r="1549" spans="1:10" s="131" customFormat="1" ht="15" customHeight="1" x14ac:dyDescent="0.3">
      <c r="A1549" s="398"/>
      <c r="B1549" s="53" t="s">
        <v>33</v>
      </c>
      <c r="C1549" s="97">
        <f t="shared" si="341"/>
        <v>179</v>
      </c>
      <c r="D1549" s="97">
        <v>0</v>
      </c>
      <c r="E1549" s="49">
        <v>179</v>
      </c>
      <c r="F1549" s="97">
        <v>0</v>
      </c>
      <c r="G1549" s="97">
        <v>0</v>
      </c>
      <c r="H1549" s="97">
        <v>0</v>
      </c>
      <c r="I1549" s="97">
        <v>0</v>
      </c>
    </row>
    <row r="1550" spans="1:10" s="131" customFormat="1" ht="66.75" customHeight="1" x14ac:dyDescent="0.3">
      <c r="A1550" s="315" t="s">
        <v>596</v>
      </c>
      <c r="B1550" s="47" t="s">
        <v>32</v>
      </c>
      <c r="C1550" s="97">
        <f t="shared" si="341"/>
        <v>104</v>
      </c>
      <c r="D1550" s="97">
        <v>0</v>
      </c>
      <c r="E1550" s="49">
        <v>104</v>
      </c>
      <c r="F1550" s="97">
        <v>0</v>
      </c>
      <c r="G1550" s="97">
        <v>0</v>
      </c>
      <c r="H1550" s="97">
        <v>0</v>
      </c>
      <c r="I1550" s="97">
        <v>0</v>
      </c>
      <c r="J1550" s="93"/>
    </row>
    <row r="1551" spans="1:10" s="131" customFormat="1" ht="15" customHeight="1" x14ac:dyDescent="0.3">
      <c r="A1551" s="398"/>
      <c r="B1551" s="53" t="s">
        <v>33</v>
      </c>
      <c r="C1551" s="97">
        <f t="shared" si="341"/>
        <v>104</v>
      </c>
      <c r="D1551" s="97">
        <v>0</v>
      </c>
      <c r="E1551" s="49">
        <v>104</v>
      </c>
      <c r="F1551" s="97">
        <v>0</v>
      </c>
      <c r="G1551" s="97">
        <v>0</v>
      </c>
      <c r="H1551" s="97">
        <v>0</v>
      </c>
      <c r="I1551" s="97">
        <v>0</v>
      </c>
    </row>
    <row r="1552" spans="1:10" s="131" customFormat="1" ht="120.75" customHeight="1" x14ac:dyDescent="0.3">
      <c r="A1552" s="408" t="s">
        <v>597</v>
      </c>
      <c r="B1552" s="47" t="s">
        <v>32</v>
      </c>
      <c r="C1552" s="97">
        <f t="shared" si="341"/>
        <v>216</v>
      </c>
      <c r="D1552" s="97">
        <v>0</v>
      </c>
      <c r="E1552" s="49">
        <v>216</v>
      </c>
      <c r="F1552" s="97">
        <v>0</v>
      </c>
      <c r="G1552" s="97">
        <v>0</v>
      </c>
      <c r="H1552" s="97">
        <v>0</v>
      </c>
      <c r="I1552" s="97">
        <v>0</v>
      </c>
      <c r="J1552" s="93"/>
    </row>
    <row r="1553" spans="1:9" s="131" customFormat="1" ht="15" customHeight="1" x14ac:dyDescent="0.3">
      <c r="A1553" s="398"/>
      <c r="B1553" s="53" t="s">
        <v>33</v>
      </c>
      <c r="C1553" s="97">
        <f t="shared" si="341"/>
        <v>216</v>
      </c>
      <c r="D1553" s="97">
        <v>0</v>
      </c>
      <c r="E1553" s="49">
        <v>216</v>
      </c>
      <c r="F1553" s="97">
        <v>0</v>
      </c>
      <c r="G1553" s="97">
        <v>0</v>
      </c>
      <c r="H1553" s="97">
        <v>0</v>
      </c>
      <c r="I1553" s="97">
        <v>0</v>
      </c>
    </row>
    <row r="1554" spans="1:9" x14ac:dyDescent="0.3">
      <c r="A1554" s="286" t="s">
        <v>286</v>
      </c>
      <c r="B1554" s="287"/>
      <c r="C1554" s="287"/>
      <c r="D1554" s="287"/>
      <c r="E1554" s="287"/>
      <c r="F1554" s="287"/>
      <c r="G1554" s="287"/>
      <c r="H1554" s="287"/>
      <c r="I1554" s="288"/>
    </row>
    <row r="1555" spans="1:9" x14ac:dyDescent="0.3">
      <c r="A1555" s="72" t="s">
        <v>57</v>
      </c>
      <c r="B1555" s="12" t="s">
        <v>32</v>
      </c>
      <c r="C1555" s="36">
        <f t="shared" ref="C1555:C1568" si="342">D1555+E1555+F1555+G1555+H1555+I1555</f>
        <v>10</v>
      </c>
      <c r="D1555" s="36">
        <f t="shared" ref="D1555:I1566" si="343">D1557</f>
        <v>0</v>
      </c>
      <c r="E1555" s="36">
        <f t="shared" si="343"/>
        <v>10</v>
      </c>
      <c r="F1555" s="36">
        <f t="shared" si="343"/>
        <v>0</v>
      </c>
      <c r="G1555" s="36">
        <f t="shared" si="343"/>
        <v>0</v>
      </c>
      <c r="H1555" s="36">
        <f t="shared" si="343"/>
        <v>0</v>
      </c>
      <c r="I1555" s="36">
        <f t="shared" si="343"/>
        <v>0</v>
      </c>
    </row>
    <row r="1556" spans="1:9" x14ac:dyDescent="0.3">
      <c r="A1556" s="60" t="s">
        <v>87</v>
      </c>
      <c r="B1556" s="23" t="s">
        <v>33</v>
      </c>
      <c r="C1556" s="36">
        <f t="shared" si="342"/>
        <v>10</v>
      </c>
      <c r="D1556" s="36">
        <f t="shared" si="343"/>
        <v>0</v>
      </c>
      <c r="E1556" s="36">
        <f t="shared" si="343"/>
        <v>10</v>
      </c>
      <c r="F1556" s="36">
        <f t="shared" si="343"/>
        <v>0</v>
      </c>
      <c r="G1556" s="36">
        <f t="shared" si="343"/>
        <v>0</v>
      </c>
      <c r="H1556" s="36">
        <f t="shared" si="343"/>
        <v>0</v>
      </c>
      <c r="I1556" s="36">
        <f t="shared" si="343"/>
        <v>0</v>
      </c>
    </row>
    <row r="1557" spans="1:9" x14ac:dyDescent="0.3">
      <c r="A1557" s="303" t="s">
        <v>63</v>
      </c>
      <c r="B1557" s="47" t="s">
        <v>32</v>
      </c>
      <c r="C1557" s="48">
        <f t="shared" si="342"/>
        <v>10</v>
      </c>
      <c r="D1557" s="48">
        <f t="shared" si="343"/>
        <v>0</v>
      </c>
      <c r="E1557" s="48">
        <f t="shared" si="343"/>
        <v>10</v>
      </c>
      <c r="F1557" s="48">
        <f t="shared" si="343"/>
        <v>0</v>
      </c>
      <c r="G1557" s="48">
        <f t="shared" si="343"/>
        <v>0</v>
      </c>
      <c r="H1557" s="48">
        <f t="shared" si="343"/>
        <v>0</v>
      </c>
      <c r="I1557" s="48">
        <f t="shared" si="343"/>
        <v>0</v>
      </c>
    </row>
    <row r="1558" spans="1:9" x14ac:dyDescent="0.3">
      <c r="A1558" s="37" t="s">
        <v>35</v>
      </c>
      <c r="B1558" s="53" t="s">
        <v>33</v>
      </c>
      <c r="C1558" s="48">
        <f t="shared" si="342"/>
        <v>10</v>
      </c>
      <c r="D1558" s="48">
        <f t="shared" si="343"/>
        <v>0</v>
      </c>
      <c r="E1558" s="48">
        <f t="shared" si="343"/>
        <v>10</v>
      </c>
      <c r="F1558" s="48">
        <f t="shared" si="343"/>
        <v>0</v>
      </c>
      <c r="G1558" s="48">
        <f t="shared" si="343"/>
        <v>0</v>
      </c>
      <c r="H1558" s="48">
        <f t="shared" si="343"/>
        <v>0</v>
      </c>
      <c r="I1558" s="48">
        <f t="shared" si="343"/>
        <v>0</v>
      </c>
    </row>
    <row r="1559" spans="1:9" ht="12.9" x14ac:dyDescent="0.35">
      <c r="A1559" s="54" t="s">
        <v>40</v>
      </c>
      <c r="B1559" s="35" t="s">
        <v>32</v>
      </c>
      <c r="C1559" s="48">
        <f t="shared" si="342"/>
        <v>10</v>
      </c>
      <c r="D1559" s="48">
        <f t="shared" si="343"/>
        <v>0</v>
      </c>
      <c r="E1559" s="48">
        <f t="shared" si="343"/>
        <v>10</v>
      </c>
      <c r="F1559" s="48">
        <f t="shared" si="343"/>
        <v>0</v>
      </c>
      <c r="G1559" s="48">
        <f t="shared" si="343"/>
        <v>0</v>
      </c>
      <c r="H1559" s="48">
        <f t="shared" si="343"/>
        <v>0</v>
      </c>
      <c r="I1559" s="48">
        <f t="shared" si="343"/>
        <v>0</v>
      </c>
    </row>
    <row r="1560" spans="1:9" ht="12.9" x14ac:dyDescent="0.35">
      <c r="A1560" s="43"/>
      <c r="B1560" s="38" t="s">
        <v>33</v>
      </c>
      <c r="C1560" s="48">
        <f t="shared" si="342"/>
        <v>10</v>
      </c>
      <c r="D1560" s="48">
        <f t="shared" si="343"/>
        <v>0</v>
      </c>
      <c r="E1560" s="48">
        <f t="shared" si="343"/>
        <v>10</v>
      </c>
      <c r="F1560" s="48">
        <f t="shared" si="343"/>
        <v>0</v>
      </c>
      <c r="G1560" s="48">
        <f t="shared" si="343"/>
        <v>0</v>
      </c>
      <c r="H1560" s="48">
        <f t="shared" si="343"/>
        <v>0</v>
      </c>
      <c r="I1560" s="48">
        <f t="shared" si="343"/>
        <v>0</v>
      </c>
    </row>
    <row r="1561" spans="1:9" ht="12.9" x14ac:dyDescent="0.35">
      <c r="A1561" s="383" t="s">
        <v>41</v>
      </c>
      <c r="B1561" s="35" t="s">
        <v>32</v>
      </c>
      <c r="C1561" s="48">
        <f t="shared" si="342"/>
        <v>10</v>
      </c>
      <c r="D1561" s="48">
        <f t="shared" si="343"/>
        <v>0</v>
      </c>
      <c r="E1561" s="48">
        <f t="shared" si="343"/>
        <v>10</v>
      </c>
      <c r="F1561" s="48">
        <f t="shared" si="343"/>
        <v>0</v>
      </c>
      <c r="G1561" s="48">
        <f t="shared" si="343"/>
        <v>0</v>
      </c>
      <c r="H1561" s="48">
        <f t="shared" si="343"/>
        <v>0</v>
      </c>
      <c r="I1561" s="48">
        <f t="shared" si="343"/>
        <v>0</v>
      </c>
    </row>
    <row r="1562" spans="1:9" x14ac:dyDescent="0.3">
      <c r="A1562" s="63"/>
      <c r="B1562" s="38" t="s">
        <v>33</v>
      </c>
      <c r="C1562" s="48">
        <f t="shared" si="342"/>
        <v>10</v>
      </c>
      <c r="D1562" s="48">
        <f t="shared" si="343"/>
        <v>0</v>
      </c>
      <c r="E1562" s="48">
        <f t="shared" si="343"/>
        <v>10</v>
      </c>
      <c r="F1562" s="48">
        <f t="shared" si="343"/>
        <v>0</v>
      </c>
      <c r="G1562" s="48">
        <f t="shared" si="343"/>
        <v>0</v>
      </c>
      <c r="H1562" s="48">
        <f t="shared" si="343"/>
        <v>0</v>
      </c>
      <c r="I1562" s="48">
        <f t="shared" si="343"/>
        <v>0</v>
      </c>
    </row>
    <row r="1563" spans="1:9" s="14" customFormat="1" x14ac:dyDescent="0.3">
      <c r="A1563" s="15" t="s">
        <v>45</v>
      </c>
      <c r="B1563" s="12" t="s">
        <v>32</v>
      </c>
      <c r="C1563" s="36">
        <f t="shared" si="342"/>
        <v>10</v>
      </c>
      <c r="D1563" s="36">
        <f t="shared" si="343"/>
        <v>0</v>
      </c>
      <c r="E1563" s="36">
        <f t="shared" si="343"/>
        <v>10</v>
      </c>
      <c r="F1563" s="36">
        <f t="shared" si="343"/>
        <v>0</v>
      </c>
      <c r="G1563" s="36">
        <f t="shared" si="343"/>
        <v>0</v>
      </c>
      <c r="H1563" s="36">
        <f t="shared" si="343"/>
        <v>0</v>
      </c>
      <c r="I1563" s="36">
        <f t="shared" si="343"/>
        <v>0</v>
      </c>
    </row>
    <row r="1564" spans="1:9" s="14" customFormat="1" x14ac:dyDescent="0.3">
      <c r="A1564" s="127"/>
      <c r="B1564" s="128" t="s">
        <v>33</v>
      </c>
      <c r="C1564" s="122">
        <f t="shared" si="342"/>
        <v>10</v>
      </c>
      <c r="D1564" s="36">
        <f t="shared" si="343"/>
        <v>0</v>
      </c>
      <c r="E1564" s="36">
        <f t="shared" si="343"/>
        <v>10</v>
      </c>
      <c r="F1564" s="36">
        <f t="shared" si="343"/>
        <v>0</v>
      </c>
      <c r="G1564" s="36">
        <f t="shared" si="343"/>
        <v>0</v>
      </c>
      <c r="H1564" s="36">
        <f t="shared" si="343"/>
        <v>0</v>
      </c>
      <c r="I1564" s="36">
        <f t="shared" si="343"/>
        <v>0</v>
      </c>
    </row>
    <row r="1565" spans="1:9" s="126" customFormat="1" x14ac:dyDescent="0.3">
      <c r="A1565" s="409" t="s">
        <v>287</v>
      </c>
      <c r="B1565" s="124" t="s">
        <v>32</v>
      </c>
      <c r="C1565" s="122">
        <f t="shared" si="342"/>
        <v>10</v>
      </c>
      <c r="D1565" s="122">
        <f>D1567</f>
        <v>0</v>
      </c>
      <c r="E1565" s="122">
        <f t="shared" si="343"/>
        <v>10</v>
      </c>
      <c r="F1565" s="122">
        <f t="shared" si="343"/>
        <v>0</v>
      </c>
      <c r="G1565" s="122">
        <f t="shared" si="343"/>
        <v>0</v>
      </c>
      <c r="H1565" s="122">
        <f t="shared" si="343"/>
        <v>0</v>
      </c>
      <c r="I1565" s="122">
        <f t="shared" si="343"/>
        <v>0</v>
      </c>
    </row>
    <row r="1566" spans="1:9" s="126" customFormat="1" x14ac:dyDescent="0.3">
      <c r="A1566" s="127"/>
      <c r="B1566" s="128" t="s">
        <v>33</v>
      </c>
      <c r="C1566" s="122">
        <f t="shared" si="342"/>
        <v>10</v>
      </c>
      <c r="D1566" s="122">
        <f>D1568</f>
        <v>0</v>
      </c>
      <c r="E1566" s="122">
        <f t="shared" si="343"/>
        <v>10</v>
      </c>
      <c r="F1566" s="122">
        <f t="shared" si="343"/>
        <v>0</v>
      </c>
      <c r="G1566" s="122">
        <f t="shared" si="343"/>
        <v>0</v>
      </c>
      <c r="H1566" s="122">
        <f t="shared" si="343"/>
        <v>0</v>
      </c>
      <c r="I1566" s="122">
        <f t="shared" si="343"/>
        <v>0</v>
      </c>
    </row>
    <row r="1567" spans="1:9" s="147" customFormat="1" ht="28.5" customHeight="1" x14ac:dyDescent="0.35">
      <c r="A1567" s="317" t="s">
        <v>598</v>
      </c>
      <c r="B1567" s="146" t="s">
        <v>32</v>
      </c>
      <c r="C1567" s="143">
        <f t="shared" si="342"/>
        <v>10</v>
      </c>
      <c r="D1567" s="143">
        <v>0</v>
      </c>
      <c r="E1567" s="143">
        <v>10</v>
      </c>
      <c r="F1567" s="143">
        <v>0</v>
      </c>
      <c r="G1567" s="143">
        <v>0</v>
      </c>
      <c r="H1567" s="143">
        <v>0</v>
      </c>
      <c r="I1567" s="143">
        <v>0</v>
      </c>
    </row>
    <row r="1568" spans="1:9" s="145" customFormat="1" x14ac:dyDescent="0.3">
      <c r="A1568" s="302"/>
      <c r="B1568" s="142" t="s">
        <v>33</v>
      </c>
      <c r="C1568" s="143">
        <f t="shared" si="342"/>
        <v>10</v>
      </c>
      <c r="D1568" s="143">
        <v>0</v>
      </c>
      <c r="E1568" s="143">
        <v>10</v>
      </c>
      <c r="F1568" s="143">
        <v>0</v>
      </c>
      <c r="G1568" s="143">
        <v>0</v>
      </c>
      <c r="H1568" s="143">
        <v>0</v>
      </c>
      <c r="I1568" s="143">
        <v>0</v>
      </c>
    </row>
    <row r="1569" spans="1:9" x14ac:dyDescent="0.3">
      <c r="A1569" s="1066" t="s">
        <v>298</v>
      </c>
      <c r="B1569" s="1063"/>
      <c r="C1569" s="1064"/>
      <c r="D1569" s="1064"/>
      <c r="E1569" s="1064"/>
      <c r="F1569" s="1064"/>
      <c r="G1569" s="1064"/>
      <c r="H1569" s="1064"/>
      <c r="I1569" s="1065"/>
    </row>
    <row r="1570" spans="1:9" x14ac:dyDescent="0.3">
      <c r="A1570" s="72" t="s">
        <v>57</v>
      </c>
      <c r="B1570" s="16" t="s">
        <v>32</v>
      </c>
      <c r="C1570" s="36">
        <f t="shared" ref="C1570:C1583" si="344">D1570+E1570+F1570+G1570+H1570+I1570</f>
        <v>47.6</v>
      </c>
      <c r="D1570" s="36">
        <f t="shared" ref="D1570:I1581" si="345">D1572</f>
        <v>47.6</v>
      </c>
      <c r="E1570" s="36">
        <f t="shared" si="345"/>
        <v>0</v>
      </c>
      <c r="F1570" s="36">
        <f t="shared" si="345"/>
        <v>0</v>
      </c>
      <c r="G1570" s="36">
        <f t="shared" si="345"/>
        <v>0</v>
      </c>
      <c r="H1570" s="36">
        <f t="shared" si="345"/>
        <v>0</v>
      </c>
      <c r="I1570" s="36">
        <f t="shared" si="345"/>
        <v>0</v>
      </c>
    </row>
    <row r="1571" spans="1:9" x14ac:dyDescent="0.3">
      <c r="A1571" s="60" t="s">
        <v>87</v>
      </c>
      <c r="B1571" s="23" t="s">
        <v>33</v>
      </c>
      <c r="C1571" s="36">
        <f t="shared" si="344"/>
        <v>47.6</v>
      </c>
      <c r="D1571" s="36">
        <f t="shared" si="345"/>
        <v>47.6</v>
      </c>
      <c r="E1571" s="36">
        <f t="shared" si="345"/>
        <v>0</v>
      </c>
      <c r="F1571" s="36">
        <f t="shared" si="345"/>
        <v>0</v>
      </c>
      <c r="G1571" s="36">
        <f t="shared" si="345"/>
        <v>0</v>
      </c>
      <c r="H1571" s="36">
        <f t="shared" si="345"/>
        <v>0</v>
      </c>
      <c r="I1571" s="36">
        <f t="shared" si="345"/>
        <v>0</v>
      </c>
    </row>
    <row r="1572" spans="1:9" x14ac:dyDescent="0.3">
      <c r="A1572" s="61" t="s">
        <v>63</v>
      </c>
      <c r="B1572" s="47" t="s">
        <v>32</v>
      </c>
      <c r="C1572" s="48">
        <f t="shared" si="344"/>
        <v>47.6</v>
      </c>
      <c r="D1572" s="48">
        <f t="shared" si="345"/>
        <v>47.6</v>
      </c>
      <c r="E1572" s="48">
        <f t="shared" si="345"/>
        <v>0</v>
      </c>
      <c r="F1572" s="48">
        <f t="shared" si="345"/>
        <v>0</v>
      </c>
      <c r="G1572" s="48">
        <f t="shared" si="345"/>
        <v>0</v>
      </c>
      <c r="H1572" s="48">
        <f t="shared" si="345"/>
        <v>0</v>
      </c>
      <c r="I1572" s="48">
        <f t="shared" si="345"/>
        <v>0</v>
      </c>
    </row>
    <row r="1573" spans="1:9" x14ac:dyDescent="0.3">
      <c r="A1573" s="63" t="s">
        <v>51</v>
      </c>
      <c r="B1573" s="53" t="s">
        <v>33</v>
      </c>
      <c r="C1573" s="48">
        <f t="shared" si="344"/>
        <v>47.6</v>
      </c>
      <c r="D1573" s="48">
        <f t="shared" si="345"/>
        <v>47.6</v>
      </c>
      <c r="E1573" s="48">
        <f t="shared" si="345"/>
        <v>0</v>
      </c>
      <c r="F1573" s="48">
        <f t="shared" si="345"/>
        <v>0</v>
      </c>
      <c r="G1573" s="48">
        <f t="shared" si="345"/>
        <v>0</v>
      </c>
      <c r="H1573" s="48">
        <f t="shared" si="345"/>
        <v>0</v>
      </c>
      <c r="I1573" s="48">
        <f t="shared" si="345"/>
        <v>0</v>
      </c>
    </row>
    <row r="1574" spans="1:9" ht="12.9" x14ac:dyDescent="0.35">
      <c r="A1574" s="54" t="s">
        <v>40</v>
      </c>
      <c r="B1574" s="35" t="s">
        <v>32</v>
      </c>
      <c r="C1574" s="48">
        <f t="shared" si="344"/>
        <v>47.6</v>
      </c>
      <c r="D1574" s="48">
        <f t="shared" si="345"/>
        <v>47.6</v>
      </c>
      <c r="E1574" s="48">
        <f t="shared" si="345"/>
        <v>0</v>
      </c>
      <c r="F1574" s="48">
        <f t="shared" si="345"/>
        <v>0</v>
      </c>
      <c r="G1574" s="48">
        <f t="shared" si="345"/>
        <v>0</v>
      </c>
      <c r="H1574" s="48">
        <f t="shared" si="345"/>
        <v>0</v>
      </c>
      <c r="I1574" s="48">
        <f t="shared" si="345"/>
        <v>0</v>
      </c>
    </row>
    <row r="1575" spans="1:9" ht="12.9" x14ac:dyDescent="0.35">
      <c r="A1575" s="43"/>
      <c r="B1575" s="38" t="s">
        <v>33</v>
      </c>
      <c r="C1575" s="48">
        <f t="shared" si="344"/>
        <v>47.6</v>
      </c>
      <c r="D1575" s="48">
        <f t="shared" si="345"/>
        <v>47.6</v>
      </c>
      <c r="E1575" s="48">
        <f t="shared" si="345"/>
        <v>0</v>
      </c>
      <c r="F1575" s="48">
        <f t="shared" si="345"/>
        <v>0</v>
      </c>
      <c r="G1575" s="48">
        <f t="shared" si="345"/>
        <v>0</v>
      </c>
      <c r="H1575" s="48">
        <f t="shared" si="345"/>
        <v>0</v>
      </c>
      <c r="I1575" s="48">
        <f t="shared" si="345"/>
        <v>0</v>
      </c>
    </row>
    <row r="1576" spans="1:9" x14ac:dyDescent="0.3">
      <c r="A1576" s="58" t="s">
        <v>53</v>
      </c>
      <c r="B1576" s="47" t="s">
        <v>32</v>
      </c>
      <c r="C1576" s="48">
        <f t="shared" si="344"/>
        <v>47.6</v>
      </c>
      <c r="D1576" s="48">
        <f t="shared" si="345"/>
        <v>47.6</v>
      </c>
      <c r="E1576" s="48">
        <f t="shared" si="345"/>
        <v>0</v>
      </c>
      <c r="F1576" s="48">
        <f t="shared" si="345"/>
        <v>0</v>
      </c>
      <c r="G1576" s="48">
        <f t="shared" si="345"/>
        <v>0</v>
      </c>
      <c r="H1576" s="48">
        <f t="shared" si="345"/>
        <v>0</v>
      </c>
      <c r="I1576" s="48">
        <f t="shared" si="345"/>
        <v>0</v>
      </c>
    </row>
    <row r="1577" spans="1:9" x14ac:dyDescent="0.3">
      <c r="A1577" s="63"/>
      <c r="B1577" s="53" t="s">
        <v>33</v>
      </c>
      <c r="C1577" s="48">
        <f t="shared" si="344"/>
        <v>47.6</v>
      </c>
      <c r="D1577" s="48">
        <f t="shared" si="345"/>
        <v>47.6</v>
      </c>
      <c r="E1577" s="48">
        <f t="shared" si="345"/>
        <v>0</v>
      </c>
      <c r="F1577" s="48">
        <f t="shared" si="345"/>
        <v>0</v>
      </c>
      <c r="G1577" s="48">
        <f t="shared" si="345"/>
        <v>0</v>
      </c>
      <c r="H1577" s="48">
        <f t="shared" si="345"/>
        <v>0</v>
      </c>
      <c r="I1577" s="48">
        <f t="shared" si="345"/>
        <v>0</v>
      </c>
    </row>
    <row r="1578" spans="1:9" s="14" customFormat="1" x14ac:dyDescent="0.3">
      <c r="A1578" s="149" t="s">
        <v>45</v>
      </c>
      <c r="B1578" s="12" t="s">
        <v>32</v>
      </c>
      <c r="C1578" s="36">
        <f t="shared" si="344"/>
        <v>47.6</v>
      </c>
      <c r="D1578" s="36">
        <f t="shared" si="345"/>
        <v>47.6</v>
      </c>
      <c r="E1578" s="36">
        <f t="shared" si="345"/>
        <v>0</v>
      </c>
      <c r="F1578" s="36">
        <f t="shared" si="345"/>
        <v>0</v>
      </c>
      <c r="G1578" s="36">
        <f t="shared" si="345"/>
        <v>0</v>
      </c>
      <c r="H1578" s="36">
        <f t="shared" si="345"/>
        <v>0</v>
      </c>
      <c r="I1578" s="36">
        <f t="shared" si="345"/>
        <v>0</v>
      </c>
    </row>
    <row r="1579" spans="1:9" s="14" customFormat="1" x14ac:dyDescent="0.3">
      <c r="A1579" s="19"/>
      <c r="B1579" s="23" t="s">
        <v>33</v>
      </c>
      <c r="C1579" s="36">
        <f t="shared" si="344"/>
        <v>47.6</v>
      </c>
      <c r="D1579" s="36">
        <f t="shared" si="345"/>
        <v>47.6</v>
      </c>
      <c r="E1579" s="36">
        <f t="shared" si="345"/>
        <v>0</v>
      </c>
      <c r="F1579" s="36">
        <f t="shared" si="345"/>
        <v>0</v>
      </c>
      <c r="G1579" s="36">
        <f t="shared" si="345"/>
        <v>0</v>
      </c>
      <c r="H1579" s="36">
        <f t="shared" si="345"/>
        <v>0</v>
      </c>
      <c r="I1579" s="36">
        <f t="shared" si="345"/>
        <v>0</v>
      </c>
    </row>
    <row r="1580" spans="1:9" s="68" customFormat="1" x14ac:dyDescent="0.3">
      <c r="A1580" s="148" t="s">
        <v>599</v>
      </c>
      <c r="B1580" s="410" t="s">
        <v>32</v>
      </c>
      <c r="C1580" s="67">
        <f t="shared" si="344"/>
        <v>47.6</v>
      </c>
      <c r="D1580" s="67">
        <f t="shared" si="345"/>
        <v>47.6</v>
      </c>
      <c r="E1580" s="67">
        <f t="shared" si="345"/>
        <v>0</v>
      </c>
      <c r="F1580" s="67">
        <f t="shared" si="345"/>
        <v>0</v>
      </c>
      <c r="G1580" s="67">
        <f t="shared" si="345"/>
        <v>0</v>
      </c>
      <c r="H1580" s="67">
        <f t="shared" si="345"/>
        <v>0</v>
      </c>
      <c r="I1580" s="67">
        <f t="shared" si="345"/>
        <v>0</v>
      </c>
    </row>
    <row r="1581" spans="1:9" s="68" customFormat="1" x14ac:dyDescent="0.3">
      <c r="A1581" s="120"/>
      <c r="B1581" s="95" t="s">
        <v>33</v>
      </c>
      <c r="C1581" s="67">
        <f t="shared" si="344"/>
        <v>47.6</v>
      </c>
      <c r="D1581" s="67">
        <f t="shared" si="345"/>
        <v>47.6</v>
      </c>
      <c r="E1581" s="67">
        <f t="shared" si="345"/>
        <v>0</v>
      </c>
      <c r="F1581" s="67">
        <f t="shared" si="345"/>
        <v>0</v>
      </c>
      <c r="G1581" s="67">
        <f t="shared" si="345"/>
        <v>0</v>
      </c>
      <c r="H1581" s="67">
        <f t="shared" si="345"/>
        <v>0</v>
      </c>
      <c r="I1581" s="67">
        <f t="shared" si="345"/>
        <v>0</v>
      </c>
    </row>
    <row r="1582" spans="1:9" s="105" customFormat="1" ht="27.75" customHeight="1" x14ac:dyDescent="0.35">
      <c r="A1582" s="327" t="s">
        <v>600</v>
      </c>
      <c r="B1582" s="410" t="s">
        <v>32</v>
      </c>
      <c r="C1582" s="108">
        <f t="shared" si="344"/>
        <v>47.6</v>
      </c>
      <c r="D1582" s="108">
        <v>47.6</v>
      </c>
      <c r="E1582" s="108">
        <v>0</v>
      </c>
      <c r="F1582" s="108">
        <v>0</v>
      </c>
      <c r="G1582" s="108">
        <v>0</v>
      </c>
      <c r="H1582" s="108">
        <v>0</v>
      </c>
      <c r="I1582" s="108">
        <v>0</v>
      </c>
    </row>
    <row r="1583" spans="1:9" s="68" customFormat="1" x14ac:dyDescent="0.3">
      <c r="A1583" s="120"/>
      <c r="B1583" s="95" t="s">
        <v>33</v>
      </c>
      <c r="C1583" s="67">
        <f t="shared" si="344"/>
        <v>47.6</v>
      </c>
      <c r="D1583" s="67">
        <v>47.6</v>
      </c>
      <c r="E1583" s="67">
        <v>0</v>
      </c>
      <c r="F1583" s="67">
        <v>0</v>
      </c>
      <c r="G1583" s="67">
        <v>0</v>
      </c>
      <c r="H1583" s="67">
        <v>0</v>
      </c>
      <c r="I1583" s="67">
        <v>0</v>
      </c>
    </row>
    <row r="1584" spans="1:9" x14ac:dyDescent="0.3">
      <c r="A1584" s="286" t="s">
        <v>323</v>
      </c>
      <c r="B1584" s="287"/>
      <c r="C1584" s="287"/>
      <c r="D1584" s="287"/>
      <c r="E1584" s="287"/>
      <c r="F1584" s="287"/>
      <c r="G1584" s="287"/>
      <c r="H1584" s="287"/>
      <c r="I1584" s="288"/>
    </row>
    <row r="1585" spans="1:9" x14ac:dyDescent="0.3">
      <c r="A1585" s="72" t="s">
        <v>57</v>
      </c>
      <c r="B1585" s="12" t="s">
        <v>32</v>
      </c>
      <c r="C1585" s="36">
        <f t="shared" ref="C1585:C1598" si="346">D1585+E1585+F1585+G1585+H1585+I1585</f>
        <v>20</v>
      </c>
      <c r="D1585" s="36">
        <f t="shared" ref="D1585:I1596" si="347">D1587</f>
        <v>0</v>
      </c>
      <c r="E1585" s="36">
        <f t="shared" si="347"/>
        <v>20</v>
      </c>
      <c r="F1585" s="36">
        <f t="shared" si="347"/>
        <v>0</v>
      </c>
      <c r="G1585" s="36">
        <f t="shared" si="347"/>
        <v>0</v>
      </c>
      <c r="H1585" s="36">
        <f t="shared" si="347"/>
        <v>0</v>
      </c>
      <c r="I1585" s="36">
        <f t="shared" si="347"/>
        <v>0</v>
      </c>
    </row>
    <row r="1586" spans="1:9" x14ac:dyDescent="0.3">
      <c r="A1586" s="60" t="s">
        <v>87</v>
      </c>
      <c r="B1586" s="23" t="s">
        <v>33</v>
      </c>
      <c r="C1586" s="36">
        <f t="shared" si="346"/>
        <v>20</v>
      </c>
      <c r="D1586" s="36">
        <f t="shared" si="347"/>
        <v>0</v>
      </c>
      <c r="E1586" s="36">
        <f t="shared" si="347"/>
        <v>20</v>
      </c>
      <c r="F1586" s="36">
        <f t="shared" si="347"/>
        <v>0</v>
      </c>
      <c r="G1586" s="36">
        <f t="shared" si="347"/>
        <v>0</v>
      </c>
      <c r="H1586" s="36">
        <f t="shared" si="347"/>
        <v>0</v>
      </c>
      <c r="I1586" s="36">
        <f t="shared" si="347"/>
        <v>0</v>
      </c>
    </row>
    <row r="1587" spans="1:9" x14ac:dyDescent="0.3">
      <c r="A1587" s="303" t="s">
        <v>63</v>
      </c>
      <c r="B1587" s="47" t="s">
        <v>32</v>
      </c>
      <c r="C1587" s="48">
        <f t="shared" si="346"/>
        <v>20</v>
      </c>
      <c r="D1587" s="48">
        <f t="shared" si="347"/>
        <v>0</v>
      </c>
      <c r="E1587" s="48">
        <f t="shared" si="347"/>
        <v>20</v>
      </c>
      <c r="F1587" s="48">
        <f t="shared" si="347"/>
        <v>0</v>
      </c>
      <c r="G1587" s="48">
        <f t="shared" si="347"/>
        <v>0</v>
      </c>
      <c r="H1587" s="48">
        <f t="shared" si="347"/>
        <v>0</v>
      </c>
      <c r="I1587" s="48">
        <f t="shared" si="347"/>
        <v>0</v>
      </c>
    </row>
    <row r="1588" spans="1:9" x14ac:dyDescent="0.3">
      <c r="A1588" s="37" t="s">
        <v>35</v>
      </c>
      <c r="B1588" s="53" t="s">
        <v>33</v>
      </c>
      <c r="C1588" s="48">
        <f t="shared" si="346"/>
        <v>20</v>
      </c>
      <c r="D1588" s="48">
        <f t="shared" si="347"/>
        <v>0</v>
      </c>
      <c r="E1588" s="48">
        <f t="shared" si="347"/>
        <v>20</v>
      </c>
      <c r="F1588" s="48">
        <f t="shared" si="347"/>
        <v>0</v>
      </c>
      <c r="G1588" s="48">
        <f t="shared" si="347"/>
        <v>0</v>
      </c>
      <c r="H1588" s="48">
        <f t="shared" si="347"/>
        <v>0</v>
      </c>
      <c r="I1588" s="48">
        <f t="shared" si="347"/>
        <v>0</v>
      </c>
    </row>
    <row r="1589" spans="1:9" ht="12.9" x14ac:dyDescent="0.35">
      <c r="A1589" s="54" t="s">
        <v>40</v>
      </c>
      <c r="B1589" s="35" t="s">
        <v>32</v>
      </c>
      <c r="C1589" s="48">
        <f t="shared" si="346"/>
        <v>20</v>
      </c>
      <c r="D1589" s="48">
        <f t="shared" si="347"/>
        <v>0</v>
      </c>
      <c r="E1589" s="48">
        <f t="shared" si="347"/>
        <v>20</v>
      </c>
      <c r="F1589" s="48">
        <f t="shared" si="347"/>
        <v>0</v>
      </c>
      <c r="G1589" s="48">
        <f t="shared" si="347"/>
        <v>0</v>
      </c>
      <c r="H1589" s="48">
        <f t="shared" si="347"/>
        <v>0</v>
      </c>
      <c r="I1589" s="48">
        <f t="shared" si="347"/>
        <v>0</v>
      </c>
    </row>
    <row r="1590" spans="1:9" ht="12.9" x14ac:dyDescent="0.35">
      <c r="A1590" s="43"/>
      <c r="B1590" s="38" t="s">
        <v>33</v>
      </c>
      <c r="C1590" s="48">
        <f t="shared" si="346"/>
        <v>20</v>
      </c>
      <c r="D1590" s="48">
        <f t="shared" si="347"/>
        <v>0</v>
      </c>
      <c r="E1590" s="48">
        <f t="shared" si="347"/>
        <v>20</v>
      </c>
      <c r="F1590" s="48">
        <f t="shared" si="347"/>
        <v>0</v>
      </c>
      <c r="G1590" s="48">
        <f t="shared" si="347"/>
        <v>0</v>
      </c>
      <c r="H1590" s="48">
        <f t="shared" si="347"/>
        <v>0</v>
      </c>
      <c r="I1590" s="48">
        <f t="shared" si="347"/>
        <v>0</v>
      </c>
    </row>
    <row r="1591" spans="1:9" ht="12.9" x14ac:dyDescent="0.35">
      <c r="A1591" s="383" t="s">
        <v>41</v>
      </c>
      <c r="B1591" s="35" t="s">
        <v>32</v>
      </c>
      <c r="C1591" s="48">
        <f t="shared" si="346"/>
        <v>20</v>
      </c>
      <c r="D1591" s="48">
        <f t="shared" si="347"/>
        <v>0</v>
      </c>
      <c r="E1591" s="48">
        <f t="shared" si="347"/>
        <v>20</v>
      </c>
      <c r="F1591" s="48">
        <f t="shared" si="347"/>
        <v>0</v>
      </c>
      <c r="G1591" s="48">
        <f t="shared" si="347"/>
        <v>0</v>
      </c>
      <c r="H1591" s="48">
        <f t="shared" si="347"/>
        <v>0</v>
      </c>
      <c r="I1591" s="48">
        <f t="shared" si="347"/>
        <v>0</v>
      </c>
    </row>
    <row r="1592" spans="1:9" x14ac:dyDescent="0.3">
      <c r="A1592" s="63"/>
      <c r="B1592" s="38" t="s">
        <v>33</v>
      </c>
      <c r="C1592" s="48">
        <f t="shared" si="346"/>
        <v>20</v>
      </c>
      <c r="D1592" s="48">
        <f t="shared" si="347"/>
        <v>0</v>
      </c>
      <c r="E1592" s="48">
        <f t="shared" si="347"/>
        <v>20</v>
      </c>
      <c r="F1592" s="48">
        <f t="shared" si="347"/>
        <v>0</v>
      </c>
      <c r="G1592" s="48">
        <f t="shared" si="347"/>
        <v>0</v>
      </c>
      <c r="H1592" s="48">
        <f t="shared" si="347"/>
        <v>0</v>
      </c>
      <c r="I1592" s="48">
        <f t="shared" si="347"/>
        <v>0</v>
      </c>
    </row>
    <row r="1593" spans="1:9" s="14" customFormat="1" x14ac:dyDescent="0.3">
      <c r="A1593" s="15" t="s">
        <v>45</v>
      </c>
      <c r="B1593" s="12" t="s">
        <v>32</v>
      </c>
      <c r="C1593" s="36">
        <f t="shared" si="346"/>
        <v>20</v>
      </c>
      <c r="D1593" s="36">
        <f t="shared" si="347"/>
        <v>0</v>
      </c>
      <c r="E1593" s="36">
        <f t="shared" si="347"/>
        <v>20</v>
      </c>
      <c r="F1593" s="36">
        <f t="shared" si="347"/>
        <v>0</v>
      </c>
      <c r="G1593" s="36">
        <f t="shared" si="347"/>
        <v>0</v>
      </c>
      <c r="H1593" s="36">
        <f t="shared" si="347"/>
        <v>0</v>
      </c>
      <c r="I1593" s="36">
        <f t="shared" si="347"/>
        <v>0</v>
      </c>
    </row>
    <row r="1594" spans="1:9" s="14" customFormat="1" x14ac:dyDescent="0.3">
      <c r="A1594" s="127"/>
      <c r="B1594" s="128" t="s">
        <v>33</v>
      </c>
      <c r="C1594" s="122">
        <f t="shared" si="346"/>
        <v>20</v>
      </c>
      <c r="D1594" s="36">
        <f t="shared" si="347"/>
        <v>0</v>
      </c>
      <c r="E1594" s="36">
        <f t="shared" si="347"/>
        <v>20</v>
      </c>
      <c r="F1594" s="36">
        <f t="shared" si="347"/>
        <v>0</v>
      </c>
      <c r="G1594" s="36">
        <f t="shared" si="347"/>
        <v>0</v>
      </c>
      <c r="H1594" s="36">
        <f t="shared" si="347"/>
        <v>0</v>
      </c>
      <c r="I1594" s="36">
        <f t="shared" si="347"/>
        <v>0</v>
      </c>
    </row>
    <row r="1595" spans="1:9" s="126" customFormat="1" ht="28.3" x14ac:dyDescent="0.35">
      <c r="A1595" s="411" t="s">
        <v>601</v>
      </c>
      <c r="B1595" s="124" t="s">
        <v>32</v>
      </c>
      <c r="C1595" s="122">
        <f t="shared" si="346"/>
        <v>20</v>
      </c>
      <c r="D1595" s="122">
        <f>D1597</f>
        <v>0</v>
      </c>
      <c r="E1595" s="122">
        <f t="shared" si="347"/>
        <v>20</v>
      </c>
      <c r="F1595" s="122">
        <f t="shared" si="347"/>
        <v>0</v>
      </c>
      <c r="G1595" s="122">
        <f t="shared" si="347"/>
        <v>0</v>
      </c>
      <c r="H1595" s="122">
        <f t="shared" si="347"/>
        <v>0</v>
      </c>
      <c r="I1595" s="122">
        <f t="shared" si="347"/>
        <v>0</v>
      </c>
    </row>
    <row r="1596" spans="1:9" s="126" customFormat="1" x14ac:dyDescent="0.3">
      <c r="A1596" s="127"/>
      <c r="B1596" s="128" t="s">
        <v>33</v>
      </c>
      <c r="C1596" s="122">
        <f t="shared" si="346"/>
        <v>20</v>
      </c>
      <c r="D1596" s="122">
        <f>D1598</f>
        <v>0</v>
      </c>
      <c r="E1596" s="122">
        <f t="shared" si="347"/>
        <v>20</v>
      </c>
      <c r="F1596" s="122">
        <f t="shared" si="347"/>
        <v>0</v>
      </c>
      <c r="G1596" s="122">
        <f t="shared" si="347"/>
        <v>0</v>
      </c>
      <c r="H1596" s="122">
        <f t="shared" si="347"/>
        <v>0</v>
      </c>
      <c r="I1596" s="122">
        <f t="shared" si="347"/>
        <v>0</v>
      </c>
    </row>
    <row r="1597" spans="1:9" s="147" customFormat="1" ht="16.5" customHeight="1" x14ac:dyDescent="0.3">
      <c r="A1597" s="412" t="s">
        <v>602</v>
      </c>
      <c r="B1597" s="146" t="s">
        <v>32</v>
      </c>
      <c r="C1597" s="143">
        <f t="shared" si="346"/>
        <v>20</v>
      </c>
      <c r="D1597" s="143">
        <v>0</v>
      </c>
      <c r="E1597" s="143">
        <v>20</v>
      </c>
      <c r="F1597" s="143">
        <v>0</v>
      </c>
      <c r="G1597" s="143">
        <v>0</v>
      </c>
      <c r="H1597" s="143">
        <v>0</v>
      </c>
      <c r="I1597" s="143">
        <v>0</v>
      </c>
    </row>
    <row r="1598" spans="1:9" s="145" customFormat="1" x14ac:dyDescent="0.3">
      <c r="A1598" s="302"/>
      <c r="B1598" s="142" t="s">
        <v>33</v>
      </c>
      <c r="C1598" s="143">
        <f t="shared" si="346"/>
        <v>20</v>
      </c>
      <c r="D1598" s="143">
        <v>0</v>
      </c>
      <c r="E1598" s="143">
        <v>20</v>
      </c>
      <c r="F1598" s="143">
        <v>0</v>
      </c>
      <c r="G1598" s="143">
        <v>0</v>
      </c>
      <c r="H1598" s="143">
        <v>0</v>
      </c>
      <c r="I1598" s="143">
        <v>0</v>
      </c>
    </row>
    <row r="1599" spans="1:9" x14ac:dyDescent="0.3">
      <c r="A1599" s="1062" t="s">
        <v>86</v>
      </c>
      <c r="B1599" s="1064"/>
      <c r="C1599" s="1064"/>
      <c r="D1599" s="1064"/>
      <c r="E1599" s="1064"/>
      <c r="F1599" s="1064"/>
      <c r="G1599" s="1064"/>
      <c r="H1599" s="1064"/>
      <c r="I1599" s="1065"/>
    </row>
    <row r="1600" spans="1:9" x14ac:dyDescent="0.3">
      <c r="A1600" s="72" t="s">
        <v>57</v>
      </c>
      <c r="B1600" s="12" t="s">
        <v>32</v>
      </c>
      <c r="C1600" s="36">
        <f t="shared" ref="C1600:C1707" si="348">D1600+E1600+F1600+G1600+H1600+I1600</f>
        <v>4481.0069999999996</v>
      </c>
      <c r="D1600" s="36">
        <f t="shared" ref="D1600:I1607" si="349">D1602</f>
        <v>1746.367</v>
      </c>
      <c r="E1600" s="36">
        <f t="shared" si="349"/>
        <v>1652</v>
      </c>
      <c r="F1600" s="36">
        <f t="shared" si="349"/>
        <v>0</v>
      </c>
      <c r="G1600" s="36">
        <f t="shared" si="349"/>
        <v>0</v>
      </c>
      <c r="H1600" s="36">
        <f t="shared" si="349"/>
        <v>0</v>
      </c>
      <c r="I1600" s="36">
        <f t="shared" si="349"/>
        <v>1082.6399999999999</v>
      </c>
    </row>
    <row r="1601" spans="1:9" x14ac:dyDescent="0.3">
      <c r="A1601" s="60" t="s">
        <v>87</v>
      </c>
      <c r="B1601" s="23" t="s">
        <v>33</v>
      </c>
      <c r="C1601" s="36">
        <f t="shared" si="348"/>
        <v>4481.0069999999996</v>
      </c>
      <c r="D1601" s="36">
        <f t="shared" si="349"/>
        <v>1746.367</v>
      </c>
      <c r="E1601" s="36">
        <f t="shared" si="349"/>
        <v>1652</v>
      </c>
      <c r="F1601" s="36">
        <f t="shared" si="349"/>
        <v>0</v>
      </c>
      <c r="G1601" s="36">
        <f t="shared" si="349"/>
        <v>0</v>
      </c>
      <c r="H1601" s="36">
        <f t="shared" si="349"/>
        <v>0</v>
      </c>
      <c r="I1601" s="36">
        <f t="shared" si="349"/>
        <v>1082.6399999999999</v>
      </c>
    </row>
    <row r="1602" spans="1:9" x14ac:dyDescent="0.3">
      <c r="A1602" s="34" t="s">
        <v>471</v>
      </c>
      <c r="B1602" s="47" t="s">
        <v>32</v>
      </c>
      <c r="C1602" s="48">
        <f t="shared" si="348"/>
        <v>4481.0069999999996</v>
      </c>
      <c r="D1602" s="48">
        <f t="shared" si="349"/>
        <v>1746.367</v>
      </c>
      <c r="E1602" s="48">
        <f t="shared" si="349"/>
        <v>1652</v>
      </c>
      <c r="F1602" s="48">
        <f t="shared" si="349"/>
        <v>0</v>
      </c>
      <c r="G1602" s="48">
        <f t="shared" si="349"/>
        <v>0</v>
      </c>
      <c r="H1602" s="48">
        <f t="shared" si="349"/>
        <v>0</v>
      </c>
      <c r="I1602" s="48">
        <f t="shared" si="349"/>
        <v>1082.6399999999999</v>
      </c>
    </row>
    <row r="1603" spans="1:9" x14ac:dyDescent="0.3">
      <c r="A1603" s="37" t="s">
        <v>35</v>
      </c>
      <c r="B1603" s="53" t="s">
        <v>33</v>
      </c>
      <c r="C1603" s="48">
        <f t="shared" si="348"/>
        <v>4481.0069999999996</v>
      </c>
      <c r="D1603" s="48">
        <f t="shared" si="349"/>
        <v>1746.367</v>
      </c>
      <c r="E1603" s="48">
        <f t="shared" si="349"/>
        <v>1652</v>
      </c>
      <c r="F1603" s="48">
        <f t="shared" si="349"/>
        <v>0</v>
      </c>
      <c r="G1603" s="48">
        <f t="shared" si="349"/>
        <v>0</v>
      </c>
      <c r="H1603" s="48">
        <f t="shared" si="349"/>
        <v>0</v>
      </c>
      <c r="I1603" s="48">
        <f t="shared" si="349"/>
        <v>1082.6399999999999</v>
      </c>
    </row>
    <row r="1604" spans="1:9" ht="12.9" x14ac:dyDescent="0.35">
      <c r="A1604" s="54" t="s">
        <v>40</v>
      </c>
      <c r="B1604" s="35" t="s">
        <v>32</v>
      </c>
      <c r="C1604" s="48">
        <f t="shared" si="348"/>
        <v>4481.0069999999996</v>
      </c>
      <c r="D1604" s="48">
        <f t="shared" si="349"/>
        <v>1746.367</v>
      </c>
      <c r="E1604" s="48">
        <f t="shared" si="349"/>
        <v>1652</v>
      </c>
      <c r="F1604" s="48">
        <f t="shared" si="349"/>
        <v>0</v>
      </c>
      <c r="G1604" s="48">
        <f t="shared" si="349"/>
        <v>0</v>
      </c>
      <c r="H1604" s="48">
        <f t="shared" si="349"/>
        <v>0</v>
      </c>
      <c r="I1604" s="48">
        <f t="shared" si="349"/>
        <v>1082.6399999999999</v>
      </c>
    </row>
    <row r="1605" spans="1:9" ht="12.9" x14ac:dyDescent="0.35">
      <c r="A1605" s="43"/>
      <c r="B1605" s="38" t="s">
        <v>33</v>
      </c>
      <c r="C1605" s="48">
        <f t="shared" si="348"/>
        <v>4481.0069999999996</v>
      </c>
      <c r="D1605" s="48">
        <f t="shared" si="349"/>
        <v>1746.367</v>
      </c>
      <c r="E1605" s="48">
        <f t="shared" si="349"/>
        <v>1652</v>
      </c>
      <c r="F1605" s="48">
        <f t="shared" si="349"/>
        <v>0</v>
      </c>
      <c r="G1605" s="48">
        <f t="shared" si="349"/>
        <v>0</v>
      </c>
      <c r="H1605" s="48">
        <f t="shared" si="349"/>
        <v>0</v>
      </c>
      <c r="I1605" s="48">
        <f t="shared" si="349"/>
        <v>1082.6399999999999</v>
      </c>
    </row>
    <row r="1606" spans="1:9" ht="12.9" x14ac:dyDescent="0.35">
      <c r="A1606" s="383" t="s">
        <v>41</v>
      </c>
      <c r="B1606" s="35" t="s">
        <v>32</v>
      </c>
      <c r="C1606" s="48">
        <f t="shared" si="348"/>
        <v>4481.0069999999996</v>
      </c>
      <c r="D1606" s="48">
        <f t="shared" si="349"/>
        <v>1746.367</v>
      </c>
      <c r="E1606" s="48">
        <f t="shared" si="349"/>
        <v>1652</v>
      </c>
      <c r="F1606" s="48">
        <f t="shared" si="349"/>
        <v>0</v>
      </c>
      <c r="G1606" s="48">
        <f t="shared" si="349"/>
        <v>0</v>
      </c>
      <c r="H1606" s="48">
        <f t="shared" si="349"/>
        <v>0</v>
      </c>
      <c r="I1606" s="48">
        <f t="shared" si="349"/>
        <v>1082.6399999999999</v>
      </c>
    </row>
    <row r="1607" spans="1:9" x14ac:dyDescent="0.3">
      <c r="A1607" s="63"/>
      <c r="B1607" s="38" t="s">
        <v>33</v>
      </c>
      <c r="C1607" s="48">
        <f t="shared" si="348"/>
        <v>4481.0069999999996</v>
      </c>
      <c r="D1607" s="48">
        <f t="shared" si="349"/>
        <v>1746.367</v>
      </c>
      <c r="E1607" s="48">
        <f t="shared" si="349"/>
        <v>1652</v>
      </c>
      <c r="F1607" s="48">
        <f t="shared" si="349"/>
        <v>0</v>
      </c>
      <c r="G1607" s="48">
        <f t="shared" si="349"/>
        <v>0</v>
      </c>
      <c r="H1607" s="48">
        <f t="shared" si="349"/>
        <v>0</v>
      </c>
      <c r="I1607" s="48">
        <f t="shared" si="349"/>
        <v>1082.6399999999999</v>
      </c>
    </row>
    <row r="1608" spans="1:9" s="14" customFormat="1" x14ac:dyDescent="0.3">
      <c r="A1608" s="15" t="s">
        <v>45</v>
      </c>
      <c r="B1608" s="12" t="s">
        <v>32</v>
      </c>
      <c r="C1608" s="36">
        <f t="shared" si="348"/>
        <v>4481.0069999999996</v>
      </c>
      <c r="D1608" s="36">
        <f t="shared" ref="D1608:I1609" si="350">D1610+D1656+D1686+D1706+D1718+D1724+D1740+D1746</f>
        <v>1746.367</v>
      </c>
      <c r="E1608" s="36">
        <f t="shared" si="350"/>
        <v>1652</v>
      </c>
      <c r="F1608" s="36">
        <f t="shared" si="350"/>
        <v>0</v>
      </c>
      <c r="G1608" s="36">
        <f t="shared" si="350"/>
        <v>0</v>
      </c>
      <c r="H1608" s="36">
        <f t="shared" si="350"/>
        <v>0</v>
      </c>
      <c r="I1608" s="36">
        <f t="shared" si="350"/>
        <v>1082.6399999999999</v>
      </c>
    </row>
    <row r="1609" spans="1:9" s="14" customFormat="1" x14ac:dyDescent="0.3">
      <c r="A1609" s="127"/>
      <c r="B1609" s="128" t="s">
        <v>33</v>
      </c>
      <c r="C1609" s="122">
        <f t="shared" si="348"/>
        <v>4481.0069999999996</v>
      </c>
      <c r="D1609" s="36">
        <f t="shared" si="350"/>
        <v>1746.367</v>
      </c>
      <c r="E1609" s="36">
        <f t="shared" si="350"/>
        <v>1652</v>
      </c>
      <c r="F1609" s="36">
        <f t="shared" si="350"/>
        <v>0</v>
      </c>
      <c r="G1609" s="36">
        <f t="shared" si="350"/>
        <v>0</v>
      </c>
      <c r="H1609" s="36">
        <f t="shared" si="350"/>
        <v>0</v>
      </c>
      <c r="I1609" s="36">
        <f t="shared" si="350"/>
        <v>1082.6399999999999</v>
      </c>
    </row>
    <row r="1610" spans="1:9" s="126" customFormat="1" x14ac:dyDescent="0.3">
      <c r="A1610" s="308" t="s">
        <v>327</v>
      </c>
      <c r="B1610" s="124" t="s">
        <v>32</v>
      </c>
      <c r="C1610" s="122">
        <f t="shared" si="348"/>
        <v>1879.152</v>
      </c>
      <c r="D1610" s="122">
        <f>D1614+D1616+D1618+D1620+D1622+D1624+D1626+D1628+D1630+D1632+D1634+D1636+D1638+D1640+D1642+D1644+D1646+D1648+D1650+D1652+D1654</f>
        <v>918.98199999999997</v>
      </c>
      <c r="E1610" s="122">
        <f t="shared" ref="E1610:I1611" si="351">E1614+E1616+E1618+E1620+E1622+E1624+E1626+E1628+E1630+E1632+E1634+E1636+E1638+E1640+E1642+E1644+E1646+E1648+E1650+E1652+E1654</f>
        <v>110</v>
      </c>
      <c r="F1610" s="122">
        <f t="shared" si="351"/>
        <v>0</v>
      </c>
      <c r="G1610" s="122">
        <f t="shared" si="351"/>
        <v>0</v>
      </c>
      <c r="H1610" s="122">
        <f t="shared" si="351"/>
        <v>0</v>
      </c>
      <c r="I1610" s="122">
        <f t="shared" si="351"/>
        <v>850.17</v>
      </c>
    </row>
    <row r="1611" spans="1:9" s="126" customFormat="1" x14ac:dyDescent="0.3">
      <c r="A1611" s="127"/>
      <c r="B1611" s="128" t="s">
        <v>33</v>
      </c>
      <c r="C1611" s="122">
        <f t="shared" si="348"/>
        <v>1879.152</v>
      </c>
      <c r="D1611" s="122">
        <f>D1615+D1617+D1619+D1621+D1623+D1625+D1627+D1629+D1631+D1633+D1635+D1637+D1639+D1641+D1643+D1645+D1647+D1649+D1651+D1653+D1655</f>
        <v>918.98199999999997</v>
      </c>
      <c r="E1611" s="122">
        <f t="shared" si="351"/>
        <v>110</v>
      </c>
      <c r="F1611" s="122">
        <f t="shared" si="351"/>
        <v>0</v>
      </c>
      <c r="G1611" s="122">
        <f t="shared" si="351"/>
        <v>0</v>
      </c>
      <c r="H1611" s="122">
        <f t="shared" si="351"/>
        <v>0</v>
      </c>
      <c r="I1611" s="122">
        <f t="shared" si="351"/>
        <v>850.17</v>
      </c>
    </row>
    <row r="1612" spans="1:9" hidden="1" x14ac:dyDescent="0.3">
      <c r="A1612" s="413"/>
      <c r="B1612" s="47"/>
      <c r="C1612" s="48"/>
      <c r="D1612" s="48"/>
      <c r="E1612" s="48"/>
      <c r="F1612" s="48"/>
      <c r="G1612" s="48"/>
      <c r="H1612" s="48"/>
      <c r="I1612" s="48"/>
    </row>
    <row r="1613" spans="1:9" hidden="1" x14ac:dyDescent="0.3">
      <c r="A1613" s="63"/>
      <c r="B1613" s="53"/>
      <c r="C1613" s="48"/>
      <c r="D1613" s="48"/>
      <c r="E1613" s="48"/>
      <c r="F1613" s="48"/>
      <c r="G1613" s="48"/>
      <c r="H1613" s="48"/>
      <c r="I1613" s="48"/>
    </row>
    <row r="1614" spans="1:9" ht="37.299999999999997" x14ac:dyDescent="0.3">
      <c r="A1614" s="83" t="s">
        <v>603</v>
      </c>
      <c r="B1614" s="47" t="s">
        <v>32</v>
      </c>
      <c r="C1614" s="48">
        <f t="shared" si="348"/>
        <v>460</v>
      </c>
      <c r="D1614" s="48">
        <f>D1615</f>
        <v>41.42</v>
      </c>
      <c r="E1614" s="48">
        <f>E1615</f>
        <v>0</v>
      </c>
      <c r="F1614" s="48">
        <v>0</v>
      </c>
      <c r="G1614" s="48">
        <v>0</v>
      </c>
      <c r="H1614" s="48">
        <v>0</v>
      </c>
      <c r="I1614" s="48">
        <f>I1615</f>
        <v>418.58</v>
      </c>
    </row>
    <row r="1615" spans="1:9" x14ac:dyDescent="0.3">
      <c r="A1615" s="63"/>
      <c r="B1615" s="53" t="s">
        <v>33</v>
      </c>
      <c r="C1615" s="48">
        <f t="shared" si="348"/>
        <v>460</v>
      </c>
      <c r="D1615" s="48">
        <v>41.42</v>
      </c>
      <c r="E1615" s="48">
        <v>0</v>
      </c>
      <c r="F1615" s="48">
        <v>0</v>
      </c>
      <c r="G1615" s="48">
        <v>0</v>
      </c>
      <c r="H1615" s="48">
        <v>0</v>
      </c>
      <c r="I1615" s="48">
        <v>418.58</v>
      </c>
    </row>
    <row r="1616" spans="1:9" s="42" customFormat="1" x14ac:dyDescent="0.3">
      <c r="A1616" s="414" t="s">
        <v>604</v>
      </c>
      <c r="B1616" s="40" t="s">
        <v>32</v>
      </c>
      <c r="C1616" s="41">
        <f t="shared" si="348"/>
        <v>10</v>
      </c>
      <c r="D1616" s="41">
        <v>10</v>
      </c>
      <c r="E1616" s="41">
        <v>0</v>
      </c>
      <c r="F1616" s="41">
        <v>0</v>
      </c>
      <c r="G1616" s="41">
        <v>0</v>
      </c>
      <c r="H1616" s="41">
        <v>0</v>
      </c>
      <c r="I1616" s="41">
        <v>0</v>
      </c>
    </row>
    <row r="1617" spans="1:9" s="42" customFormat="1" x14ac:dyDescent="0.3">
      <c r="A1617" s="302"/>
      <c r="B1617" s="53" t="s">
        <v>33</v>
      </c>
      <c r="C1617" s="41">
        <f t="shared" si="348"/>
        <v>10</v>
      </c>
      <c r="D1617" s="41">
        <v>10</v>
      </c>
      <c r="E1617" s="41">
        <v>0</v>
      </c>
      <c r="F1617" s="41">
        <v>0</v>
      </c>
      <c r="G1617" s="41">
        <v>0</v>
      </c>
      <c r="H1617" s="41">
        <v>0</v>
      </c>
      <c r="I1617" s="41">
        <v>0</v>
      </c>
    </row>
    <row r="1618" spans="1:9" s="42" customFormat="1" x14ac:dyDescent="0.3">
      <c r="A1618" s="414" t="s">
        <v>605</v>
      </c>
      <c r="B1618" s="40" t="s">
        <v>32</v>
      </c>
      <c r="C1618" s="41">
        <f t="shared" si="348"/>
        <v>71.400000000000006</v>
      </c>
      <c r="D1618" s="41">
        <v>71.400000000000006</v>
      </c>
      <c r="E1618" s="41">
        <v>0</v>
      </c>
      <c r="F1618" s="41">
        <v>0</v>
      </c>
      <c r="G1618" s="41">
        <v>0</v>
      </c>
      <c r="H1618" s="41">
        <v>0</v>
      </c>
      <c r="I1618" s="41">
        <v>0</v>
      </c>
    </row>
    <row r="1619" spans="1:9" s="42" customFormat="1" x14ac:dyDescent="0.3">
      <c r="A1619" s="302"/>
      <c r="B1619" s="53" t="s">
        <v>33</v>
      </c>
      <c r="C1619" s="41">
        <f t="shared" si="348"/>
        <v>71.400000000000006</v>
      </c>
      <c r="D1619" s="41">
        <v>71.400000000000006</v>
      </c>
      <c r="E1619" s="41">
        <v>0</v>
      </c>
      <c r="F1619" s="41">
        <v>0</v>
      </c>
      <c r="G1619" s="41">
        <v>0</v>
      </c>
      <c r="H1619" s="41">
        <v>0</v>
      </c>
      <c r="I1619" s="41">
        <v>0</v>
      </c>
    </row>
    <row r="1620" spans="1:9" s="42" customFormat="1" x14ac:dyDescent="0.3">
      <c r="A1620" s="414" t="s">
        <v>606</v>
      </c>
      <c r="B1620" s="40" t="s">
        <v>32</v>
      </c>
      <c r="C1620" s="41">
        <f t="shared" si="348"/>
        <v>244.00200000000001</v>
      </c>
      <c r="D1620" s="41">
        <v>41.411999999999999</v>
      </c>
      <c r="E1620" s="41">
        <v>0</v>
      </c>
      <c r="F1620" s="41">
        <v>0</v>
      </c>
      <c r="G1620" s="41">
        <v>0</v>
      </c>
      <c r="H1620" s="41">
        <v>0</v>
      </c>
      <c r="I1620" s="41">
        <f>244-41.41</f>
        <v>202.59</v>
      </c>
    </row>
    <row r="1621" spans="1:9" s="42" customFormat="1" x14ac:dyDescent="0.3">
      <c r="A1621" s="302"/>
      <c r="B1621" s="53" t="s">
        <v>33</v>
      </c>
      <c r="C1621" s="41">
        <f t="shared" si="348"/>
        <v>244.00200000000001</v>
      </c>
      <c r="D1621" s="41">
        <v>41.411999999999999</v>
      </c>
      <c r="E1621" s="41">
        <v>0</v>
      </c>
      <c r="F1621" s="41">
        <v>0</v>
      </c>
      <c r="G1621" s="41">
        <v>0</v>
      </c>
      <c r="H1621" s="41">
        <v>0</v>
      </c>
      <c r="I1621" s="41">
        <f>244-41.41</f>
        <v>202.59</v>
      </c>
    </row>
    <row r="1622" spans="1:9" s="260" customFormat="1" x14ac:dyDescent="0.3">
      <c r="A1622" s="325" t="s">
        <v>607</v>
      </c>
      <c r="B1622" s="92" t="s">
        <v>32</v>
      </c>
      <c r="C1622" s="179">
        <f t="shared" si="348"/>
        <v>118</v>
      </c>
      <c r="D1622" s="179">
        <v>118</v>
      </c>
      <c r="E1622" s="48">
        <v>0</v>
      </c>
      <c r="F1622" s="179">
        <v>0</v>
      </c>
      <c r="G1622" s="179">
        <v>0</v>
      </c>
      <c r="H1622" s="179">
        <v>0</v>
      </c>
      <c r="I1622" s="179">
        <v>0</v>
      </c>
    </row>
    <row r="1623" spans="1:9" s="260" customFormat="1" x14ac:dyDescent="0.3">
      <c r="A1623" s="120"/>
      <c r="B1623" s="95" t="s">
        <v>33</v>
      </c>
      <c r="C1623" s="179">
        <f t="shared" si="348"/>
        <v>118</v>
      </c>
      <c r="D1623" s="179">
        <v>118</v>
      </c>
      <c r="E1623" s="48">
        <v>0</v>
      </c>
      <c r="F1623" s="179">
        <v>0</v>
      </c>
      <c r="G1623" s="179">
        <v>0</v>
      </c>
      <c r="H1623" s="179">
        <v>0</v>
      </c>
      <c r="I1623" s="179">
        <v>0</v>
      </c>
    </row>
    <row r="1624" spans="1:9" s="42" customFormat="1" x14ac:dyDescent="0.3">
      <c r="A1624" s="414" t="s">
        <v>608</v>
      </c>
      <c r="B1624" s="40" t="s">
        <v>32</v>
      </c>
      <c r="C1624" s="41">
        <f t="shared" si="348"/>
        <v>37</v>
      </c>
      <c r="D1624" s="41">
        <v>37</v>
      </c>
      <c r="E1624" s="41">
        <v>0</v>
      </c>
      <c r="F1624" s="41">
        <v>0</v>
      </c>
      <c r="G1624" s="41">
        <v>0</v>
      </c>
      <c r="H1624" s="41">
        <v>0</v>
      </c>
      <c r="I1624" s="41">
        <v>0</v>
      </c>
    </row>
    <row r="1625" spans="1:9" s="42" customFormat="1" x14ac:dyDescent="0.3">
      <c r="A1625" s="302"/>
      <c r="B1625" s="53" t="s">
        <v>33</v>
      </c>
      <c r="C1625" s="41">
        <f t="shared" si="348"/>
        <v>37</v>
      </c>
      <c r="D1625" s="41">
        <v>37</v>
      </c>
      <c r="E1625" s="41">
        <v>0</v>
      </c>
      <c r="F1625" s="41">
        <v>0</v>
      </c>
      <c r="G1625" s="41">
        <v>0</v>
      </c>
      <c r="H1625" s="41">
        <v>0</v>
      </c>
      <c r="I1625" s="41">
        <v>0</v>
      </c>
    </row>
    <row r="1626" spans="1:9" s="42" customFormat="1" ht="24.9" x14ac:dyDescent="0.3">
      <c r="A1626" s="393" t="s">
        <v>609</v>
      </c>
      <c r="B1626" s="40" t="s">
        <v>32</v>
      </c>
      <c r="C1626" s="41">
        <f t="shared" si="348"/>
        <v>380</v>
      </c>
      <c r="D1626" s="41">
        <v>163</v>
      </c>
      <c r="E1626" s="41">
        <v>0</v>
      </c>
      <c r="F1626" s="41">
        <v>0</v>
      </c>
      <c r="G1626" s="41">
        <v>0</v>
      </c>
      <c r="H1626" s="41">
        <v>0</v>
      </c>
      <c r="I1626" s="41">
        <f>380-163</f>
        <v>217</v>
      </c>
    </row>
    <row r="1627" spans="1:9" s="42" customFormat="1" x14ac:dyDescent="0.3">
      <c r="A1627" s="302"/>
      <c r="B1627" s="53" t="s">
        <v>33</v>
      </c>
      <c r="C1627" s="41">
        <f t="shared" si="348"/>
        <v>380</v>
      </c>
      <c r="D1627" s="41">
        <v>163</v>
      </c>
      <c r="E1627" s="41">
        <v>0</v>
      </c>
      <c r="F1627" s="41">
        <v>0</v>
      </c>
      <c r="G1627" s="41">
        <v>0</v>
      </c>
      <c r="H1627" s="41">
        <v>0</v>
      </c>
      <c r="I1627" s="41">
        <f>380-163</f>
        <v>217</v>
      </c>
    </row>
    <row r="1628" spans="1:9" s="42" customFormat="1" ht="29.25" customHeight="1" x14ac:dyDescent="0.3">
      <c r="A1628" s="415" t="s">
        <v>610</v>
      </c>
      <c r="B1628" s="47" t="s">
        <v>32</v>
      </c>
      <c r="C1628" s="41">
        <f t="shared" si="348"/>
        <v>17</v>
      </c>
      <c r="D1628" s="41">
        <v>5</v>
      </c>
      <c r="E1628" s="41">
        <v>0</v>
      </c>
      <c r="F1628" s="41">
        <v>0</v>
      </c>
      <c r="G1628" s="41">
        <v>0</v>
      </c>
      <c r="H1628" s="41">
        <v>0</v>
      </c>
      <c r="I1628" s="41">
        <f>17-5</f>
        <v>12</v>
      </c>
    </row>
    <row r="1629" spans="1:9" s="42" customFormat="1" x14ac:dyDescent="0.3">
      <c r="A1629" s="302"/>
      <c r="B1629" s="53" t="s">
        <v>33</v>
      </c>
      <c r="C1629" s="41">
        <f t="shared" si="348"/>
        <v>17</v>
      </c>
      <c r="D1629" s="41">
        <v>5</v>
      </c>
      <c r="E1629" s="41">
        <v>0</v>
      </c>
      <c r="F1629" s="41">
        <v>0</v>
      </c>
      <c r="G1629" s="41">
        <v>0</v>
      </c>
      <c r="H1629" s="41">
        <v>0</v>
      </c>
      <c r="I1629" s="41">
        <f>17-5</f>
        <v>12</v>
      </c>
    </row>
    <row r="1630" spans="1:9" s="42" customFormat="1" ht="28.3" x14ac:dyDescent="0.3">
      <c r="A1630" s="416" t="s">
        <v>611</v>
      </c>
      <c r="B1630" s="47" t="s">
        <v>32</v>
      </c>
      <c r="C1630" s="41">
        <f t="shared" si="348"/>
        <v>4.5</v>
      </c>
      <c r="D1630" s="41">
        <v>4.5</v>
      </c>
      <c r="E1630" s="41">
        <v>0</v>
      </c>
      <c r="F1630" s="41">
        <v>0</v>
      </c>
      <c r="G1630" s="41">
        <v>0</v>
      </c>
      <c r="H1630" s="41">
        <v>0</v>
      </c>
      <c r="I1630" s="41">
        <v>0</v>
      </c>
    </row>
    <row r="1631" spans="1:9" s="42" customFormat="1" x14ac:dyDescent="0.3">
      <c r="A1631" s="302"/>
      <c r="B1631" s="53" t="s">
        <v>33</v>
      </c>
      <c r="C1631" s="41">
        <f t="shared" si="348"/>
        <v>4.5</v>
      </c>
      <c r="D1631" s="41">
        <v>4.5</v>
      </c>
      <c r="E1631" s="41">
        <v>0</v>
      </c>
      <c r="F1631" s="41">
        <v>0</v>
      </c>
      <c r="G1631" s="41">
        <v>0</v>
      </c>
      <c r="H1631" s="41">
        <v>0</v>
      </c>
      <c r="I1631" s="41">
        <v>0</v>
      </c>
    </row>
    <row r="1632" spans="1:9" s="145" customFormat="1" ht="24.9" x14ac:dyDescent="0.3">
      <c r="A1632" s="417" t="s">
        <v>612</v>
      </c>
      <c r="B1632" s="110" t="s">
        <v>32</v>
      </c>
      <c r="C1632" s="143">
        <f t="shared" si="348"/>
        <v>208</v>
      </c>
      <c r="D1632" s="143">
        <v>208</v>
      </c>
      <c r="E1632" s="41">
        <v>0</v>
      </c>
      <c r="F1632" s="143">
        <v>0</v>
      </c>
      <c r="G1632" s="143">
        <v>0</v>
      </c>
      <c r="H1632" s="143">
        <v>0</v>
      </c>
      <c r="I1632" s="143">
        <v>0</v>
      </c>
    </row>
    <row r="1633" spans="1:14" s="145" customFormat="1" x14ac:dyDescent="0.3">
      <c r="A1633" s="120"/>
      <c r="B1633" s="70" t="s">
        <v>33</v>
      </c>
      <c r="C1633" s="143">
        <f t="shared" si="348"/>
        <v>208</v>
      </c>
      <c r="D1633" s="143">
        <v>208</v>
      </c>
      <c r="E1633" s="41">
        <v>0</v>
      </c>
      <c r="F1633" s="143">
        <v>0</v>
      </c>
      <c r="G1633" s="143">
        <v>0</v>
      </c>
      <c r="H1633" s="143">
        <v>0</v>
      </c>
      <c r="I1633" s="143">
        <v>0</v>
      </c>
    </row>
    <row r="1634" spans="1:14" s="145" customFormat="1" x14ac:dyDescent="0.3">
      <c r="A1634" s="325" t="s">
        <v>613</v>
      </c>
      <c r="B1634" s="110" t="s">
        <v>32</v>
      </c>
      <c r="C1634" s="143">
        <f t="shared" si="348"/>
        <v>11</v>
      </c>
      <c r="D1634" s="143">
        <v>11</v>
      </c>
      <c r="E1634" s="41">
        <v>0</v>
      </c>
      <c r="F1634" s="143">
        <v>0</v>
      </c>
      <c r="G1634" s="143">
        <v>0</v>
      </c>
      <c r="H1634" s="143">
        <v>0</v>
      </c>
      <c r="I1634" s="143">
        <v>0</v>
      </c>
    </row>
    <row r="1635" spans="1:14" s="145" customFormat="1" x14ac:dyDescent="0.3">
      <c r="A1635" s="120"/>
      <c r="B1635" s="70" t="s">
        <v>33</v>
      </c>
      <c r="C1635" s="143">
        <f t="shared" si="348"/>
        <v>11</v>
      </c>
      <c r="D1635" s="143">
        <v>11</v>
      </c>
      <c r="E1635" s="41">
        <v>0</v>
      </c>
      <c r="F1635" s="143">
        <v>0</v>
      </c>
      <c r="G1635" s="143">
        <v>0</v>
      </c>
      <c r="H1635" s="143">
        <v>0</v>
      </c>
      <c r="I1635" s="143">
        <v>0</v>
      </c>
    </row>
    <row r="1636" spans="1:14" s="145" customFormat="1" x14ac:dyDescent="0.3">
      <c r="A1636" s="325" t="s">
        <v>614</v>
      </c>
      <c r="B1636" s="110" t="s">
        <v>32</v>
      </c>
      <c r="C1636" s="143">
        <f t="shared" si="348"/>
        <v>13</v>
      </c>
      <c r="D1636" s="143">
        <v>13</v>
      </c>
      <c r="E1636" s="41">
        <v>0</v>
      </c>
      <c r="F1636" s="143">
        <v>0</v>
      </c>
      <c r="G1636" s="143">
        <v>0</v>
      </c>
      <c r="H1636" s="143">
        <v>0</v>
      </c>
      <c r="I1636" s="143">
        <v>0</v>
      </c>
    </row>
    <row r="1637" spans="1:14" s="145" customFormat="1" x14ac:dyDescent="0.3">
      <c r="A1637" s="120"/>
      <c r="B1637" s="70" t="s">
        <v>33</v>
      </c>
      <c r="C1637" s="143">
        <f t="shared" si="348"/>
        <v>13</v>
      </c>
      <c r="D1637" s="143">
        <v>13</v>
      </c>
      <c r="E1637" s="41">
        <v>0</v>
      </c>
      <c r="F1637" s="143">
        <v>0</v>
      </c>
      <c r="G1637" s="143">
        <v>0</v>
      </c>
      <c r="H1637" s="143">
        <v>0</v>
      </c>
      <c r="I1637" s="143">
        <v>0</v>
      </c>
    </row>
    <row r="1638" spans="1:14" s="145" customFormat="1" ht="24.9" x14ac:dyDescent="0.3">
      <c r="A1638" s="114" t="s">
        <v>615</v>
      </c>
      <c r="B1638" s="110" t="s">
        <v>32</v>
      </c>
      <c r="C1638" s="143">
        <f t="shared" si="348"/>
        <v>9</v>
      </c>
      <c r="D1638" s="143">
        <v>9</v>
      </c>
      <c r="E1638" s="41">
        <v>0</v>
      </c>
      <c r="F1638" s="143">
        <v>0</v>
      </c>
      <c r="G1638" s="143">
        <v>0</v>
      </c>
      <c r="H1638" s="143">
        <v>0</v>
      </c>
      <c r="I1638" s="143">
        <v>0</v>
      </c>
    </row>
    <row r="1639" spans="1:14" s="145" customFormat="1" x14ac:dyDescent="0.3">
      <c r="A1639" s="120"/>
      <c r="B1639" s="70" t="s">
        <v>33</v>
      </c>
      <c r="C1639" s="143">
        <f t="shared" si="348"/>
        <v>9</v>
      </c>
      <c r="D1639" s="143">
        <v>9</v>
      </c>
      <c r="E1639" s="41">
        <v>0</v>
      </c>
      <c r="F1639" s="143">
        <v>0</v>
      </c>
      <c r="G1639" s="143">
        <v>0</v>
      </c>
      <c r="H1639" s="143">
        <v>0</v>
      </c>
      <c r="I1639" s="143">
        <v>0</v>
      </c>
    </row>
    <row r="1640" spans="1:14" s="145" customFormat="1" ht="37.299999999999997" x14ac:dyDescent="0.3">
      <c r="A1640" s="114" t="s">
        <v>616</v>
      </c>
      <c r="B1640" s="110" t="s">
        <v>32</v>
      </c>
      <c r="C1640" s="143">
        <f t="shared" si="348"/>
        <v>15</v>
      </c>
      <c r="D1640" s="143">
        <v>15</v>
      </c>
      <c r="E1640" s="41">
        <v>0</v>
      </c>
      <c r="F1640" s="143">
        <v>0</v>
      </c>
      <c r="G1640" s="143">
        <v>0</v>
      </c>
      <c r="H1640" s="143">
        <v>0</v>
      </c>
      <c r="I1640" s="143">
        <v>0</v>
      </c>
    </row>
    <row r="1641" spans="1:14" s="145" customFormat="1" x14ac:dyDescent="0.3">
      <c r="A1641" s="120"/>
      <c r="B1641" s="70" t="s">
        <v>33</v>
      </c>
      <c r="C1641" s="143">
        <f t="shared" si="348"/>
        <v>15</v>
      </c>
      <c r="D1641" s="143">
        <v>15</v>
      </c>
      <c r="E1641" s="41">
        <v>0</v>
      </c>
      <c r="F1641" s="143">
        <v>0</v>
      </c>
      <c r="G1641" s="143">
        <v>0</v>
      </c>
      <c r="H1641" s="143">
        <v>0</v>
      </c>
      <c r="I1641" s="143">
        <v>0</v>
      </c>
    </row>
    <row r="1642" spans="1:14" s="147" customFormat="1" x14ac:dyDescent="0.3">
      <c r="A1642" s="325" t="s">
        <v>617</v>
      </c>
      <c r="B1642" s="110" t="s">
        <v>32</v>
      </c>
      <c r="C1642" s="143">
        <f t="shared" si="348"/>
        <v>150</v>
      </c>
      <c r="D1642" s="143">
        <v>150</v>
      </c>
      <c r="E1642" s="41">
        <v>0</v>
      </c>
      <c r="F1642" s="143">
        <v>0</v>
      </c>
      <c r="G1642" s="143">
        <v>0</v>
      </c>
      <c r="H1642" s="143">
        <v>0</v>
      </c>
      <c r="I1642" s="143">
        <v>0</v>
      </c>
    </row>
    <row r="1643" spans="1:14" s="147" customFormat="1" x14ac:dyDescent="0.3">
      <c r="A1643" s="120"/>
      <c r="B1643" s="70" t="s">
        <v>33</v>
      </c>
      <c r="C1643" s="143">
        <f t="shared" si="348"/>
        <v>150</v>
      </c>
      <c r="D1643" s="143">
        <v>150</v>
      </c>
      <c r="E1643" s="41">
        <v>0</v>
      </c>
      <c r="F1643" s="143">
        <v>0</v>
      </c>
      <c r="G1643" s="143">
        <v>0</v>
      </c>
      <c r="H1643" s="143">
        <v>0</v>
      </c>
      <c r="I1643" s="143">
        <v>0</v>
      </c>
    </row>
    <row r="1644" spans="1:14" s="145" customFormat="1" ht="41.25" customHeight="1" x14ac:dyDescent="0.3">
      <c r="A1644" s="112" t="s">
        <v>618</v>
      </c>
      <c r="B1644" s="40" t="s">
        <v>32</v>
      </c>
      <c r="C1644" s="143">
        <f t="shared" si="348"/>
        <v>7</v>
      </c>
      <c r="D1644" s="143">
        <v>7</v>
      </c>
      <c r="E1644" s="41">
        <v>0</v>
      </c>
      <c r="F1644" s="143">
        <v>0</v>
      </c>
      <c r="G1644" s="143">
        <v>0</v>
      </c>
      <c r="H1644" s="143">
        <v>0</v>
      </c>
      <c r="I1644" s="143">
        <v>0</v>
      </c>
    </row>
    <row r="1645" spans="1:14" s="145" customFormat="1" x14ac:dyDescent="0.3">
      <c r="A1645" s="63"/>
      <c r="B1645" s="44" t="s">
        <v>33</v>
      </c>
      <c r="C1645" s="143">
        <f t="shared" si="348"/>
        <v>7</v>
      </c>
      <c r="D1645" s="143">
        <v>7</v>
      </c>
      <c r="E1645" s="41">
        <v>0</v>
      </c>
      <c r="F1645" s="143">
        <v>0</v>
      </c>
      <c r="G1645" s="143">
        <v>0</v>
      </c>
      <c r="H1645" s="143">
        <v>0</v>
      </c>
      <c r="I1645" s="143">
        <v>0</v>
      </c>
    </row>
    <row r="1646" spans="1:14" s="147" customFormat="1" ht="30" customHeight="1" x14ac:dyDescent="0.3">
      <c r="A1646" s="418" t="s">
        <v>619</v>
      </c>
      <c r="B1646" s="40" t="s">
        <v>32</v>
      </c>
      <c r="C1646" s="143">
        <f t="shared" si="348"/>
        <v>14.25</v>
      </c>
      <c r="D1646" s="143">
        <v>14.25</v>
      </c>
      <c r="E1646" s="41">
        <v>0</v>
      </c>
      <c r="F1646" s="143">
        <v>0</v>
      </c>
      <c r="G1646" s="143">
        <v>0</v>
      </c>
      <c r="H1646" s="143">
        <v>0</v>
      </c>
      <c r="I1646" s="419">
        <v>0</v>
      </c>
      <c r="J1646" s="1072" t="s">
        <v>620</v>
      </c>
      <c r="K1646" s="1073"/>
      <c r="L1646" s="1073"/>
      <c r="M1646" s="1073"/>
      <c r="N1646" s="1073"/>
    </row>
    <row r="1647" spans="1:14" s="145" customFormat="1" x14ac:dyDescent="0.3">
      <c r="A1647" s="63"/>
      <c r="B1647" s="44" t="s">
        <v>33</v>
      </c>
      <c r="C1647" s="143">
        <f t="shared" si="348"/>
        <v>14.25</v>
      </c>
      <c r="D1647" s="143">
        <v>14.25</v>
      </c>
      <c r="E1647" s="41">
        <v>0</v>
      </c>
      <c r="F1647" s="143">
        <v>0</v>
      </c>
      <c r="G1647" s="143">
        <v>0</v>
      </c>
      <c r="H1647" s="143">
        <v>0</v>
      </c>
      <c r="I1647" s="143">
        <v>0</v>
      </c>
      <c r="J1647" s="1074"/>
      <c r="K1647" s="1075"/>
      <c r="L1647" s="1075"/>
      <c r="M1647" s="1075"/>
      <c r="N1647" s="1075"/>
    </row>
    <row r="1648" spans="1:14" s="147" customFormat="1" ht="30" customHeight="1" x14ac:dyDescent="0.35">
      <c r="A1648" s="328" t="s">
        <v>621</v>
      </c>
      <c r="B1648" s="40" t="s">
        <v>32</v>
      </c>
      <c r="C1648" s="143">
        <f t="shared" si="348"/>
        <v>78</v>
      </c>
      <c r="D1648" s="143">
        <v>0</v>
      </c>
      <c r="E1648" s="41">
        <f>15+63</f>
        <v>78</v>
      </c>
      <c r="F1648" s="143">
        <v>0</v>
      </c>
      <c r="G1648" s="143">
        <v>0</v>
      </c>
      <c r="H1648" s="143">
        <v>0</v>
      </c>
      <c r="I1648" s="143">
        <v>0</v>
      </c>
    </row>
    <row r="1649" spans="1:9" s="145" customFormat="1" x14ac:dyDescent="0.3">
      <c r="A1649" s="63"/>
      <c r="B1649" s="44" t="s">
        <v>33</v>
      </c>
      <c r="C1649" s="143">
        <f t="shared" si="348"/>
        <v>78</v>
      </c>
      <c r="D1649" s="143">
        <v>0</v>
      </c>
      <c r="E1649" s="41">
        <f>15+63</f>
        <v>78</v>
      </c>
      <c r="F1649" s="143">
        <v>0</v>
      </c>
      <c r="G1649" s="143">
        <v>0</v>
      </c>
      <c r="H1649" s="143">
        <v>0</v>
      </c>
      <c r="I1649" s="143">
        <v>0</v>
      </c>
    </row>
    <row r="1650" spans="1:9" s="147" customFormat="1" ht="29.25" customHeight="1" x14ac:dyDescent="0.35">
      <c r="A1650" s="327" t="s">
        <v>622</v>
      </c>
      <c r="B1650" s="40" t="s">
        <v>32</v>
      </c>
      <c r="C1650" s="143">
        <f t="shared" si="348"/>
        <v>12</v>
      </c>
      <c r="D1650" s="143">
        <v>0</v>
      </c>
      <c r="E1650" s="41">
        <v>12</v>
      </c>
      <c r="F1650" s="143">
        <v>0</v>
      </c>
      <c r="G1650" s="143">
        <v>0</v>
      </c>
      <c r="H1650" s="143">
        <v>0</v>
      </c>
      <c r="I1650" s="143">
        <v>0</v>
      </c>
    </row>
    <row r="1651" spans="1:9" s="145" customFormat="1" x14ac:dyDescent="0.3">
      <c r="A1651" s="63"/>
      <c r="B1651" s="44" t="s">
        <v>33</v>
      </c>
      <c r="C1651" s="143">
        <f t="shared" si="348"/>
        <v>12</v>
      </c>
      <c r="D1651" s="143">
        <v>0</v>
      </c>
      <c r="E1651" s="41">
        <v>12</v>
      </c>
      <c r="F1651" s="143">
        <v>0</v>
      </c>
      <c r="G1651" s="143">
        <v>0</v>
      </c>
      <c r="H1651" s="143">
        <v>0</v>
      </c>
      <c r="I1651" s="143">
        <v>0</v>
      </c>
    </row>
    <row r="1652" spans="1:9" s="147" customFormat="1" ht="29.25" customHeight="1" x14ac:dyDescent="0.35">
      <c r="A1652" s="327" t="s">
        <v>623</v>
      </c>
      <c r="B1652" s="40" t="s">
        <v>32</v>
      </c>
      <c r="C1652" s="143">
        <f t="shared" si="348"/>
        <v>10</v>
      </c>
      <c r="D1652" s="143">
        <v>0</v>
      </c>
      <c r="E1652" s="41">
        <v>10</v>
      </c>
      <c r="F1652" s="143">
        <v>0</v>
      </c>
      <c r="G1652" s="143">
        <v>0</v>
      </c>
      <c r="H1652" s="143">
        <v>0</v>
      </c>
      <c r="I1652" s="143">
        <v>0</v>
      </c>
    </row>
    <row r="1653" spans="1:9" s="145" customFormat="1" x14ac:dyDescent="0.3">
      <c r="A1653" s="63"/>
      <c r="B1653" s="44" t="s">
        <v>33</v>
      </c>
      <c r="C1653" s="143">
        <f t="shared" si="348"/>
        <v>10</v>
      </c>
      <c r="D1653" s="143">
        <v>0</v>
      </c>
      <c r="E1653" s="41">
        <v>10</v>
      </c>
      <c r="F1653" s="143">
        <v>0</v>
      </c>
      <c r="G1653" s="143">
        <v>0</v>
      </c>
      <c r="H1653" s="143">
        <v>0</v>
      </c>
      <c r="I1653" s="143">
        <v>0</v>
      </c>
    </row>
    <row r="1654" spans="1:9" s="147" customFormat="1" ht="29.25" customHeight="1" x14ac:dyDescent="0.35">
      <c r="A1654" s="327" t="s">
        <v>624</v>
      </c>
      <c r="B1654" s="40" t="s">
        <v>32</v>
      </c>
      <c r="C1654" s="143">
        <f t="shared" si="348"/>
        <v>10</v>
      </c>
      <c r="D1654" s="143">
        <v>0</v>
      </c>
      <c r="E1654" s="41">
        <v>10</v>
      </c>
      <c r="F1654" s="143">
        <v>0</v>
      </c>
      <c r="G1654" s="143">
        <v>0</v>
      </c>
      <c r="H1654" s="143">
        <v>0</v>
      </c>
      <c r="I1654" s="143">
        <v>0</v>
      </c>
    </row>
    <row r="1655" spans="1:9" s="145" customFormat="1" x14ac:dyDescent="0.3">
      <c r="A1655" s="63"/>
      <c r="B1655" s="44" t="s">
        <v>33</v>
      </c>
      <c r="C1655" s="143">
        <f t="shared" si="348"/>
        <v>10</v>
      </c>
      <c r="D1655" s="143">
        <v>0</v>
      </c>
      <c r="E1655" s="41">
        <v>10</v>
      </c>
      <c r="F1655" s="143">
        <v>0</v>
      </c>
      <c r="G1655" s="143">
        <v>0</v>
      </c>
      <c r="H1655" s="143">
        <v>0</v>
      </c>
      <c r="I1655" s="143">
        <v>0</v>
      </c>
    </row>
    <row r="1656" spans="1:9" s="126" customFormat="1" x14ac:dyDescent="0.3">
      <c r="A1656" s="308" t="s">
        <v>353</v>
      </c>
      <c r="B1656" s="124" t="s">
        <v>32</v>
      </c>
      <c r="C1656" s="122">
        <f t="shared" si="348"/>
        <v>865.995</v>
      </c>
      <c r="D1656" s="122">
        <f>D1658+D1660+D1662+D1664+D1666+D1668+D1670+D1672+D1674+D1676+D1678+D1680+D1682+D1684</f>
        <v>348.52499999999998</v>
      </c>
      <c r="E1656" s="122">
        <f t="shared" ref="E1656:I1657" si="352">E1658+E1660+E1662+E1664+E1666+E1668+E1670+E1672+E1674+E1676+E1678+E1680+E1682+E1684</f>
        <v>499</v>
      </c>
      <c r="F1656" s="122">
        <f t="shared" si="352"/>
        <v>0</v>
      </c>
      <c r="G1656" s="122">
        <f t="shared" si="352"/>
        <v>0</v>
      </c>
      <c r="H1656" s="122">
        <f t="shared" si="352"/>
        <v>0</v>
      </c>
      <c r="I1656" s="122">
        <f t="shared" si="352"/>
        <v>18.47</v>
      </c>
    </row>
    <row r="1657" spans="1:9" s="126" customFormat="1" x14ac:dyDescent="0.3">
      <c r="A1657" s="127"/>
      <c r="B1657" s="128" t="s">
        <v>33</v>
      </c>
      <c r="C1657" s="122">
        <f t="shared" si="348"/>
        <v>865.995</v>
      </c>
      <c r="D1657" s="122">
        <f>D1659+D1661+D1663+D1665+D1667+D1669+D1671+D1673+D1675+D1677+D1679+D1681+D1683+D1685</f>
        <v>348.52499999999998</v>
      </c>
      <c r="E1657" s="122">
        <f t="shared" si="352"/>
        <v>499</v>
      </c>
      <c r="F1657" s="122">
        <f t="shared" si="352"/>
        <v>0</v>
      </c>
      <c r="G1657" s="122">
        <f t="shared" si="352"/>
        <v>0</v>
      </c>
      <c r="H1657" s="122">
        <f t="shared" si="352"/>
        <v>0</v>
      </c>
      <c r="I1657" s="122">
        <f t="shared" si="352"/>
        <v>18.47</v>
      </c>
    </row>
    <row r="1658" spans="1:9" s="260" customFormat="1" ht="24.9" x14ac:dyDescent="0.3">
      <c r="A1658" s="393" t="s">
        <v>625</v>
      </c>
      <c r="B1658" s="150" t="s">
        <v>32</v>
      </c>
      <c r="C1658" s="179">
        <f t="shared" si="348"/>
        <v>74.995000000000005</v>
      </c>
      <c r="D1658" s="179">
        <f>D1659</f>
        <v>56.524999999999999</v>
      </c>
      <c r="E1658" s="179">
        <v>0</v>
      </c>
      <c r="F1658" s="179">
        <v>0</v>
      </c>
      <c r="G1658" s="179">
        <v>0</v>
      </c>
      <c r="H1658" s="179">
        <v>0</v>
      </c>
      <c r="I1658" s="179">
        <f>I1659</f>
        <v>18.47</v>
      </c>
    </row>
    <row r="1659" spans="1:9" s="260" customFormat="1" x14ac:dyDescent="0.3">
      <c r="A1659" s="302"/>
      <c r="B1659" s="99" t="s">
        <v>33</v>
      </c>
      <c r="C1659" s="179">
        <f t="shared" si="348"/>
        <v>74.995000000000005</v>
      </c>
      <c r="D1659" s="179">
        <v>56.524999999999999</v>
      </c>
      <c r="E1659" s="179">
        <v>0</v>
      </c>
      <c r="F1659" s="179">
        <v>0</v>
      </c>
      <c r="G1659" s="179">
        <v>0</v>
      </c>
      <c r="H1659" s="179">
        <v>0</v>
      </c>
      <c r="I1659" s="179">
        <v>18.47</v>
      </c>
    </row>
    <row r="1660" spans="1:9" s="260" customFormat="1" ht="24.9" hidden="1" x14ac:dyDescent="0.3">
      <c r="A1660" s="420" t="s">
        <v>626</v>
      </c>
      <c r="B1660" s="150" t="s">
        <v>32</v>
      </c>
      <c r="C1660" s="179">
        <f>C1661</f>
        <v>15</v>
      </c>
      <c r="D1660" s="179">
        <v>0</v>
      </c>
      <c r="E1660" s="179">
        <v>0</v>
      </c>
      <c r="F1660" s="179">
        <v>0</v>
      </c>
      <c r="G1660" s="179">
        <v>0</v>
      </c>
      <c r="H1660" s="179">
        <v>0</v>
      </c>
      <c r="I1660" s="179">
        <v>0</v>
      </c>
    </row>
    <row r="1661" spans="1:9" s="260" customFormat="1" hidden="1" x14ac:dyDescent="0.3">
      <c r="A1661" s="302"/>
      <c r="B1661" s="99" t="s">
        <v>33</v>
      </c>
      <c r="C1661" s="179">
        <v>15</v>
      </c>
      <c r="D1661" s="179">
        <v>0</v>
      </c>
      <c r="E1661" s="179">
        <v>0</v>
      </c>
      <c r="F1661" s="179">
        <v>0</v>
      </c>
      <c r="G1661" s="179">
        <v>0</v>
      </c>
      <c r="H1661" s="179">
        <v>0</v>
      </c>
      <c r="I1661" s="179">
        <v>0</v>
      </c>
    </row>
    <row r="1662" spans="1:9" s="145" customFormat="1" ht="16.5" customHeight="1" x14ac:dyDescent="0.3">
      <c r="A1662" s="114" t="s">
        <v>627</v>
      </c>
      <c r="B1662" s="110" t="s">
        <v>32</v>
      </c>
      <c r="C1662" s="143">
        <f t="shared" si="348"/>
        <v>130</v>
      </c>
      <c r="D1662" s="143">
        <v>130</v>
      </c>
      <c r="E1662" s="41">
        <v>0</v>
      </c>
      <c r="F1662" s="143">
        <v>0</v>
      </c>
      <c r="G1662" s="143">
        <v>0</v>
      </c>
      <c r="H1662" s="143">
        <v>0</v>
      </c>
      <c r="I1662" s="143">
        <v>0</v>
      </c>
    </row>
    <row r="1663" spans="1:9" s="145" customFormat="1" x14ac:dyDescent="0.3">
      <c r="A1663" s="120"/>
      <c r="B1663" s="70" t="s">
        <v>33</v>
      </c>
      <c r="C1663" s="143">
        <f t="shared" si="348"/>
        <v>130</v>
      </c>
      <c r="D1663" s="143">
        <v>130</v>
      </c>
      <c r="E1663" s="41">
        <v>0</v>
      </c>
      <c r="F1663" s="143">
        <v>0</v>
      </c>
      <c r="G1663" s="143">
        <v>0</v>
      </c>
      <c r="H1663" s="143">
        <v>0</v>
      </c>
      <c r="I1663" s="143">
        <v>0</v>
      </c>
    </row>
    <row r="1664" spans="1:9" s="145" customFormat="1" ht="41.25" customHeight="1" x14ac:dyDescent="0.3">
      <c r="A1664" s="83" t="s">
        <v>628</v>
      </c>
      <c r="B1664" s="110" t="s">
        <v>32</v>
      </c>
      <c r="C1664" s="143">
        <f>D1664+E1664+F1664+G1664+H1664+I1664</f>
        <v>20</v>
      </c>
      <c r="D1664" s="143">
        <v>20</v>
      </c>
      <c r="E1664" s="41">
        <v>0</v>
      </c>
      <c r="F1664" s="143">
        <v>0</v>
      </c>
      <c r="G1664" s="143">
        <v>0</v>
      </c>
      <c r="H1664" s="143">
        <v>0</v>
      </c>
      <c r="I1664" s="143">
        <v>0</v>
      </c>
    </row>
    <row r="1665" spans="1:9" s="145" customFormat="1" x14ac:dyDescent="0.3">
      <c r="A1665" s="120"/>
      <c r="B1665" s="70" t="s">
        <v>33</v>
      </c>
      <c r="C1665" s="143">
        <f>D1665+E1665+F1665+G1665+H1665+I1665</f>
        <v>20</v>
      </c>
      <c r="D1665" s="143">
        <v>20</v>
      </c>
      <c r="E1665" s="41">
        <v>0</v>
      </c>
      <c r="F1665" s="143">
        <v>0</v>
      </c>
      <c r="G1665" s="143">
        <v>0</v>
      </c>
      <c r="H1665" s="143">
        <v>0</v>
      </c>
      <c r="I1665" s="143">
        <v>0</v>
      </c>
    </row>
    <row r="1666" spans="1:9" s="105" customFormat="1" ht="15" customHeight="1" x14ac:dyDescent="0.3">
      <c r="A1666" s="403" t="s">
        <v>629</v>
      </c>
      <c r="B1666" s="110" t="s">
        <v>32</v>
      </c>
      <c r="C1666" s="108">
        <f t="shared" ref="C1666:C1685" si="353">D1666+E1666+F1666+G1666+H1666+I1666</f>
        <v>69</v>
      </c>
      <c r="D1666" s="108">
        <v>69</v>
      </c>
      <c r="E1666" s="108">
        <v>0</v>
      </c>
      <c r="F1666" s="108">
        <v>0</v>
      </c>
      <c r="G1666" s="108">
        <v>0</v>
      </c>
      <c r="H1666" s="108">
        <v>0</v>
      </c>
      <c r="I1666" s="108">
        <v>0</v>
      </c>
    </row>
    <row r="1667" spans="1:9" s="78" customFormat="1" ht="15" customHeight="1" x14ac:dyDescent="0.3">
      <c r="A1667" s="120"/>
      <c r="B1667" s="70" t="s">
        <v>33</v>
      </c>
      <c r="C1667" s="108">
        <f t="shared" si="353"/>
        <v>69</v>
      </c>
      <c r="D1667" s="108">
        <v>69</v>
      </c>
      <c r="E1667" s="108">
        <v>0</v>
      </c>
      <c r="F1667" s="108">
        <v>0</v>
      </c>
      <c r="G1667" s="108">
        <v>0</v>
      </c>
      <c r="H1667" s="108">
        <v>0</v>
      </c>
      <c r="I1667" s="108">
        <v>0</v>
      </c>
    </row>
    <row r="1668" spans="1:9" s="105" customFormat="1" ht="15" customHeight="1" x14ac:dyDescent="0.3">
      <c r="A1668" s="403" t="s">
        <v>630</v>
      </c>
      <c r="B1668" s="110" t="s">
        <v>32</v>
      </c>
      <c r="C1668" s="108">
        <f t="shared" si="353"/>
        <v>71</v>
      </c>
      <c r="D1668" s="108">
        <v>71</v>
      </c>
      <c r="E1668" s="108">
        <v>0</v>
      </c>
      <c r="F1668" s="108">
        <v>0</v>
      </c>
      <c r="G1668" s="108">
        <v>0</v>
      </c>
      <c r="H1668" s="108">
        <v>0</v>
      </c>
      <c r="I1668" s="108">
        <v>0</v>
      </c>
    </row>
    <row r="1669" spans="1:9" s="78" customFormat="1" ht="15" customHeight="1" x14ac:dyDescent="0.3">
      <c r="A1669" s="120"/>
      <c r="B1669" s="70" t="s">
        <v>33</v>
      </c>
      <c r="C1669" s="108">
        <f t="shared" si="353"/>
        <v>71</v>
      </c>
      <c r="D1669" s="108">
        <v>71</v>
      </c>
      <c r="E1669" s="108">
        <v>0</v>
      </c>
      <c r="F1669" s="108">
        <v>0</v>
      </c>
      <c r="G1669" s="108">
        <v>0</v>
      </c>
      <c r="H1669" s="108">
        <v>0</v>
      </c>
      <c r="I1669" s="108">
        <v>0</v>
      </c>
    </row>
    <row r="1670" spans="1:9" s="105" customFormat="1" ht="27" customHeight="1" x14ac:dyDescent="0.3">
      <c r="A1670" s="315" t="s">
        <v>631</v>
      </c>
      <c r="B1670" s="110" t="s">
        <v>32</v>
      </c>
      <c r="C1670" s="108">
        <f t="shared" si="353"/>
        <v>2</v>
      </c>
      <c r="D1670" s="108">
        <v>2</v>
      </c>
      <c r="E1670" s="108">
        <v>0</v>
      </c>
      <c r="F1670" s="108">
        <v>0</v>
      </c>
      <c r="G1670" s="108">
        <v>0</v>
      </c>
      <c r="H1670" s="108">
        <v>0</v>
      </c>
      <c r="I1670" s="108">
        <v>0</v>
      </c>
    </row>
    <row r="1671" spans="1:9" s="78" customFormat="1" ht="15" customHeight="1" x14ac:dyDescent="0.3">
      <c r="A1671" s="120"/>
      <c r="B1671" s="70" t="s">
        <v>33</v>
      </c>
      <c r="C1671" s="108">
        <f t="shared" si="353"/>
        <v>2</v>
      </c>
      <c r="D1671" s="108">
        <v>2</v>
      </c>
      <c r="E1671" s="108">
        <v>0</v>
      </c>
      <c r="F1671" s="108">
        <v>0</v>
      </c>
      <c r="G1671" s="108">
        <v>0</v>
      </c>
      <c r="H1671" s="108">
        <v>0</v>
      </c>
      <c r="I1671" s="108">
        <v>0</v>
      </c>
    </row>
    <row r="1672" spans="1:9" s="105" customFormat="1" ht="15" customHeight="1" x14ac:dyDescent="0.3">
      <c r="A1672" s="315" t="s">
        <v>632</v>
      </c>
      <c r="B1672" s="110" t="s">
        <v>32</v>
      </c>
      <c r="C1672" s="108">
        <f t="shared" si="353"/>
        <v>155</v>
      </c>
      <c r="D1672" s="108">
        <v>0</v>
      </c>
      <c r="E1672" s="108">
        <v>155</v>
      </c>
      <c r="F1672" s="108">
        <v>0</v>
      </c>
      <c r="G1672" s="108">
        <v>0</v>
      </c>
      <c r="H1672" s="108">
        <v>0</v>
      </c>
      <c r="I1672" s="108">
        <v>0</v>
      </c>
    </row>
    <row r="1673" spans="1:9" s="78" customFormat="1" ht="14.25" customHeight="1" x14ac:dyDescent="0.3">
      <c r="A1673" s="120"/>
      <c r="B1673" s="70" t="s">
        <v>33</v>
      </c>
      <c r="C1673" s="108">
        <f t="shared" si="353"/>
        <v>155</v>
      </c>
      <c r="D1673" s="108">
        <v>0</v>
      </c>
      <c r="E1673" s="108">
        <v>155</v>
      </c>
      <c r="F1673" s="108">
        <v>0</v>
      </c>
      <c r="G1673" s="108">
        <v>0</v>
      </c>
      <c r="H1673" s="108">
        <v>0</v>
      </c>
      <c r="I1673" s="108">
        <v>0</v>
      </c>
    </row>
    <row r="1674" spans="1:9" s="105" customFormat="1" ht="15" customHeight="1" x14ac:dyDescent="0.3">
      <c r="A1674" s="315" t="s">
        <v>633</v>
      </c>
      <c r="B1674" s="110" t="s">
        <v>32</v>
      </c>
      <c r="C1674" s="108">
        <f t="shared" si="353"/>
        <v>65</v>
      </c>
      <c r="D1674" s="108">
        <v>0</v>
      </c>
      <c r="E1674" s="108">
        <v>65</v>
      </c>
      <c r="F1674" s="108">
        <v>0</v>
      </c>
      <c r="G1674" s="108">
        <v>0</v>
      </c>
      <c r="H1674" s="108">
        <v>0</v>
      </c>
      <c r="I1674" s="108">
        <v>0</v>
      </c>
    </row>
    <row r="1675" spans="1:9" s="78" customFormat="1" ht="14.25" customHeight="1" x14ac:dyDescent="0.3">
      <c r="A1675" s="120"/>
      <c r="B1675" s="70" t="s">
        <v>33</v>
      </c>
      <c r="C1675" s="108">
        <f t="shared" si="353"/>
        <v>65</v>
      </c>
      <c r="D1675" s="108">
        <v>0</v>
      </c>
      <c r="E1675" s="108">
        <v>65</v>
      </c>
      <c r="F1675" s="108">
        <v>0</v>
      </c>
      <c r="G1675" s="108">
        <v>0</v>
      </c>
      <c r="H1675" s="108">
        <v>0</v>
      </c>
      <c r="I1675" s="108">
        <v>0</v>
      </c>
    </row>
    <row r="1676" spans="1:9" s="105" customFormat="1" ht="15" customHeight="1" x14ac:dyDescent="0.3">
      <c r="A1676" s="315" t="s">
        <v>634</v>
      </c>
      <c r="B1676" s="110" t="s">
        <v>32</v>
      </c>
      <c r="C1676" s="108">
        <f t="shared" si="353"/>
        <v>65</v>
      </c>
      <c r="D1676" s="108">
        <v>0</v>
      </c>
      <c r="E1676" s="108">
        <v>65</v>
      </c>
      <c r="F1676" s="108">
        <v>0</v>
      </c>
      <c r="G1676" s="108">
        <v>0</v>
      </c>
      <c r="H1676" s="108">
        <v>0</v>
      </c>
      <c r="I1676" s="108">
        <v>0</v>
      </c>
    </row>
    <row r="1677" spans="1:9" s="78" customFormat="1" ht="14.25" customHeight="1" x14ac:dyDescent="0.3">
      <c r="A1677" s="120"/>
      <c r="B1677" s="70" t="s">
        <v>33</v>
      </c>
      <c r="C1677" s="108">
        <f t="shared" si="353"/>
        <v>65</v>
      </c>
      <c r="D1677" s="108">
        <v>0</v>
      </c>
      <c r="E1677" s="108">
        <v>65</v>
      </c>
      <c r="F1677" s="108">
        <v>0</v>
      </c>
      <c r="G1677" s="108">
        <v>0</v>
      </c>
      <c r="H1677" s="108">
        <v>0</v>
      </c>
      <c r="I1677" s="108">
        <v>0</v>
      </c>
    </row>
    <row r="1678" spans="1:9" s="105" customFormat="1" ht="15" customHeight="1" x14ac:dyDescent="0.3">
      <c r="A1678" s="315" t="s">
        <v>635</v>
      </c>
      <c r="B1678" s="110" t="s">
        <v>32</v>
      </c>
      <c r="C1678" s="108">
        <f t="shared" si="353"/>
        <v>65</v>
      </c>
      <c r="D1678" s="108">
        <v>0</v>
      </c>
      <c r="E1678" s="108">
        <v>65</v>
      </c>
      <c r="F1678" s="108">
        <v>0</v>
      </c>
      <c r="G1678" s="108">
        <v>0</v>
      </c>
      <c r="H1678" s="108">
        <v>0</v>
      </c>
      <c r="I1678" s="108">
        <v>0</v>
      </c>
    </row>
    <row r="1679" spans="1:9" s="78" customFormat="1" ht="14.25" customHeight="1" x14ac:dyDescent="0.3">
      <c r="A1679" s="120"/>
      <c r="B1679" s="70" t="s">
        <v>33</v>
      </c>
      <c r="C1679" s="108">
        <f t="shared" si="353"/>
        <v>65</v>
      </c>
      <c r="D1679" s="108">
        <v>0</v>
      </c>
      <c r="E1679" s="108">
        <v>65</v>
      </c>
      <c r="F1679" s="108">
        <v>0</v>
      </c>
      <c r="G1679" s="108">
        <v>0</v>
      </c>
      <c r="H1679" s="108">
        <v>0</v>
      </c>
      <c r="I1679" s="108">
        <v>0</v>
      </c>
    </row>
    <row r="1680" spans="1:9" s="105" customFormat="1" ht="15" customHeight="1" x14ac:dyDescent="0.3">
      <c r="A1680" s="315" t="s">
        <v>636</v>
      </c>
      <c r="B1680" s="110" t="s">
        <v>32</v>
      </c>
      <c r="C1680" s="108">
        <f t="shared" si="353"/>
        <v>107</v>
      </c>
      <c r="D1680" s="108">
        <v>0</v>
      </c>
      <c r="E1680" s="108">
        <v>107</v>
      </c>
      <c r="F1680" s="108">
        <v>0</v>
      </c>
      <c r="G1680" s="108">
        <v>0</v>
      </c>
      <c r="H1680" s="108">
        <v>0</v>
      </c>
      <c r="I1680" s="108">
        <v>0</v>
      </c>
    </row>
    <row r="1681" spans="1:10" s="78" customFormat="1" ht="14.25" customHeight="1" x14ac:dyDescent="0.3">
      <c r="A1681" s="120"/>
      <c r="B1681" s="70" t="s">
        <v>33</v>
      </c>
      <c r="C1681" s="108">
        <f t="shared" si="353"/>
        <v>107</v>
      </c>
      <c r="D1681" s="108">
        <v>0</v>
      </c>
      <c r="E1681" s="108">
        <v>107</v>
      </c>
      <c r="F1681" s="108">
        <v>0</v>
      </c>
      <c r="G1681" s="108">
        <v>0</v>
      </c>
      <c r="H1681" s="108">
        <v>0</v>
      </c>
      <c r="I1681" s="108">
        <v>0</v>
      </c>
    </row>
    <row r="1682" spans="1:10" s="105" customFormat="1" ht="15" customHeight="1" x14ac:dyDescent="0.3">
      <c r="A1682" s="315" t="s">
        <v>637</v>
      </c>
      <c r="B1682" s="110" t="s">
        <v>32</v>
      </c>
      <c r="C1682" s="108">
        <f t="shared" si="353"/>
        <v>18</v>
      </c>
      <c r="D1682" s="108">
        <v>0</v>
      </c>
      <c r="E1682" s="108">
        <v>18</v>
      </c>
      <c r="F1682" s="108">
        <v>0</v>
      </c>
      <c r="G1682" s="108">
        <v>0</v>
      </c>
      <c r="H1682" s="108">
        <v>0</v>
      </c>
      <c r="I1682" s="108">
        <v>0</v>
      </c>
    </row>
    <row r="1683" spans="1:10" s="78" customFormat="1" ht="14.25" customHeight="1" x14ac:dyDescent="0.3">
      <c r="A1683" s="120"/>
      <c r="B1683" s="70" t="s">
        <v>33</v>
      </c>
      <c r="C1683" s="108">
        <f t="shared" si="353"/>
        <v>18</v>
      </c>
      <c r="D1683" s="108">
        <v>0</v>
      </c>
      <c r="E1683" s="108">
        <v>18</v>
      </c>
      <c r="F1683" s="108">
        <v>0</v>
      </c>
      <c r="G1683" s="108">
        <v>0</v>
      </c>
      <c r="H1683" s="108">
        <v>0</v>
      </c>
      <c r="I1683" s="108">
        <v>0</v>
      </c>
    </row>
    <row r="1684" spans="1:10" s="105" customFormat="1" ht="15" customHeight="1" x14ac:dyDescent="0.3">
      <c r="A1684" s="315" t="s">
        <v>638</v>
      </c>
      <c r="B1684" s="110" t="s">
        <v>32</v>
      </c>
      <c r="C1684" s="108">
        <f t="shared" si="353"/>
        <v>24</v>
      </c>
      <c r="D1684" s="108">
        <v>0</v>
      </c>
      <c r="E1684" s="108">
        <v>24</v>
      </c>
      <c r="F1684" s="108">
        <v>0</v>
      </c>
      <c r="G1684" s="108">
        <v>0</v>
      </c>
      <c r="H1684" s="108">
        <v>0</v>
      </c>
      <c r="I1684" s="108">
        <v>0</v>
      </c>
    </row>
    <row r="1685" spans="1:10" s="78" customFormat="1" ht="14.25" customHeight="1" x14ac:dyDescent="0.3">
      <c r="A1685" s="120"/>
      <c r="B1685" s="70" t="s">
        <v>33</v>
      </c>
      <c r="C1685" s="108">
        <f t="shared" si="353"/>
        <v>24</v>
      </c>
      <c r="D1685" s="108">
        <v>0</v>
      </c>
      <c r="E1685" s="108">
        <v>24</v>
      </c>
      <c r="F1685" s="108">
        <v>0</v>
      </c>
      <c r="G1685" s="108">
        <v>0</v>
      </c>
      <c r="H1685" s="108">
        <v>0</v>
      </c>
      <c r="I1685" s="108">
        <v>0</v>
      </c>
    </row>
    <row r="1686" spans="1:10" s="126" customFormat="1" x14ac:dyDescent="0.3">
      <c r="A1686" s="308" t="s">
        <v>639</v>
      </c>
      <c r="B1686" s="124" t="s">
        <v>32</v>
      </c>
      <c r="C1686" s="122">
        <f t="shared" si="348"/>
        <v>259.8</v>
      </c>
      <c r="D1686" s="122">
        <f>D1688+D1690+D1692+D1694+D1696+D1698+D1700+D1702+D1704</f>
        <v>109.8</v>
      </c>
      <c r="E1686" s="122">
        <f t="shared" ref="E1686:I1687" si="354">E1688+E1690+E1692+E1694+E1696+E1698+E1700+E1702+E1704</f>
        <v>150</v>
      </c>
      <c r="F1686" s="122">
        <f t="shared" si="354"/>
        <v>0</v>
      </c>
      <c r="G1686" s="122">
        <f t="shared" si="354"/>
        <v>0</v>
      </c>
      <c r="H1686" s="122">
        <f t="shared" si="354"/>
        <v>0</v>
      </c>
      <c r="I1686" s="122">
        <f t="shared" si="354"/>
        <v>0</v>
      </c>
    </row>
    <row r="1687" spans="1:10" s="126" customFormat="1" x14ac:dyDescent="0.3">
      <c r="A1687" s="127"/>
      <c r="B1687" s="128" t="s">
        <v>33</v>
      </c>
      <c r="C1687" s="122">
        <f t="shared" si="348"/>
        <v>259.8</v>
      </c>
      <c r="D1687" s="122">
        <f>D1689+D1691+D1693+D1695+D1697+D1699+D1701+D1703+D1705</f>
        <v>109.8</v>
      </c>
      <c r="E1687" s="122">
        <f t="shared" si="354"/>
        <v>150</v>
      </c>
      <c r="F1687" s="122">
        <f t="shared" si="354"/>
        <v>0</v>
      </c>
      <c r="G1687" s="122">
        <f t="shared" si="354"/>
        <v>0</v>
      </c>
      <c r="H1687" s="122">
        <f t="shared" si="354"/>
        <v>0</v>
      </c>
      <c r="I1687" s="122">
        <f t="shared" si="354"/>
        <v>0</v>
      </c>
    </row>
    <row r="1688" spans="1:10" s="145" customFormat="1" ht="24.9" x14ac:dyDescent="0.3">
      <c r="A1688" s="393" t="s">
        <v>640</v>
      </c>
      <c r="B1688" s="146" t="s">
        <v>32</v>
      </c>
      <c r="C1688" s="143">
        <f t="shared" si="348"/>
        <v>5.0999999999999996</v>
      </c>
      <c r="D1688" s="143">
        <f>D1689</f>
        <v>5.0999999999999996</v>
      </c>
      <c r="E1688" s="143">
        <v>0</v>
      </c>
      <c r="F1688" s="143">
        <v>0</v>
      </c>
      <c r="G1688" s="143">
        <v>0</v>
      </c>
      <c r="H1688" s="143">
        <v>0</v>
      </c>
      <c r="I1688" s="143">
        <v>0</v>
      </c>
    </row>
    <row r="1689" spans="1:10" s="145" customFormat="1" x14ac:dyDescent="0.3">
      <c r="A1689" s="302"/>
      <c r="B1689" s="142" t="s">
        <v>33</v>
      </c>
      <c r="C1689" s="143">
        <f t="shared" si="348"/>
        <v>5.0999999999999996</v>
      </c>
      <c r="D1689" s="143">
        <v>5.0999999999999996</v>
      </c>
      <c r="E1689" s="143">
        <v>0</v>
      </c>
      <c r="F1689" s="143">
        <v>0</v>
      </c>
      <c r="G1689" s="143">
        <v>0</v>
      </c>
      <c r="H1689" s="143">
        <v>0</v>
      </c>
      <c r="I1689" s="143">
        <v>0</v>
      </c>
    </row>
    <row r="1690" spans="1:10" s="145" customFormat="1" ht="24.9" x14ac:dyDescent="0.3">
      <c r="A1690" s="393" t="s">
        <v>641</v>
      </c>
      <c r="B1690" s="146" t="s">
        <v>32</v>
      </c>
      <c r="C1690" s="143">
        <f>C1691</f>
        <v>0.11</v>
      </c>
      <c r="D1690" s="143">
        <f>D1691</f>
        <v>0.11</v>
      </c>
      <c r="E1690" s="41">
        <v>0</v>
      </c>
      <c r="F1690" s="143">
        <f>F1691</f>
        <v>0</v>
      </c>
      <c r="G1690" s="143">
        <f>G1691</f>
        <v>0</v>
      </c>
      <c r="H1690" s="143">
        <f>H1691</f>
        <v>0</v>
      </c>
      <c r="I1690" s="143">
        <f>I1691</f>
        <v>0</v>
      </c>
    </row>
    <row r="1691" spans="1:10" s="145" customFormat="1" x14ac:dyDescent="0.3">
      <c r="A1691" s="302"/>
      <c r="B1691" s="142" t="s">
        <v>33</v>
      </c>
      <c r="C1691" s="143">
        <f>D1691+E1691+F1691+G1691+H1691+I1691</f>
        <v>0.11</v>
      </c>
      <c r="D1691" s="143">
        <v>0.11</v>
      </c>
      <c r="E1691" s="41">
        <v>0</v>
      </c>
      <c r="F1691" s="143">
        <v>0</v>
      </c>
      <c r="G1691" s="143">
        <v>0</v>
      </c>
      <c r="H1691" s="143">
        <v>0</v>
      </c>
      <c r="I1691" s="143">
        <v>0</v>
      </c>
    </row>
    <row r="1692" spans="1:10" s="147" customFormat="1" ht="24.9" x14ac:dyDescent="0.3">
      <c r="A1692" s="114" t="s">
        <v>642</v>
      </c>
      <c r="B1692" s="110" t="s">
        <v>32</v>
      </c>
      <c r="C1692" s="143">
        <f t="shared" ref="C1692:C1705" si="355">D1692+E1692+F1692+G1692+H1692+I1692</f>
        <v>37.29</v>
      </c>
      <c r="D1692" s="143">
        <f>5.86+1.43</f>
        <v>7.29</v>
      </c>
      <c r="E1692" s="41">
        <v>30</v>
      </c>
      <c r="F1692" s="143">
        <v>0</v>
      </c>
      <c r="G1692" s="143">
        <v>0</v>
      </c>
      <c r="H1692" s="143">
        <v>0</v>
      </c>
      <c r="I1692" s="143">
        <v>0</v>
      </c>
      <c r="J1692" s="1076"/>
    </row>
    <row r="1693" spans="1:10" s="145" customFormat="1" x14ac:dyDescent="0.3">
      <c r="A1693" s="120"/>
      <c r="B1693" s="70" t="s">
        <v>33</v>
      </c>
      <c r="C1693" s="143">
        <f t="shared" si="355"/>
        <v>37.29</v>
      </c>
      <c r="D1693" s="143">
        <f>5.86+1.43</f>
        <v>7.29</v>
      </c>
      <c r="E1693" s="41">
        <v>30</v>
      </c>
      <c r="F1693" s="143">
        <v>0</v>
      </c>
      <c r="G1693" s="143">
        <v>0</v>
      </c>
      <c r="H1693" s="143">
        <v>0</v>
      </c>
      <c r="I1693" s="143">
        <v>0</v>
      </c>
      <c r="J1693" s="1076"/>
    </row>
    <row r="1694" spans="1:10" s="147" customFormat="1" ht="24.9" x14ac:dyDescent="0.3">
      <c r="A1694" s="114" t="s">
        <v>643</v>
      </c>
      <c r="B1694" s="110" t="s">
        <v>32</v>
      </c>
      <c r="C1694" s="143">
        <f t="shared" si="355"/>
        <v>25.76</v>
      </c>
      <c r="D1694" s="143">
        <f>3.3+21.5+0.96</f>
        <v>25.76</v>
      </c>
      <c r="E1694" s="41">
        <v>0</v>
      </c>
      <c r="F1694" s="143">
        <v>0</v>
      </c>
      <c r="G1694" s="143">
        <v>0</v>
      </c>
      <c r="H1694" s="143">
        <v>0</v>
      </c>
      <c r="I1694" s="143">
        <v>0</v>
      </c>
      <c r="J1694" s="1076"/>
    </row>
    <row r="1695" spans="1:10" s="145" customFormat="1" x14ac:dyDescent="0.3">
      <c r="A1695" s="120"/>
      <c r="B1695" s="70" t="s">
        <v>33</v>
      </c>
      <c r="C1695" s="143">
        <f t="shared" si="355"/>
        <v>25.76</v>
      </c>
      <c r="D1695" s="143">
        <f>3.3+21.5+0.96</f>
        <v>25.76</v>
      </c>
      <c r="E1695" s="41">
        <v>0</v>
      </c>
      <c r="F1695" s="143">
        <v>0</v>
      </c>
      <c r="G1695" s="143">
        <v>0</v>
      </c>
      <c r="H1695" s="143">
        <v>0</v>
      </c>
      <c r="I1695" s="143">
        <v>0</v>
      </c>
      <c r="J1695" s="1076"/>
    </row>
    <row r="1696" spans="1:10" s="147" customFormat="1" ht="24.9" x14ac:dyDescent="0.3">
      <c r="A1696" s="114" t="s">
        <v>644</v>
      </c>
      <c r="B1696" s="110" t="s">
        <v>32</v>
      </c>
      <c r="C1696" s="143">
        <f t="shared" si="355"/>
        <v>105.5</v>
      </c>
      <c r="D1696" s="143">
        <v>52.5</v>
      </c>
      <c r="E1696" s="41">
        <v>53</v>
      </c>
      <c r="F1696" s="143">
        <v>0</v>
      </c>
      <c r="G1696" s="143">
        <v>0</v>
      </c>
      <c r="H1696" s="143">
        <v>0</v>
      </c>
      <c r="I1696" s="143">
        <v>0</v>
      </c>
      <c r="J1696" s="1076"/>
    </row>
    <row r="1697" spans="1:10" s="145" customFormat="1" x14ac:dyDescent="0.3">
      <c r="A1697" s="120"/>
      <c r="B1697" s="70" t="s">
        <v>33</v>
      </c>
      <c r="C1697" s="143">
        <f t="shared" si="355"/>
        <v>105.5</v>
      </c>
      <c r="D1697" s="143">
        <v>52.5</v>
      </c>
      <c r="E1697" s="41">
        <v>53</v>
      </c>
      <c r="F1697" s="143">
        <v>0</v>
      </c>
      <c r="G1697" s="143">
        <v>0</v>
      </c>
      <c r="H1697" s="143">
        <v>0</v>
      </c>
      <c r="I1697" s="143">
        <v>0</v>
      </c>
      <c r="J1697" s="1076"/>
    </row>
    <row r="1698" spans="1:10" s="147" customFormat="1" ht="37.75" x14ac:dyDescent="0.35">
      <c r="A1698" s="114" t="s">
        <v>645</v>
      </c>
      <c r="B1698" s="421" t="s">
        <v>32</v>
      </c>
      <c r="C1698" s="143">
        <f t="shared" si="355"/>
        <v>75.8</v>
      </c>
      <c r="D1698" s="143">
        <v>13.8</v>
      </c>
      <c r="E1698" s="41">
        <v>62</v>
      </c>
      <c r="F1698" s="143">
        <v>0</v>
      </c>
      <c r="G1698" s="143">
        <v>0</v>
      </c>
      <c r="H1698" s="143">
        <v>0</v>
      </c>
      <c r="I1698" s="143">
        <v>0</v>
      </c>
      <c r="J1698" s="1076"/>
    </row>
    <row r="1699" spans="1:10" s="145" customFormat="1" x14ac:dyDescent="0.3">
      <c r="A1699" s="120"/>
      <c r="B1699" s="70" t="s">
        <v>33</v>
      </c>
      <c r="C1699" s="143">
        <f t="shared" si="355"/>
        <v>75.8</v>
      </c>
      <c r="D1699" s="143">
        <v>13.8</v>
      </c>
      <c r="E1699" s="41">
        <v>62</v>
      </c>
      <c r="F1699" s="143">
        <v>0</v>
      </c>
      <c r="G1699" s="143">
        <v>0</v>
      </c>
      <c r="H1699" s="143">
        <v>0</v>
      </c>
      <c r="I1699" s="143">
        <v>0</v>
      </c>
      <c r="J1699" s="1076"/>
    </row>
    <row r="1700" spans="1:10" s="147" customFormat="1" ht="28.3" x14ac:dyDescent="0.35">
      <c r="A1700" s="327" t="s">
        <v>646</v>
      </c>
      <c r="B1700" s="110" t="s">
        <v>32</v>
      </c>
      <c r="C1700" s="143">
        <f t="shared" si="355"/>
        <v>1.67</v>
      </c>
      <c r="D1700" s="143">
        <v>1.67</v>
      </c>
      <c r="E1700" s="41">
        <v>0</v>
      </c>
      <c r="F1700" s="143">
        <v>0</v>
      </c>
      <c r="G1700" s="143">
        <v>0</v>
      </c>
      <c r="H1700" s="143">
        <v>0</v>
      </c>
      <c r="I1700" s="143">
        <v>0</v>
      </c>
      <c r="J1700" s="422"/>
    </row>
    <row r="1701" spans="1:10" s="145" customFormat="1" x14ac:dyDescent="0.3">
      <c r="A1701" s="120"/>
      <c r="B1701" s="70" t="s">
        <v>33</v>
      </c>
      <c r="C1701" s="143">
        <f t="shared" si="355"/>
        <v>1.67</v>
      </c>
      <c r="D1701" s="143">
        <v>1.67</v>
      </c>
      <c r="E1701" s="41">
        <v>0</v>
      </c>
      <c r="F1701" s="143">
        <v>0</v>
      </c>
      <c r="G1701" s="143">
        <v>0</v>
      </c>
      <c r="H1701" s="143">
        <v>0</v>
      </c>
      <c r="I1701" s="143">
        <v>0</v>
      </c>
      <c r="J1701" s="423"/>
    </row>
    <row r="1702" spans="1:10" s="147" customFormat="1" ht="27" customHeight="1" x14ac:dyDescent="0.3">
      <c r="A1702" s="315" t="s">
        <v>647</v>
      </c>
      <c r="B1702" s="110" t="s">
        <v>32</v>
      </c>
      <c r="C1702" s="143">
        <f t="shared" si="355"/>
        <v>3.57</v>
      </c>
      <c r="D1702" s="143">
        <v>3.57</v>
      </c>
      <c r="E1702" s="41">
        <v>0</v>
      </c>
      <c r="F1702" s="143">
        <v>0</v>
      </c>
      <c r="G1702" s="143">
        <v>0</v>
      </c>
      <c r="H1702" s="143">
        <v>0</v>
      </c>
      <c r="I1702" s="143">
        <v>0</v>
      </c>
      <c r="J1702" s="422"/>
    </row>
    <row r="1703" spans="1:10" s="145" customFormat="1" x14ac:dyDescent="0.3">
      <c r="A1703" s="120"/>
      <c r="B1703" s="70" t="s">
        <v>33</v>
      </c>
      <c r="C1703" s="143">
        <f t="shared" si="355"/>
        <v>3.57</v>
      </c>
      <c r="D1703" s="143">
        <v>3.57</v>
      </c>
      <c r="E1703" s="41">
        <v>0</v>
      </c>
      <c r="F1703" s="143">
        <v>0</v>
      </c>
      <c r="G1703" s="143">
        <v>0</v>
      </c>
      <c r="H1703" s="143">
        <v>0</v>
      </c>
      <c r="I1703" s="143">
        <v>0</v>
      </c>
      <c r="J1703" s="423"/>
    </row>
    <row r="1704" spans="1:10" s="147" customFormat="1" ht="30" customHeight="1" x14ac:dyDescent="0.3">
      <c r="A1704" s="314" t="s">
        <v>648</v>
      </c>
      <c r="B1704" s="110" t="s">
        <v>32</v>
      </c>
      <c r="C1704" s="143">
        <f t="shared" si="355"/>
        <v>5</v>
      </c>
      <c r="D1704" s="143">
        <v>0</v>
      </c>
      <c r="E1704" s="41">
        <v>5</v>
      </c>
      <c r="F1704" s="143">
        <v>0</v>
      </c>
      <c r="G1704" s="143">
        <v>0</v>
      </c>
      <c r="H1704" s="143">
        <v>0</v>
      </c>
      <c r="I1704" s="143">
        <v>0</v>
      </c>
      <c r="J1704" s="422"/>
    </row>
    <row r="1705" spans="1:10" s="145" customFormat="1" x14ac:dyDescent="0.3">
      <c r="A1705" s="120"/>
      <c r="B1705" s="70" t="s">
        <v>33</v>
      </c>
      <c r="C1705" s="143">
        <f t="shared" si="355"/>
        <v>5</v>
      </c>
      <c r="D1705" s="143">
        <v>0</v>
      </c>
      <c r="E1705" s="41">
        <v>5</v>
      </c>
      <c r="F1705" s="143">
        <v>0</v>
      </c>
      <c r="G1705" s="143">
        <v>0</v>
      </c>
      <c r="H1705" s="143">
        <v>0</v>
      </c>
      <c r="I1705" s="143">
        <v>0</v>
      </c>
      <c r="J1705" s="423"/>
    </row>
    <row r="1706" spans="1:10" s="126" customFormat="1" ht="24.9" x14ac:dyDescent="0.3">
      <c r="A1706" s="133" t="s">
        <v>649</v>
      </c>
      <c r="B1706" s="124" t="s">
        <v>32</v>
      </c>
      <c r="C1706" s="122">
        <f t="shared" si="348"/>
        <v>115</v>
      </c>
      <c r="D1706" s="122">
        <f>D1708+D1710+D1712+D1714+D1716</f>
        <v>0</v>
      </c>
      <c r="E1706" s="122">
        <f t="shared" ref="E1706:I1707" si="356">E1708+E1710+E1712+E1714+E1716</f>
        <v>115</v>
      </c>
      <c r="F1706" s="122">
        <f t="shared" si="356"/>
        <v>0</v>
      </c>
      <c r="G1706" s="122">
        <f t="shared" si="356"/>
        <v>0</v>
      </c>
      <c r="H1706" s="122">
        <f t="shared" si="356"/>
        <v>0</v>
      </c>
      <c r="I1706" s="122">
        <f t="shared" si="356"/>
        <v>0</v>
      </c>
    </row>
    <row r="1707" spans="1:10" s="126" customFormat="1" x14ac:dyDescent="0.3">
      <c r="A1707" s="127"/>
      <c r="B1707" s="128" t="s">
        <v>33</v>
      </c>
      <c r="C1707" s="122">
        <f t="shared" si="348"/>
        <v>115</v>
      </c>
      <c r="D1707" s="122">
        <f>D1709+D1711+D1713+D1715+D1717</f>
        <v>0</v>
      </c>
      <c r="E1707" s="122">
        <f t="shared" si="356"/>
        <v>115</v>
      </c>
      <c r="F1707" s="122">
        <f t="shared" si="356"/>
        <v>0</v>
      </c>
      <c r="G1707" s="122">
        <f t="shared" si="356"/>
        <v>0</v>
      </c>
      <c r="H1707" s="122">
        <f t="shared" si="356"/>
        <v>0</v>
      </c>
      <c r="I1707" s="122">
        <f t="shared" si="356"/>
        <v>0</v>
      </c>
    </row>
    <row r="1708" spans="1:10" s="65" customFormat="1" ht="16.5" customHeight="1" x14ac:dyDescent="0.3">
      <c r="A1708" s="315" t="s">
        <v>650</v>
      </c>
      <c r="B1708" s="40" t="s">
        <v>32</v>
      </c>
      <c r="C1708" s="41">
        <f t="shared" ref="C1708:C1751" si="357">D1708+E1708+F1708+G1708+H1708+I1708</f>
        <v>22</v>
      </c>
      <c r="D1708" s="41">
        <v>0</v>
      </c>
      <c r="E1708" s="41">
        <v>22</v>
      </c>
      <c r="F1708" s="41">
        <v>0</v>
      </c>
      <c r="G1708" s="41">
        <v>0</v>
      </c>
      <c r="H1708" s="41">
        <v>0</v>
      </c>
      <c r="I1708" s="41">
        <v>0</v>
      </c>
    </row>
    <row r="1709" spans="1:10" s="42" customFormat="1" x14ac:dyDescent="0.3">
      <c r="A1709" s="302"/>
      <c r="B1709" s="44" t="s">
        <v>33</v>
      </c>
      <c r="C1709" s="41">
        <f t="shared" si="357"/>
        <v>22</v>
      </c>
      <c r="D1709" s="41">
        <v>0</v>
      </c>
      <c r="E1709" s="41">
        <v>22</v>
      </c>
      <c r="F1709" s="41">
        <v>0</v>
      </c>
      <c r="G1709" s="41">
        <v>0</v>
      </c>
      <c r="H1709" s="41">
        <v>0</v>
      </c>
      <c r="I1709" s="41">
        <v>0</v>
      </c>
    </row>
    <row r="1710" spans="1:10" s="65" customFormat="1" ht="24.9" x14ac:dyDescent="0.3">
      <c r="A1710" s="424" t="s">
        <v>651</v>
      </c>
      <c r="B1710" s="40" t="s">
        <v>32</v>
      </c>
      <c r="C1710" s="41">
        <f t="shared" si="357"/>
        <v>18</v>
      </c>
      <c r="D1710" s="41">
        <v>0</v>
      </c>
      <c r="E1710" s="41">
        <v>18</v>
      </c>
      <c r="F1710" s="41">
        <v>0</v>
      </c>
      <c r="G1710" s="41">
        <v>0</v>
      </c>
      <c r="H1710" s="41">
        <v>0</v>
      </c>
      <c r="I1710" s="41">
        <v>0</v>
      </c>
    </row>
    <row r="1711" spans="1:10" s="42" customFormat="1" x14ac:dyDescent="0.3">
      <c r="A1711" s="302"/>
      <c r="B1711" s="44" t="s">
        <v>33</v>
      </c>
      <c r="C1711" s="41">
        <f t="shared" si="357"/>
        <v>18</v>
      </c>
      <c r="D1711" s="41">
        <v>0</v>
      </c>
      <c r="E1711" s="41">
        <v>18</v>
      </c>
      <c r="F1711" s="41">
        <v>0</v>
      </c>
      <c r="G1711" s="41">
        <v>0</v>
      </c>
      <c r="H1711" s="41">
        <v>0</v>
      </c>
      <c r="I1711" s="41">
        <v>0</v>
      </c>
    </row>
    <row r="1712" spans="1:10" s="105" customFormat="1" ht="27.75" customHeight="1" x14ac:dyDescent="0.3">
      <c r="A1712" s="315" t="s">
        <v>652</v>
      </c>
      <c r="B1712" s="110" t="s">
        <v>32</v>
      </c>
      <c r="C1712" s="108">
        <f t="shared" si="357"/>
        <v>8</v>
      </c>
      <c r="D1712" s="108">
        <v>0</v>
      </c>
      <c r="E1712" s="108">
        <v>8</v>
      </c>
      <c r="F1712" s="108">
        <v>0</v>
      </c>
      <c r="G1712" s="108">
        <v>0</v>
      </c>
      <c r="H1712" s="108">
        <v>0</v>
      </c>
      <c r="I1712" s="108">
        <v>0</v>
      </c>
    </row>
    <row r="1713" spans="1:10" s="78" customFormat="1" ht="14.25" customHeight="1" x14ac:dyDescent="0.3">
      <c r="A1713" s="120"/>
      <c r="B1713" s="70" t="s">
        <v>33</v>
      </c>
      <c r="C1713" s="108">
        <f t="shared" si="357"/>
        <v>8</v>
      </c>
      <c r="D1713" s="108">
        <v>0</v>
      </c>
      <c r="E1713" s="108">
        <v>8</v>
      </c>
      <c r="F1713" s="108">
        <v>0</v>
      </c>
      <c r="G1713" s="108">
        <v>0</v>
      </c>
      <c r="H1713" s="108">
        <v>0</v>
      </c>
      <c r="I1713" s="108">
        <v>0</v>
      </c>
    </row>
    <row r="1714" spans="1:10" s="105" customFormat="1" ht="15" customHeight="1" x14ac:dyDescent="0.3">
      <c r="A1714" s="315" t="s">
        <v>653</v>
      </c>
      <c r="B1714" s="110" t="s">
        <v>32</v>
      </c>
      <c r="C1714" s="108">
        <f t="shared" si="357"/>
        <v>3</v>
      </c>
      <c r="D1714" s="108">
        <v>0</v>
      </c>
      <c r="E1714" s="108">
        <v>3</v>
      </c>
      <c r="F1714" s="108">
        <v>0</v>
      </c>
      <c r="G1714" s="108">
        <v>0</v>
      </c>
      <c r="H1714" s="108">
        <v>0</v>
      </c>
      <c r="I1714" s="108">
        <v>0</v>
      </c>
    </row>
    <row r="1715" spans="1:10" s="78" customFormat="1" ht="14.25" customHeight="1" x14ac:dyDescent="0.3">
      <c r="A1715" s="120"/>
      <c r="B1715" s="70" t="s">
        <v>33</v>
      </c>
      <c r="C1715" s="108">
        <f t="shared" si="357"/>
        <v>3</v>
      </c>
      <c r="D1715" s="108">
        <v>0</v>
      </c>
      <c r="E1715" s="108">
        <v>3</v>
      </c>
      <c r="F1715" s="108">
        <v>0</v>
      </c>
      <c r="G1715" s="108">
        <v>0</v>
      </c>
      <c r="H1715" s="108">
        <v>0</v>
      </c>
      <c r="I1715" s="108">
        <v>0</v>
      </c>
    </row>
    <row r="1716" spans="1:10" s="105" customFormat="1" ht="27" customHeight="1" x14ac:dyDescent="0.3">
      <c r="A1716" s="315" t="s">
        <v>654</v>
      </c>
      <c r="B1716" s="110" t="s">
        <v>32</v>
      </c>
      <c r="C1716" s="108">
        <f t="shared" si="357"/>
        <v>64</v>
      </c>
      <c r="D1716" s="108">
        <v>0</v>
      </c>
      <c r="E1716" s="108">
        <v>64</v>
      </c>
      <c r="F1716" s="108">
        <v>0</v>
      </c>
      <c r="G1716" s="108">
        <v>0</v>
      </c>
      <c r="H1716" s="108">
        <v>0</v>
      </c>
      <c r="I1716" s="108">
        <v>0</v>
      </c>
    </row>
    <row r="1717" spans="1:10" s="78" customFormat="1" ht="14.25" customHeight="1" x14ac:dyDescent="0.3">
      <c r="A1717" s="120"/>
      <c r="B1717" s="70" t="s">
        <v>33</v>
      </c>
      <c r="C1717" s="108">
        <f t="shared" si="357"/>
        <v>64</v>
      </c>
      <c r="D1717" s="108">
        <v>0</v>
      </c>
      <c r="E1717" s="108">
        <v>64</v>
      </c>
      <c r="F1717" s="108">
        <v>0</v>
      </c>
      <c r="G1717" s="108">
        <v>0</v>
      </c>
      <c r="H1717" s="108">
        <v>0</v>
      </c>
      <c r="I1717" s="108">
        <v>0</v>
      </c>
    </row>
    <row r="1718" spans="1:10" s="14" customFormat="1" x14ac:dyDescent="0.3">
      <c r="A1718" s="15" t="s">
        <v>655</v>
      </c>
      <c r="B1718" s="12" t="s">
        <v>32</v>
      </c>
      <c r="C1718" s="36">
        <f t="shared" si="357"/>
        <v>16.600000000000001</v>
      </c>
      <c r="D1718" s="36">
        <f>D1720+D1722</f>
        <v>7.6</v>
      </c>
      <c r="E1718" s="36">
        <f t="shared" ref="E1718:I1719" si="358">E1720+E1722</f>
        <v>9</v>
      </c>
      <c r="F1718" s="36">
        <f t="shared" si="358"/>
        <v>0</v>
      </c>
      <c r="G1718" s="36">
        <f t="shared" si="358"/>
        <v>0</v>
      </c>
      <c r="H1718" s="36">
        <f t="shared" si="358"/>
        <v>0</v>
      </c>
      <c r="I1718" s="36">
        <f t="shared" si="358"/>
        <v>0</v>
      </c>
    </row>
    <row r="1719" spans="1:10" s="14" customFormat="1" x14ac:dyDescent="0.3">
      <c r="A1719" s="19"/>
      <c r="B1719" s="23" t="s">
        <v>33</v>
      </c>
      <c r="C1719" s="36">
        <f t="shared" si="357"/>
        <v>16.600000000000001</v>
      </c>
      <c r="D1719" s="36">
        <f>D1721+D1723</f>
        <v>7.6</v>
      </c>
      <c r="E1719" s="36">
        <f t="shared" si="358"/>
        <v>9</v>
      </c>
      <c r="F1719" s="36">
        <f t="shared" si="358"/>
        <v>0</v>
      </c>
      <c r="G1719" s="36">
        <f t="shared" si="358"/>
        <v>0</v>
      </c>
      <c r="H1719" s="36">
        <f t="shared" si="358"/>
        <v>0</v>
      </c>
      <c r="I1719" s="36">
        <f t="shared" si="358"/>
        <v>0</v>
      </c>
    </row>
    <row r="1720" spans="1:10" s="65" customFormat="1" x14ac:dyDescent="0.3">
      <c r="A1720" s="425" t="s">
        <v>656</v>
      </c>
      <c r="B1720" s="40" t="s">
        <v>32</v>
      </c>
      <c r="C1720" s="41">
        <f t="shared" si="357"/>
        <v>13.6</v>
      </c>
      <c r="D1720" s="41">
        <v>7.6</v>
      </c>
      <c r="E1720" s="41">
        <v>6</v>
      </c>
      <c r="F1720" s="41">
        <v>0</v>
      </c>
      <c r="G1720" s="41">
        <v>0</v>
      </c>
      <c r="H1720" s="41">
        <v>0</v>
      </c>
      <c r="I1720" s="41">
        <v>0</v>
      </c>
    </row>
    <row r="1721" spans="1:10" s="42" customFormat="1" x14ac:dyDescent="0.3">
      <c r="A1721" s="63"/>
      <c r="B1721" s="44" t="s">
        <v>33</v>
      </c>
      <c r="C1721" s="41">
        <f t="shared" si="357"/>
        <v>13.6</v>
      </c>
      <c r="D1721" s="41">
        <v>7.6</v>
      </c>
      <c r="E1721" s="41">
        <v>6</v>
      </c>
      <c r="F1721" s="41">
        <v>0</v>
      </c>
      <c r="G1721" s="41">
        <v>0</v>
      </c>
      <c r="H1721" s="41">
        <v>0</v>
      </c>
      <c r="I1721" s="41">
        <v>0</v>
      </c>
    </row>
    <row r="1722" spans="1:10" s="65" customFormat="1" x14ac:dyDescent="0.3">
      <c r="A1722" s="425" t="s">
        <v>657</v>
      </c>
      <c r="B1722" s="40" t="s">
        <v>32</v>
      </c>
      <c r="C1722" s="41">
        <f t="shared" si="357"/>
        <v>3</v>
      </c>
      <c r="D1722" s="41">
        <v>0</v>
      </c>
      <c r="E1722" s="41">
        <v>3</v>
      </c>
      <c r="F1722" s="41">
        <v>0</v>
      </c>
      <c r="G1722" s="41">
        <v>0</v>
      </c>
      <c r="H1722" s="41">
        <v>0</v>
      </c>
      <c r="I1722" s="41">
        <v>0</v>
      </c>
    </row>
    <row r="1723" spans="1:10" s="42" customFormat="1" x14ac:dyDescent="0.3">
      <c r="A1723" s="63"/>
      <c r="B1723" s="44" t="s">
        <v>33</v>
      </c>
      <c r="C1723" s="41">
        <f t="shared" si="357"/>
        <v>3</v>
      </c>
      <c r="D1723" s="41">
        <v>0</v>
      </c>
      <c r="E1723" s="41">
        <v>3</v>
      </c>
      <c r="F1723" s="41">
        <v>0</v>
      </c>
      <c r="G1723" s="41">
        <v>0</v>
      </c>
      <c r="H1723" s="41">
        <v>0</v>
      </c>
      <c r="I1723" s="41">
        <v>0</v>
      </c>
    </row>
    <row r="1724" spans="1:10" s="126" customFormat="1" x14ac:dyDescent="0.3">
      <c r="A1724" s="285" t="s">
        <v>658</v>
      </c>
      <c r="B1724" s="124" t="s">
        <v>32</v>
      </c>
      <c r="C1724" s="122">
        <f t="shared" si="357"/>
        <v>1267</v>
      </c>
      <c r="D1724" s="122">
        <f>D1726+D1728+D1730+D1732+D1734+D1736+D1738</f>
        <v>357</v>
      </c>
      <c r="E1724" s="122">
        <f t="shared" ref="E1724:I1725" si="359">E1726+E1728+E1730+E1732+E1734+E1736+E1738</f>
        <v>696</v>
      </c>
      <c r="F1724" s="122">
        <f t="shared" si="359"/>
        <v>0</v>
      </c>
      <c r="G1724" s="122">
        <f t="shared" si="359"/>
        <v>0</v>
      </c>
      <c r="H1724" s="122">
        <f t="shared" si="359"/>
        <v>0</v>
      </c>
      <c r="I1724" s="122">
        <f t="shared" si="359"/>
        <v>214</v>
      </c>
    </row>
    <row r="1725" spans="1:10" s="126" customFormat="1" x14ac:dyDescent="0.3">
      <c r="A1725" s="127"/>
      <c r="B1725" s="128" t="s">
        <v>33</v>
      </c>
      <c r="C1725" s="122">
        <f t="shared" si="357"/>
        <v>1267</v>
      </c>
      <c r="D1725" s="122">
        <f>D1727+D1729+D1731+D1733+D1735+D1737+D1739</f>
        <v>357</v>
      </c>
      <c r="E1725" s="122">
        <f t="shared" si="359"/>
        <v>696</v>
      </c>
      <c r="F1725" s="122">
        <f t="shared" si="359"/>
        <v>0</v>
      </c>
      <c r="G1725" s="122">
        <f t="shared" si="359"/>
        <v>0</v>
      </c>
      <c r="H1725" s="122">
        <f t="shared" si="359"/>
        <v>0</v>
      </c>
      <c r="I1725" s="122">
        <f t="shared" si="359"/>
        <v>214</v>
      </c>
    </row>
    <row r="1726" spans="1:10" s="147" customFormat="1" ht="28.5" customHeight="1" x14ac:dyDescent="0.3">
      <c r="A1726" s="426" t="s">
        <v>659</v>
      </c>
      <c r="B1726" s="146" t="s">
        <v>32</v>
      </c>
      <c r="C1726" s="143">
        <f t="shared" si="357"/>
        <v>200</v>
      </c>
      <c r="D1726" s="143">
        <v>16</v>
      </c>
      <c r="E1726" s="41">
        <v>0</v>
      </c>
      <c r="F1726" s="143">
        <v>0</v>
      </c>
      <c r="G1726" s="143">
        <v>0</v>
      </c>
      <c r="H1726" s="143">
        <v>0</v>
      </c>
      <c r="I1726" s="143">
        <f>200-16</f>
        <v>184</v>
      </c>
      <c r="J1726" s="105"/>
    </row>
    <row r="1727" spans="1:10" s="260" customFormat="1" ht="13.5" customHeight="1" x14ac:dyDescent="0.3">
      <c r="A1727" s="302"/>
      <c r="B1727" s="142" t="s">
        <v>33</v>
      </c>
      <c r="C1727" s="143">
        <f t="shared" si="357"/>
        <v>200</v>
      </c>
      <c r="D1727" s="143">
        <v>16</v>
      </c>
      <c r="E1727" s="41">
        <v>0</v>
      </c>
      <c r="F1727" s="143">
        <v>0</v>
      </c>
      <c r="G1727" s="143">
        <v>0</v>
      </c>
      <c r="H1727" s="143">
        <v>0</v>
      </c>
      <c r="I1727" s="143">
        <f>200-16</f>
        <v>184</v>
      </c>
      <c r="J1727" s="68"/>
    </row>
    <row r="1728" spans="1:10" s="145" customFormat="1" ht="62.15" x14ac:dyDescent="0.3">
      <c r="A1728" s="114" t="s">
        <v>660</v>
      </c>
      <c r="B1728" s="421" t="s">
        <v>32</v>
      </c>
      <c r="C1728" s="143">
        <f t="shared" si="357"/>
        <v>300</v>
      </c>
      <c r="D1728" s="143">
        <v>270</v>
      </c>
      <c r="E1728" s="41">
        <v>0</v>
      </c>
      <c r="F1728" s="143">
        <v>0</v>
      </c>
      <c r="G1728" s="143">
        <v>0</v>
      </c>
      <c r="H1728" s="143">
        <v>0</v>
      </c>
      <c r="I1728" s="143">
        <f>300-270</f>
        <v>30</v>
      </c>
    </row>
    <row r="1729" spans="1:9" s="145" customFormat="1" x14ac:dyDescent="0.3">
      <c r="A1729" s="120"/>
      <c r="B1729" s="70" t="s">
        <v>33</v>
      </c>
      <c r="C1729" s="143">
        <f t="shared" si="357"/>
        <v>300</v>
      </c>
      <c r="D1729" s="143">
        <v>270</v>
      </c>
      <c r="E1729" s="41">
        <v>0</v>
      </c>
      <c r="F1729" s="143">
        <v>0</v>
      </c>
      <c r="G1729" s="143">
        <v>0</v>
      </c>
      <c r="H1729" s="143">
        <v>0</v>
      </c>
      <c r="I1729" s="143">
        <f>300-270</f>
        <v>30</v>
      </c>
    </row>
    <row r="1730" spans="1:9" s="145" customFormat="1" x14ac:dyDescent="0.3">
      <c r="A1730" s="114" t="s">
        <v>661</v>
      </c>
      <c r="B1730" s="110" t="s">
        <v>32</v>
      </c>
      <c r="C1730" s="143">
        <f t="shared" si="357"/>
        <v>3</v>
      </c>
      <c r="D1730" s="143">
        <v>3</v>
      </c>
      <c r="E1730" s="41">
        <v>0</v>
      </c>
      <c r="F1730" s="143">
        <v>0</v>
      </c>
      <c r="G1730" s="143">
        <v>0</v>
      </c>
      <c r="H1730" s="143">
        <v>0</v>
      </c>
      <c r="I1730" s="143">
        <v>0</v>
      </c>
    </row>
    <row r="1731" spans="1:9" s="145" customFormat="1" x14ac:dyDescent="0.3">
      <c r="A1731" s="120"/>
      <c r="B1731" s="70" t="s">
        <v>33</v>
      </c>
      <c r="C1731" s="143">
        <f t="shared" si="357"/>
        <v>3</v>
      </c>
      <c r="D1731" s="143">
        <v>3</v>
      </c>
      <c r="E1731" s="41">
        <v>0</v>
      </c>
      <c r="F1731" s="143">
        <v>0</v>
      </c>
      <c r="G1731" s="143">
        <v>0</v>
      </c>
      <c r="H1731" s="143">
        <v>0</v>
      </c>
      <c r="I1731" s="143">
        <v>0</v>
      </c>
    </row>
    <row r="1732" spans="1:9" s="147" customFormat="1" ht="42.45" x14ac:dyDescent="0.35">
      <c r="A1732" s="327" t="s">
        <v>662</v>
      </c>
      <c r="B1732" s="110" t="s">
        <v>32</v>
      </c>
      <c r="C1732" s="143">
        <f t="shared" si="357"/>
        <v>68</v>
      </c>
      <c r="D1732" s="143">
        <v>68</v>
      </c>
      <c r="E1732" s="41">
        <v>0</v>
      </c>
      <c r="F1732" s="143">
        <v>0</v>
      </c>
      <c r="G1732" s="143">
        <v>0</v>
      </c>
      <c r="H1732" s="143">
        <v>0</v>
      </c>
      <c r="I1732" s="143">
        <v>0</v>
      </c>
    </row>
    <row r="1733" spans="1:9" s="145" customFormat="1" x14ac:dyDescent="0.3">
      <c r="A1733" s="120"/>
      <c r="B1733" s="70" t="s">
        <v>33</v>
      </c>
      <c r="C1733" s="143">
        <f t="shared" si="357"/>
        <v>68</v>
      </c>
      <c r="D1733" s="143">
        <v>68</v>
      </c>
      <c r="E1733" s="41">
        <v>0</v>
      </c>
      <c r="F1733" s="143">
        <v>0</v>
      </c>
      <c r="G1733" s="143">
        <v>0</v>
      </c>
      <c r="H1733" s="143">
        <v>0</v>
      </c>
      <c r="I1733" s="143">
        <v>0</v>
      </c>
    </row>
    <row r="1734" spans="1:9" s="147" customFormat="1" ht="70.75" x14ac:dyDescent="0.3">
      <c r="A1734" s="427" t="s">
        <v>663</v>
      </c>
      <c r="B1734" s="110" t="s">
        <v>32</v>
      </c>
      <c r="C1734" s="143">
        <f t="shared" si="357"/>
        <v>298</v>
      </c>
      <c r="D1734" s="143">
        <v>0</v>
      </c>
      <c r="E1734" s="41">
        <v>298</v>
      </c>
      <c r="F1734" s="143">
        <v>0</v>
      </c>
      <c r="G1734" s="143">
        <v>0</v>
      </c>
      <c r="H1734" s="143">
        <v>0</v>
      </c>
      <c r="I1734" s="143">
        <v>0</v>
      </c>
    </row>
    <row r="1735" spans="1:9" s="145" customFormat="1" x14ac:dyDescent="0.3">
      <c r="A1735" s="120"/>
      <c r="B1735" s="70" t="s">
        <v>33</v>
      </c>
      <c r="C1735" s="143">
        <f t="shared" si="357"/>
        <v>298</v>
      </c>
      <c r="D1735" s="143">
        <v>0</v>
      </c>
      <c r="E1735" s="41">
        <v>298</v>
      </c>
      <c r="F1735" s="143">
        <v>0</v>
      </c>
      <c r="G1735" s="143">
        <v>0</v>
      </c>
      <c r="H1735" s="143">
        <v>0</v>
      </c>
      <c r="I1735" s="143">
        <v>0</v>
      </c>
    </row>
    <row r="1736" spans="1:9" s="147" customFormat="1" ht="70.75" x14ac:dyDescent="0.3">
      <c r="A1736" s="427" t="s">
        <v>664</v>
      </c>
      <c r="B1736" s="110" t="s">
        <v>32</v>
      </c>
      <c r="C1736" s="143">
        <f t="shared" si="357"/>
        <v>118</v>
      </c>
      <c r="D1736" s="143">
        <v>0</v>
      </c>
      <c r="E1736" s="41">
        <v>118</v>
      </c>
      <c r="F1736" s="143">
        <v>0</v>
      </c>
      <c r="G1736" s="143">
        <v>0</v>
      </c>
      <c r="H1736" s="143">
        <v>0</v>
      </c>
      <c r="I1736" s="143">
        <v>0</v>
      </c>
    </row>
    <row r="1737" spans="1:9" s="145" customFormat="1" x14ac:dyDescent="0.3">
      <c r="A1737" s="120"/>
      <c r="B1737" s="70" t="s">
        <v>33</v>
      </c>
      <c r="C1737" s="143">
        <f t="shared" si="357"/>
        <v>118</v>
      </c>
      <c r="D1737" s="143">
        <v>0</v>
      </c>
      <c r="E1737" s="41">
        <v>118</v>
      </c>
      <c r="F1737" s="143">
        <v>0</v>
      </c>
      <c r="G1737" s="143">
        <v>0</v>
      </c>
      <c r="H1737" s="143">
        <v>0</v>
      </c>
      <c r="I1737" s="143">
        <v>0</v>
      </c>
    </row>
    <row r="1738" spans="1:9" s="147" customFormat="1" ht="45" customHeight="1" x14ac:dyDescent="0.3">
      <c r="A1738" s="314" t="s">
        <v>665</v>
      </c>
      <c r="B1738" s="110" t="s">
        <v>32</v>
      </c>
      <c r="C1738" s="143">
        <f t="shared" si="357"/>
        <v>280</v>
      </c>
      <c r="D1738" s="143">
        <v>0</v>
      </c>
      <c r="E1738" s="41">
        <v>280</v>
      </c>
      <c r="F1738" s="143">
        <v>0</v>
      </c>
      <c r="G1738" s="143">
        <v>0</v>
      </c>
      <c r="H1738" s="143">
        <v>0</v>
      </c>
      <c r="I1738" s="143">
        <v>0</v>
      </c>
    </row>
    <row r="1739" spans="1:9" s="145" customFormat="1" x14ac:dyDescent="0.3">
      <c r="A1739" s="120"/>
      <c r="B1739" s="70" t="s">
        <v>33</v>
      </c>
      <c r="C1739" s="143">
        <f t="shared" si="357"/>
        <v>280</v>
      </c>
      <c r="D1739" s="143">
        <v>0</v>
      </c>
      <c r="E1739" s="41">
        <v>280</v>
      </c>
      <c r="F1739" s="143">
        <v>0</v>
      </c>
      <c r="G1739" s="143">
        <v>0</v>
      </c>
      <c r="H1739" s="143">
        <v>0</v>
      </c>
      <c r="I1739" s="143">
        <v>0</v>
      </c>
    </row>
    <row r="1740" spans="1:9" s="126" customFormat="1" x14ac:dyDescent="0.3">
      <c r="A1740" s="285" t="s">
        <v>666</v>
      </c>
      <c r="B1740" s="124" t="s">
        <v>32</v>
      </c>
      <c r="C1740" s="122">
        <f t="shared" si="357"/>
        <v>9.4600000000000009</v>
      </c>
      <c r="D1740" s="122">
        <f>D1742+D1744</f>
        <v>4.46</v>
      </c>
      <c r="E1740" s="122">
        <f t="shared" ref="E1740:I1741" si="360">E1742+E1744</f>
        <v>5</v>
      </c>
      <c r="F1740" s="122">
        <f t="shared" si="360"/>
        <v>0</v>
      </c>
      <c r="G1740" s="122">
        <f t="shared" si="360"/>
        <v>0</v>
      </c>
      <c r="H1740" s="122">
        <f t="shared" si="360"/>
        <v>0</v>
      </c>
      <c r="I1740" s="122">
        <f t="shared" si="360"/>
        <v>0</v>
      </c>
    </row>
    <row r="1741" spans="1:9" s="126" customFormat="1" x14ac:dyDescent="0.3">
      <c r="A1741" s="127"/>
      <c r="B1741" s="128" t="s">
        <v>33</v>
      </c>
      <c r="C1741" s="122">
        <f t="shared" si="357"/>
        <v>9.4600000000000009</v>
      </c>
      <c r="D1741" s="122">
        <f>D1743+D1745</f>
        <v>4.46</v>
      </c>
      <c r="E1741" s="122">
        <f t="shared" si="360"/>
        <v>5</v>
      </c>
      <c r="F1741" s="122">
        <f t="shared" si="360"/>
        <v>0</v>
      </c>
      <c r="G1741" s="122">
        <f t="shared" si="360"/>
        <v>0</v>
      </c>
      <c r="H1741" s="122">
        <f t="shared" si="360"/>
        <v>0</v>
      </c>
      <c r="I1741" s="122">
        <f t="shared" si="360"/>
        <v>0</v>
      </c>
    </row>
    <row r="1742" spans="1:9" s="147" customFormat="1" x14ac:dyDescent="0.3">
      <c r="A1742" s="1077" t="s">
        <v>667</v>
      </c>
      <c r="B1742" s="146" t="s">
        <v>32</v>
      </c>
      <c r="C1742" s="143">
        <f t="shared" si="357"/>
        <v>4.46</v>
      </c>
      <c r="D1742" s="143">
        <v>4.46</v>
      </c>
      <c r="E1742" s="41">
        <v>0</v>
      </c>
      <c r="F1742" s="143">
        <v>0</v>
      </c>
      <c r="G1742" s="143">
        <v>0</v>
      </c>
      <c r="H1742" s="143">
        <v>0</v>
      </c>
      <c r="I1742" s="143">
        <v>0</v>
      </c>
    </row>
    <row r="1743" spans="1:9" s="145" customFormat="1" x14ac:dyDescent="0.3">
      <c r="A1743" s="1078"/>
      <c r="B1743" s="142" t="s">
        <v>33</v>
      </c>
      <c r="C1743" s="143">
        <f t="shared" si="357"/>
        <v>4.46</v>
      </c>
      <c r="D1743" s="143">
        <v>4.46</v>
      </c>
      <c r="E1743" s="41">
        <v>0</v>
      </c>
      <c r="F1743" s="143">
        <v>0</v>
      </c>
      <c r="G1743" s="143">
        <v>0</v>
      </c>
      <c r="H1743" s="143">
        <v>0</v>
      </c>
      <c r="I1743" s="143">
        <v>0</v>
      </c>
    </row>
    <row r="1744" spans="1:9" s="147" customFormat="1" x14ac:dyDescent="0.3">
      <c r="A1744" s="1077" t="s">
        <v>668</v>
      </c>
      <c r="B1744" s="146" t="s">
        <v>32</v>
      </c>
      <c r="C1744" s="143">
        <f t="shared" si="357"/>
        <v>5</v>
      </c>
      <c r="D1744" s="143">
        <v>0</v>
      </c>
      <c r="E1744" s="41">
        <v>5</v>
      </c>
      <c r="F1744" s="143">
        <v>0</v>
      </c>
      <c r="G1744" s="143">
        <v>0</v>
      </c>
      <c r="H1744" s="143">
        <v>0</v>
      </c>
      <c r="I1744" s="143">
        <v>0</v>
      </c>
    </row>
    <row r="1745" spans="1:9" s="145" customFormat="1" x14ac:dyDescent="0.3">
      <c r="A1745" s="1078"/>
      <c r="B1745" s="142" t="s">
        <v>33</v>
      </c>
      <c r="C1745" s="143">
        <f t="shared" si="357"/>
        <v>5</v>
      </c>
      <c r="D1745" s="143">
        <v>0</v>
      </c>
      <c r="E1745" s="41">
        <v>5</v>
      </c>
      <c r="F1745" s="143">
        <v>0</v>
      </c>
      <c r="G1745" s="143">
        <v>0</v>
      </c>
      <c r="H1745" s="143">
        <v>0</v>
      </c>
      <c r="I1745" s="143">
        <v>0</v>
      </c>
    </row>
    <row r="1746" spans="1:9" s="126" customFormat="1" ht="14.15" x14ac:dyDescent="0.35">
      <c r="A1746" s="428" t="s">
        <v>669</v>
      </c>
      <c r="B1746" s="124" t="s">
        <v>32</v>
      </c>
      <c r="C1746" s="122">
        <f t="shared" si="357"/>
        <v>68</v>
      </c>
      <c r="D1746" s="122">
        <f>D1748+D1750</f>
        <v>0</v>
      </c>
      <c r="E1746" s="122">
        <f t="shared" ref="E1746:I1747" si="361">E1748+E1750</f>
        <v>68</v>
      </c>
      <c r="F1746" s="122">
        <f t="shared" si="361"/>
        <v>0</v>
      </c>
      <c r="G1746" s="122">
        <f t="shared" si="361"/>
        <v>0</v>
      </c>
      <c r="H1746" s="122">
        <f t="shared" si="361"/>
        <v>0</v>
      </c>
      <c r="I1746" s="122">
        <f t="shared" si="361"/>
        <v>0</v>
      </c>
    </row>
    <row r="1747" spans="1:9" s="126" customFormat="1" x14ac:dyDescent="0.3">
      <c r="A1747" s="127"/>
      <c r="B1747" s="128" t="s">
        <v>33</v>
      </c>
      <c r="C1747" s="122">
        <f t="shared" si="357"/>
        <v>68</v>
      </c>
      <c r="D1747" s="122">
        <f>D1749+D1751</f>
        <v>0</v>
      </c>
      <c r="E1747" s="122">
        <f t="shared" si="361"/>
        <v>68</v>
      </c>
      <c r="F1747" s="122">
        <f t="shared" si="361"/>
        <v>0</v>
      </c>
      <c r="G1747" s="122">
        <f t="shared" si="361"/>
        <v>0</v>
      </c>
      <c r="H1747" s="122">
        <f t="shared" si="361"/>
        <v>0</v>
      </c>
      <c r="I1747" s="122">
        <f t="shared" si="361"/>
        <v>0</v>
      </c>
    </row>
    <row r="1748" spans="1:9" s="147" customFormat="1" ht="28.3" x14ac:dyDescent="0.35">
      <c r="A1748" s="429" t="s">
        <v>670</v>
      </c>
      <c r="B1748" s="146" t="s">
        <v>32</v>
      </c>
      <c r="C1748" s="143">
        <f t="shared" si="357"/>
        <v>28</v>
      </c>
      <c r="D1748" s="143">
        <v>0</v>
      </c>
      <c r="E1748" s="41">
        <f>22+6</f>
        <v>28</v>
      </c>
      <c r="F1748" s="143">
        <v>0</v>
      </c>
      <c r="G1748" s="143">
        <v>0</v>
      </c>
      <c r="H1748" s="143">
        <v>0</v>
      </c>
      <c r="I1748" s="143">
        <v>0</v>
      </c>
    </row>
    <row r="1749" spans="1:9" s="145" customFormat="1" ht="14.15" x14ac:dyDescent="0.35">
      <c r="A1749" s="430"/>
      <c r="B1749" s="99" t="s">
        <v>33</v>
      </c>
      <c r="C1749" s="143">
        <f t="shared" si="357"/>
        <v>28</v>
      </c>
      <c r="D1749" s="143">
        <v>0</v>
      </c>
      <c r="E1749" s="41">
        <f>22+6</f>
        <v>28</v>
      </c>
      <c r="F1749" s="143">
        <v>0</v>
      </c>
      <c r="G1749" s="143">
        <v>0</v>
      </c>
      <c r="H1749" s="143">
        <v>0</v>
      </c>
      <c r="I1749" s="143">
        <v>0</v>
      </c>
    </row>
    <row r="1750" spans="1:9" s="147" customFormat="1" ht="51.75" customHeight="1" x14ac:dyDescent="0.3">
      <c r="A1750" s="315" t="s">
        <v>671</v>
      </c>
      <c r="B1750" s="146" t="s">
        <v>32</v>
      </c>
      <c r="C1750" s="143">
        <f t="shared" si="357"/>
        <v>40</v>
      </c>
      <c r="D1750" s="143">
        <v>0</v>
      </c>
      <c r="E1750" s="41">
        <v>40</v>
      </c>
      <c r="F1750" s="143">
        <v>0</v>
      </c>
      <c r="G1750" s="143">
        <v>0</v>
      </c>
      <c r="H1750" s="143">
        <v>0</v>
      </c>
      <c r="I1750" s="143">
        <v>0</v>
      </c>
    </row>
    <row r="1751" spans="1:9" s="145" customFormat="1" ht="14.15" x14ac:dyDescent="0.35">
      <c r="A1751" s="430"/>
      <c r="B1751" s="99" t="s">
        <v>33</v>
      </c>
      <c r="C1751" s="143">
        <f t="shared" si="357"/>
        <v>40</v>
      </c>
      <c r="D1751" s="143">
        <v>0</v>
      </c>
      <c r="E1751" s="41">
        <v>40</v>
      </c>
      <c r="F1751" s="143">
        <v>0</v>
      </c>
      <c r="G1751" s="143">
        <v>0</v>
      </c>
      <c r="H1751" s="143">
        <v>0</v>
      </c>
      <c r="I1751" s="143">
        <v>0</v>
      </c>
    </row>
    <row r="1752" spans="1:9" x14ac:dyDescent="0.3">
      <c r="A1752" s="1079" t="s">
        <v>464</v>
      </c>
      <c r="B1752" s="1080"/>
      <c r="C1752" s="1081"/>
      <c r="D1752" s="1081"/>
      <c r="E1752" s="1081"/>
      <c r="F1752" s="1081"/>
      <c r="G1752" s="1081"/>
      <c r="H1752" s="1081"/>
      <c r="I1752" s="1082"/>
    </row>
    <row r="1753" spans="1:9" x14ac:dyDescent="0.3">
      <c r="A1753" s="72" t="s">
        <v>57</v>
      </c>
      <c r="B1753" s="74" t="s">
        <v>32</v>
      </c>
      <c r="C1753" s="48">
        <f t="shared" ref="C1753:C1824" si="362">D1753+E1753+F1753+G1753+H1753+I1753</f>
        <v>6224.54</v>
      </c>
      <c r="D1753" s="48">
        <f>D1755+D1767</f>
        <v>1298.8400000000001</v>
      </c>
      <c r="E1753" s="48">
        <f t="shared" ref="E1753:I1754" si="363">E1755+E1767</f>
        <v>854</v>
      </c>
      <c r="F1753" s="48">
        <f t="shared" si="363"/>
        <v>0</v>
      </c>
      <c r="G1753" s="48">
        <f t="shared" si="363"/>
        <v>0</v>
      </c>
      <c r="H1753" s="48">
        <f t="shared" si="363"/>
        <v>0</v>
      </c>
      <c r="I1753" s="48">
        <f t="shared" si="363"/>
        <v>4071.7</v>
      </c>
    </row>
    <row r="1754" spans="1:9" x14ac:dyDescent="0.3">
      <c r="A1754" s="60" t="s">
        <v>87</v>
      </c>
      <c r="B1754" s="53" t="s">
        <v>33</v>
      </c>
      <c r="C1754" s="48">
        <f t="shared" si="362"/>
        <v>6224.54</v>
      </c>
      <c r="D1754" s="48">
        <f>D1756+D1768</f>
        <v>1298.8400000000001</v>
      </c>
      <c r="E1754" s="48">
        <f t="shared" si="363"/>
        <v>854</v>
      </c>
      <c r="F1754" s="48">
        <f t="shared" si="363"/>
        <v>0</v>
      </c>
      <c r="G1754" s="48">
        <f t="shared" si="363"/>
        <v>0</v>
      </c>
      <c r="H1754" s="48">
        <f t="shared" si="363"/>
        <v>0</v>
      </c>
      <c r="I1754" s="48">
        <f t="shared" si="363"/>
        <v>4071.7</v>
      </c>
    </row>
    <row r="1755" spans="1:9" x14ac:dyDescent="0.3">
      <c r="A1755" s="61" t="s">
        <v>63</v>
      </c>
      <c r="B1755" s="47" t="s">
        <v>32</v>
      </c>
      <c r="C1755" s="48">
        <f t="shared" si="362"/>
        <v>157</v>
      </c>
      <c r="D1755" s="48">
        <f t="shared" ref="D1755:I1764" si="364">D1757</f>
        <v>0</v>
      </c>
      <c r="E1755" s="48">
        <f t="shared" si="364"/>
        <v>157</v>
      </c>
      <c r="F1755" s="48">
        <f t="shared" si="364"/>
        <v>0</v>
      </c>
      <c r="G1755" s="48">
        <f t="shared" si="364"/>
        <v>0</v>
      </c>
      <c r="H1755" s="48">
        <f t="shared" si="364"/>
        <v>0</v>
      </c>
      <c r="I1755" s="48">
        <f t="shared" si="364"/>
        <v>0</v>
      </c>
    </row>
    <row r="1756" spans="1:9" x14ac:dyDescent="0.3">
      <c r="A1756" s="63" t="s">
        <v>51</v>
      </c>
      <c r="B1756" s="53" t="s">
        <v>33</v>
      </c>
      <c r="C1756" s="48">
        <f t="shared" si="362"/>
        <v>157</v>
      </c>
      <c r="D1756" s="48">
        <f t="shared" si="364"/>
        <v>0</v>
      </c>
      <c r="E1756" s="48">
        <f t="shared" si="364"/>
        <v>157</v>
      </c>
      <c r="F1756" s="48">
        <f t="shared" si="364"/>
        <v>0</v>
      </c>
      <c r="G1756" s="48">
        <f t="shared" si="364"/>
        <v>0</v>
      </c>
      <c r="H1756" s="48">
        <f t="shared" si="364"/>
        <v>0</v>
      </c>
      <c r="I1756" s="48">
        <f t="shared" si="364"/>
        <v>0</v>
      </c>
    </row>
    <row r="1757" spans="1:9" ht="12.9" x14ac:dyDescent="0.35">
      <c r="A1757" s="54" t="s">
        <v>40</v>
      </c>
      <c r="B1757" s="35" t="s">
        <v>32</v>
      </c>
      <c r="C1757" s="48">
        <f t="shared" si="362"/>
        <v>157</v>
      </c>
      <c r="D1757" s="48">
        <f t="shared" si="364"/>
        <v>0</v>
      </c>
      <c r="E1757" s="48">
        <f t="shared" si="364"/>
        <v>157</v>
      </c>
      <c r="F1757" s="48">
        <f t="shared" si="364"/>
        <v>0</v>
      </c>
      <c r="G1757" s="48">
        <f t="shared" si="364"/>
        <v>0</v>
      </c>
      <c r="H1757" s="48">
        <f t="shared" si="364"/>
        <v>0</v>
      </c>
      <c r="I1757" s="48">
        <f t="shared" si="364"/>
        <v>0</v>
      </c>
    </row>
    <row r="1758" spans="1:9" ht="12.9" x14ac:dyDescent="0.35">
      <c r="A1758" s="43"/>
      <c r="B1758" s="38" t="s">
        <v>33</v>
      </c>
      <c r="C1758" s="48">
        <f t="shared" si="362"/>
        <v>157</v>
      </c>
      <c r="D1758" s="48">
        <f t="shared" si="364"/>
        <v>0</v>
      </c>
      <c r="E1758" s="48">
        <f t="shared" si="364"/>
        <v>157</v>
      </c>
      <c r="F1758" s="48">
        <f t="shared" si="364"/>
        <v>0</v>
      </c>
      <c r="G1758" s="48">
        <f t="shared" si="364"/>
        <v>0</v>
      </c>
      <c r="H1758" s="48">
        <f t="shared" si="364"/>
        <v>0</v>
      </c>
      <c r="I1758" s="48">
        <f t="shared" si="364"/>
        <v>0</v>
      </c>
    </row>
    <row r="1759" spans="1:9" x14ac:dyDescent="0.3">
      <c r="A1759" s="58" t="s">
        <v>53</v>
      </c>
      <c r="B1759" s="47" t="s">
        <v>32</v>
      </c>
      <c r="C1759" s="48">
        <f t="shared" si="362"/>
        <v>157</v>
      </c>
      <c r="D1759" s="48">
        <f t="shared" si="364"/>
        <v>0</v>
      </c>
      <c r="E1759" s="48">
        <f t="shared" si="364"/>
        <v>157</v>
      </c>
      <c r="F1759" s="48">
        <f t="shared" si="364"/>
        <v>0</v>
      </c>
      <c r="G1759" s="48">
        <f t="shared" si="364"/>
        <v>0</v>
      </c>
      <c r="H1759" s="48">
        <f t="shared" si="364"/>
        <v>0</v>
      </c>
      <c r="I1759" s="48">
        <f t="shared" si="364"/>
        <v>0</v>
      </c>
    </row>
    <row r="1760" spans="1:9" x14ac:dyDescent="0.3">
      <c r="A1760" s="63"/>
      <c r="B1760" s="53" t="s">
        <v>33</v>
      </c>
      <c r="C1760" s="48">
        <f t="shared" si="362"/>
        <v>157</v>
      </c>
      <c r="D1760" s="48">
        <f t="shared" si="364"/>
        <v>0</v>
      </c>
      <c r="E1760" s="48">
        <f t="shared" si="364"/>
        <v>157</v>
      </c>
      <c r="F1760" s="48">
        <f t="shared" si="364"/>
        <v>0</v>
      </c>
      <c r="G1760" s="48">
        <f t="shared" si="364"/>
        <v>0</v>
      </c>
      <c r="H1760" s="48">
        <f t="shared" si="364"/>
        <v>0</v>
      </c>
      <c r="I1760" s="48">
        <f t="shared" si="364"/>
        <v>0</v>
      </c>
    </row>
    <row r="1761" spans="1:9" s="14" customFormat="1" x14ac:dyDescent="0.3">
      <c r="A1761" s="149" t="s">
        <v>45</v>
      </c>
      <c r="B1761" s="12" t="s">
        <v>32</v>
      </c>
      <c r="C1761" s="36">
        <f t="shared" si="362"/>
        <v>157</v>
      </c>
      <c r="D1761" s="36">
        <f t="shared" si="364"/>
        <v>0</v>
      </c>
      <c r="E1761" s="36">
        <f t="shared" si="364"/>
        <v>157</v>
      </c>
      <c r="F1761" s="36">
        <f t="shared" si="364"/>
        <v>0</v>
      </c>
      <c r="G1761" s="36">
        <f t="shared" si="364"/>
        <v>0</v>
      </c>
      <c r="H1761" s="36">
        <f t="shared" si="364"/>
        <v>0</v>
      </c>
      <c r="I1761" s="36">
        <f t="shared" si="364"/>
        <v>0</v>
      </c>
    </row>
    <row r="1762" spans="1:9" s="14" customFormat="1" x14ac:dyDescent="0.3">
      <c r="A1762" s="19"/>
      <c r="B1762" s="23" t="s">
        <v>33</v>
      </c>
      <c r="C1762" s="36">
        <f t="shared" si="362"/>
        <v>157</v>
      </c>
      <c r="D1762" s="36">
        <f t="shared" si="364"/>
        <v>0</v>
      </c>
      <c r="E1762" s="36">
        <f t="shared" si="364"/>
        <v>157</v>
      </c>
      <c r="F1762" s="36">
        <f t="shared" si="364"/>
        <v>0</v>
      </c>
      <c r="G1762" s="36">
        <f t="shared" si="364"/>
        <v>0</v>
      </c>
      <c r="H1762" s="36">
        <f t="shared" si="364"/>
        <v>0</v>
      </c>
      <c r="I1762" s="36">
        <f t="shared" si="364"/>
        <v>0</v>
      </c>
    </row>
    <row r="1763" spans="1:9" s="145" customFormat="1" x14ac:dyDescent="0.3">
      <c r="A1763" s="15" t="s">
        <v>467</v>
      </c>
      <c r="B1763" s="431" t="s">
        <v>32</v>
      </c>
      <c r="C1763" s="143">
        <f t="shared" si="362"/>
        <v>157</v>
      </c>
      <c r="D1763" s="143">
        <f t="shared" si="364"/>
        <v>0</v>
      </c>
      <c r="E1763" s="143">
        <f t="shared" si="364"/>
        <v>157</v>
      </c>
      <c r="F1763" s="143">
        <f t="shared" si="364"/>
        <v>0</v>
      </c>
      <c r="G1763" s="143">
        <f t="shared" si="364"/>
        <v>0</v>
      </c>
      <c r="H1763" s="143">
        <f t="shared" si="364"/>
        <v>0</v>
      </c>
      <c r="I1763" s="143">
        <f t="shared" si="364"/>
        <v>0</v>
      </c>
    </row>
    <row r="1764" spans="1:9" s="145" customFormat="1" ht="12.9" x14ac:dyDescent="0.35">
      <c r="A1764" s="432"/>
      <c r="B1764" s="433" t="s">
        <v>33</v>
      </c>
      <c r="C1764" s="143">
        <f t="shared" si="362"/>
        <v>157</v>
      </c>
      <c r="D1764" s="143">
        <f t="shared" si="364"/>
        <v>0</v>
      </c>
      <c r="E1764" s="143">
        <f t="shared" si="364"/>
        <v>157</v>
      </c>
      <c r="F1764" s="143">
        <f t="shared" si="364"/>
        <v>0</v>
      </c>
      <c r="G1764" s="143">
        <f t="shared" si="364"/>
        <v>0</v>
      </c>
      <c r="H1764" s="143">
        <f t="shared" si="364"/>
        <v>0</v>
      </c>
      <c r="I1764" s="143">
        <f t="shared" si="364"/>
        <v>0</v>
      </c>
    </row>
    <row r="1765" spans="1:9" s="147" customFormat="1" ht="42.45" x14ac:dyDescent="0.35">
      <c r="A1765" s="293" t="s">
        <v>672</v>
      </c>
      <c r="B1765" s="431" t="s">
        <v>32</v>
      </c>
      <c r="C1765" s="143">
        <f t="shared" si="362"/>
        <v>157</v>
      </c>
      <c r="D1765" s="143">
        <v>0</v>
      </c>
      <c r="E1765" s="143">
        <v>157</v>
      </c>
      <c r="F1765" s="143">
        <v>0</v>
      </c>
      <c r="G1765" s="143">
        <v>0</v>
      </c>
      <c r="H1765" s="143">
        <v>0</v>
      </c>
      <c r="I1765" s="143">
        <v>0</v>
      </c>
    </row>
    <row r="1766" spans="1:9" s="145" customFormat="1" ht="12.9" x14ac:dyDescent="0.35">
      <c r="A1766" s="432"/>
      <c r="B1766" s="433" t="s">
        <v>33</v>
      </c>
      <c r="C1766" s="143">
        <f t="shared" si="362"/>
        <v>157</v>
      </c>
      <c r="D1766" s="143">
        <v>0</v>
      </c>
      <c r="E1766" s="143">
        <v>157</v>
      </c>
      <c r="F1766" s="143">
        <v>0</v>
      </c>
      <c r="G1766" s="143">
        <v>0</v>
      </c>
      <c r="H1766" s="143">
        <v>0</v>
      </c>
      <c r="I1766" s="143">
        <v>0</v>
      </c>
    </row>
    <row r="1767" spans="1:9" x14ac:dyDescent="0.3">
      <c r="A1767" s="61" t="s">
        <v>50</v>
      </c>
      <c r="B1767" s="47" t="s">
        <v>32</v>
      </c>
      <c r="C1767" s="48">
        <f t="shared" si="362"/>
        <v>6067.54</v>
      </c>
      <c r="D1767" s="48">
        <f t="shared" ref="D1767:I1772" si="365">D1769</f>
        <v>1298.8400000000001</v>
      </c>
      <c r="E1767" s="48">
        <f t="shared" si="365"/>
        <v>697</v>
      </c>
      <c r="F1767" s="48">
        <f t="shared" si="365"/>
        <v>0</v>
      </c>
      <c r="G1767" s="48">
        <f t="shared" si="365"/>
        <v>0</v>
      </c>
      <c r="H1767" s="48">
        <f t="shared" si="365"/>
        <v>0</v>
      </c>
      <c r="I1767" s="48">
        <f t="shared" si="365"/>
        <v>4071.7</v>
      </c>
    </row>
    <row r="1768" spans="1:9" x14ac:dyDescent="0.3">
      <c r="A1768" s="63" t="s">
        <v>51</v>
      </c>
      <c r="B1768" s="53" t="s">
        <v>33</v>
      </c>
      <c r="C1768" s="48">
        <f t="shared" si="362"/>
        <v>6067.54</v>
      </c>
      <c r="D1768" s="48">
        <f t="shared" si="365"/>
        <v>1298.8400000000001</v>
      </c>
      <c r="E1768" s="48">
        <f t="shared" si="365"/>
        <v>697</v>
      </c>
      <c r="F1768" s="48">
        <f t="shared" si="365"/>
        <v>0</v>
      </c>
      <c r="G1768" s="48">
        <f t="shared" si="365"/>
        <v>0</v>
      </c>
      <c r="H1768" s="48">
        <f t="shared" si="365"/>
        <v>0</v>
      </c>
      <c r="I1768" s="48">
        <f t="shared" si="365"/>
        <v>4071.7</v>
      </c>
    </row>
    <row r="1769" spans="1:9" ht="12.9" x14ac:dyDescent="0.35">
      <c r="A1769" s="54" t="s">
        <v>40</v>
      </c>
      <c r="B1769" s="35" t="s">
        <v>32</v>
      </c>
      <c r="C1769" s="48">
        <f t="shared" si="362"/>
        <v>6067.54</v>
      </c>
      <c r="D1769" s="48">
        <f t="shared" si="365"/>
        <v>1298.8400000000001</v>
      </c>
      <c r="E1769" s="48">
        <f t="shared" si="365"/>
        <v>697</v>
      </c>
      <c r="F1769" s="48">
        <f t="shared" si="365"/>
        <v>0</v>
      </c>
      <c r="G1769" s="48">
        <f t="shared" si="365"/>
        <v>0</v>
      </c>
      <c r="H1769" s="48">
        <f t="shared" si="365"/>
        <v>0</v>
      </c>
      <c r="I1769" s="48">
        <f t="shared" si="365"/>
        <v>4071.7</v>
      </c>
    </row>
    <row r="1770" spans="1:9" ht="12.9" x14ac:dyDescent="0.35">
      <c r="A1770" s="43"/>
      <c r="B1770" s="38" t="s">
        <v>33</v>
      </c>
      <c r="C1770" s="48">
        <f t="shared" si="362"/>
        <v>6067.54</v>
      </c>
      <c r="D1770" s="48">
        <f t="shared" si="365"/>
        <v>1298.8400000000001</v>
      </c>
      <c r="E1770" s="48">
        <f t="shared" si="365"/>
        <v>697</v>
      </c>
      <c r="F1770" s="48">
        <f t="shared" si="365"/>
        <v>0</v>
      </c>
      <c r="G1770" s="48">
        <f t="shared" si="365"/>
        <v>0</v>
      </c>
      <c r="H1770" s="48">
        <f t="shared" si="365"/>
        <v>0</v>
      </c>
      <c r="I1770" s="48">
        <f t="shared" si="365"/>
        <v>4071.7</v>
      </c>
    </row>
    <row r="1771" spans="1:9" x14ac:dyDescent="0.3">
      <c r="A1771" s="58" t="s">
        <v>53</v>
      </c>
      <c r="B1771" s="47" t="s">
        <v>32</v>
      </c>
      <c r="C1771" s="48">
        <f t="shared" si="362"/>
        <v>6067.54</v>
      </c>
      <c r="D1771" s="48">
        <f t="shared" si="365"/>
        <v>1298.8400000000001</v>
      </c>
      <c r="E1771" s="41">
        <f t="shared" si="365"/>
        <v>697</v>
      </c>
      <c r="F1771" s="48">
        <f t="shared" si="365"/>
        <v>0</v>
      </c>
      <c r="G1771" s="48">
        <f t="shared" si="365"/>
        <v>0</v>
      </c>
      <c r="H1771" s="48">
        <f t="shared" si="365"/>
        <v>0</v>
      </c>
      <c r="I1771" s="48">
        <f t="shared" si="365"/>
        <v>4071.7</v>
      </c>
    </row>
    <row r="1772" spans="1:9" x14ac:dyDescent="0.3">
      <c r="A1772" s="63"/>
      <c r="B1772" s="53" t="s">
        <v>33</v>
      </c>
      <c r="C1772" s="48">
        <f t="shared" si="362"/>
        <v>6067.54</v>
      </c>
      <c r="D1772" s="48">
        <f t="shared" si="365"/>
        <v>1298.8400000000001</v>
      </c>
      <c r="E1772" s="41">
        <f t="shared" si="365"/>
        <v>697</v>
      </c>
      <c r="F1772" s="48">
        <f t="shared" si="365"/>
        <v>0</v>
      </c>
      <c r="G1772" s="48">
        <f t="shared" si="365"/>
        <v>0</v>
      </c>
      <c r="H1772" s="48">
        <f t="shared" si="365"/>
        <v>0</v>
      </c>
      <c r="I1772" s="48">
        <f t="shared" si="365"/>
        <v>4071.7</v>
      </c>
    </row>
    <row r="1773" spans="1:9" s="14" customFormat="1" x14ac:dyDescent="0.3">
      <c r="A1773" s="149" t="s">
        <v>45</v>
      </c>
      <c r="B1773" s="12" t="s">
        <v>32</v>
      </c>
      <c r="C1773" s="36">
        <f t="shared" si="362"/>
        <v>6067.54</v>
      </c>
      <c r="D1773" s="36">
        <f t="shared" ref="D1773:I1774" si="366">D1775+D1797+D1811+D1815+D1819</f>
        <v>1298.8400000000001</v>
      </c>
      <c r="E1773" s="36">
        <f t="shared" si="366"/>
        <v>697</v>
      </c>
      <c r="F1773" s="36">
        <f t="shared" si="366"/>
        <v>0</v>
      </c>
      <c r="G1773" s="36">
        <f t="shared" si="366"/>
        <v>0</v>
      </c>
      <c r="H1773" s="36">
        <f t="shared" si="366"/>
        <v>0</v>
      </c>
      <c r="I1773" s="36">
        <f t="shared" si="366"/>
        <v>4071.7</v>
      </c>
    </row>
    <row r="1774" spans="1:9" s="14" customFormat="1" x14ac:dyDescent="0.3">
      <c r="A1774" s="19"/>
      <c r="B1774" s="23" t="s">
        <v>33</v>
      </c>
      <c r="C1774" s="36">
        <f t="shared" si="362"/>
        <v>6067.54</v>
      </c>
      <c r="D1774" s="36">
        <f t="shared" si="366"/>
        <v>1298.8400000000001</v>
      </c>
      <c r="E1774" s="36">
        <f t="shared" si="366"/>
        <v>697</v>
      </c>
      <c r="F1774" s="36">
        <f t="shared" si="366"/>
        <v>0</v>
      </c>
      <c r="G1774" s="36">
        <f t="shared" si="366"/>
        <v>0</v>
      </c>
      <c r="H1774" s="36">
        <f t="shared" si="366"/>
        <v>0</v>
      </c>
      <c r="I1774" s="36">
        <f t="shared" si="366"/>
        <v>4071.7</v>
      </c>
    </row>
    <row r="1775" spans="1:9" s="126" customFormat="1" x14ac:dyDescent="0.3">
      <c r="A1775" s="308" t="s">
        <v>516</v>
      </c>
      <c r="B1775" s="318" t="s">
        <v>32</v>
      </c>
      <c r="C1775" s="122">
        <f t="shared" si="362"/>
        <v>474</v>
      </c>
      <c r="D1775" s="122">
        <f>D1777+D1779+D1781+D1783+D1785+D1787+D1789+D1791+D1793+D1795</f>
        <v>339</v>
      </c>
      <c r="E1775" s="122">
        <f t="shared" ref="E1775:I1776" si="367">E1777+E1779+E1781+E1783+E1785+E1787+E1789+E1791+E1793+E1795</f>
        <v>135</v>
      </c>
      <c r="F1775" s="122">
        <f t="shared" si="367"/>
        <v>0</v>
      </c>
      <c r="G1775" s="122">
        <f t="shared" si="367"/>
        <v>0</v>
      </c>
      <c r="H1775" s="122">
        <f t="shared" si="367"/>
        <v>0</v>
      </c>
      <c r="I1775" s="122">
        <f t="shared" si="367"/>
        <v>0</v>
      </c>
    </row>
    <row r="1776" spans="1:9" s="126" customFormat="1" x14ac:dyDescent="0.3">
      <c r="A1776" s="434"/>
      <c r="B1776" s="128" t="s">
        <v>33</v>
      </c>
      <c r="C1776" s="122">
        <f t="shared" si="362"/>
        <v>474</v>
      </c>
      <c r="D1776" s="122">
        <f>D1778+D1780+D1782+D1784+D1786+D1788+D1790+D1792+D1794+D1796</f>
        <v>339</v>
      </c>
      <c r="E1776" s="122">
        <f t="shared" si="367"/>
        <v>135</v>
      </c>
      <c r="F1776" s="122">
        <f t="shared" si="367"/>
        <v>0</v>
      </c>
      <c r="G1776" s="122">
        <f t="shared" si="367"/>
        <v>0</v>
      </c>
      <c r="H1776" s="122">
        <f t="shared" si="367"/>
        <v>0</v>
      </c>
      <c r="I1776" s="122">
        <f t="shared" si="367"/>
        <v>0</v>
      </c>
    </row>
    <row r="1777" spans="1:9" s="145" customFormat="1" x14ac:dyDescent="0.3">
      <c r="A1777" s="393" t="s">
        <v>673</v>
      </c>
      <c r="B1777" s="431" t="s">
        <v>32</v>
      </c>
      <c r="C1777" s="143">
        <f t="shared" si="362"/>
        <v>54</v>
      </c>
      <c r="D1777" s="143">
        <v>54</v>
      </c>
      <c r="E1777" s="143">
        <v>0</v>
      </c>
      <c r="F1777" s="143">
        <v>0</v>
      </c>
      <c r="G1777" s="143">
        <v>0</v>
      </c>
      <c r="H1777" s="143">
        <v>0</v>
      </c>
      <c r="I1777" s="143">
        <v>0</v>
      </c>
    </row>
    <row r="1778" spans="1:9" s="145" customFormat="1" ht="12.9" x14ac:dyDescent="0.35">
      <c r="A1778" s="432"/>
      <c r="B1778" s="433" t="s">
        <v>33</v>
      </c>
      <c r="C1778" s="143">
        <f t="shared" si="362"/>
        <v>54</v>
      </c>
      <c r="D1778" s="143">
        <v>54</v>
      </c>
      <c r="E1778" s="143">
        <v>0</v>
      </c>
      <c r="F1778" s="143">
        <v>0</v>
      </c>
      <c r="G1778" s="143">
        <v>0</v>
      </c>
      <c r="H1778" s="143">
        <v>0</v>
      </c>
      <c r="I1778" s="143">
        <v>0</v>
      </c>
    </row>
    <row r="1779" spans="1:9" s="145" customFormat="1" ht="24.9" x14ac:dyDescent="0.3">
      <c r="A1779" s="393" t="s">
        <v>674</v>
      </c>
      <c r="B1779" s="431" t="s">
        <v>32</v>
      </c>
      <c r="C1779" s="143">
        <f t="shared" si="362"/>
        <v>24</v>
      </c>
      <c r="D1779" s="143">
        <v>24</v>
      </c>
      <c r="E1779" s="143">
        <v>0</v>
      </c>
      <c r="F1779" s="143">
        <v>0</v>
      </c>
      <c r="G1779" s="143">
        <v>0</v>
      </c>
      <c r="H1779" s="143">
        <v>0</v>
      </c>
      <c r="I1779" s="143">
        <v>0</v>
      </c>
    </row>
    <row r="1780" spans="1:9" s="145" customFormat="1" ht="12.9" x14ac:dyDescent="0.35">
      <c r="A1780" s="432"/>
      <c r="B1780" s="433" t="s">
        <v>33</v>
      </c>
      <c r="C1780" s="143">
        <f t="shared" si="362"/>
        <v>24</v>
      </c>
      <c r="D1780" s="143">
        <v>24</v>
      </c>
      <c r="E1780" s="143">
        <v>0</v>
      </c>
      <c r="F1780" s="143">
        <v>0</v>
      </c>
      <c r="G1780" s="143">
        <v>0</v>
      </c>
      <c r="H1780" s="143">
        <v>0</v>
      </c>
      <c r="I1780" s="143">
        <v>0</v>
      </c>
    </row>
    <row r="1781" spans="1:9" s="145" customFormat="1" ht="37.299999999999997" x14ac:dyDescent="0.3">
      <c r="A1781" s="393" t="s">
        <v>675</v>
      </c>
      <c r="B1781" s="431" t="s">
        <v>32</v>
      </c>
      <c r="C1781" s="143">
        <f t="shared" si="362"/>
        <v>17</v>
      </c>
      <c r="D1781" s="143">
        <v>17</v>
      </c>
      <c r="E1781" s="143">
        <v>0</v>
      </c>
      <c r="F1781" s="143">
        <v>0</v>
      </c>
      <c r="G1781" s="143">
        <v>0</v>
      </c>
      <c r="H1781" s="143">
        <v>0</v>
      </c>
      <c r="I1781" s="143">
        <v>0</v>
      </c>
    </row>
    <row r="1782" spans="1:9" s="145" customFormat="1" ht="12.9" x14ac:dyDescent="0.35">
      <c r="A1782" s="432"/>
      <c r="B1782" s="433" t="s">
        <v>33</v>
      </c>
      <c r="C1782" s="143">
        <f t="shared" si="362"/>
        <v>17</v>
      </c>
      <c r="D1782" s="143">
        <v>17</v>
      </c>
      <c r="E1782" s="143">
        <v>0</v>
      </c>
      <c r="F1782" s="143">
        <v>0</v>
      </c>
      <c r="G1782" s="143">
        <v>0</v>
      </c>
      <c r="H1782" s="143">
        <v>0</v>
      </c>
      <c r="I1782" s="143">
        <v>0</v>
      </c>
    </row>
    <row r="1783" spans="1:9" s="145" customFormat="1" ht="39" customHeight="1" x14ac:dyDescent="0.3">
      <c r="A1783" s="393" t="s">
        <v>676</v>
      </c>
      <c r="B1783" s="431" t="s">
        <v>32</v>
      </c>
      <c r="C1783" s="143">
        <f t="shared" si="362"/>
        <v>31</v>
      </c>
      <c r="D1783" s="143">
        <v>31</v>
      </c>
      <c r="E1783" s="143">
        <v>0</v>
      </c>
      <c r="F1783" s="143">
        <v>0</v>
      </c>
      <c r="G1783" s="143">
        <v>0</v>
      </c>
      <c r="H1783" s="143">
        <v>0</v>
      </c>
      <c r="I1783" s="143">
        <v>0</v>
      </c>
    </row>
    <row r="1784" spans="1:9" s="145" customFormat="1" ht="12.9" x14ac:dyDescent="0.35">
      <c r="A1784" s="432"/>
      <c r="B1784" s="433" t="s">
        <v>33</v>
      </c>
      <c r="C1784" s="143">
        <f t="shared" si="362"/>
        <v>31</v>
      </c>
      <c r="D1784" s="143">
        <v>31</v>
      </c>
      <c r="E1784" s="143">
        <v>0</v>
      </c>
      <c r="F1784" s="143">
        <v>0</v>
      </c>
      <c r="G1784" s="143">
        <v>0</v>
      </c>
      <c r="H1784" s="143">
        <v>0</v>
      </c>
      <c r="I1784" s="143">
        <v>0</v>
      </c>
    </row>
    <row r="1785" spans="1:9" s="145" customFormat="1" ht="24.9" x14ac:dyDescent="0.3">
      <c r="A1785" s="393" t="s">
        <v>677</v>
      </c>
      <c r="B1785" s="431" t="s">
        <v>32</v>
      </c>
      <c r="C1785" s="143">
        <f t="shared" si="362"/>
        <v>7</v>
      </c>
      <c r="D1785" s="143">
        <v>7</v>
      </c>
      <c r="E1785" s="143">
        <v>0</v>
      </c>
      <c r="F1785" s="143">
        <v>0</v>
      </c>
      <c r="G1785" s="143">
        <v>0</v>
      </c>
      <c r="H1785" s="143">
        <v>0</v>
      </c>
      <c r="I1785" s="143">
        <v>0</v>
      </c>
    </row>
    <row r="1786" spans="1:9" s="145" customFormat="1" ht="12.9" x14ac:dyDescent="0.35">
      <c r="A1786" s="432"/>
      <c r="B1786" s="433" t="s">
        <v>33</v>
      </c>
      <c r="C1786" s="143">
        <f t="shared" si="362"/>
        <v>7</v>
      </c>
      <c r="D1786" s="143">
        <v>7</v>
      </c>
      <c r="E1786" s="143">
        <v>0</v>
      </c>
      <c r="F1786" s="143">
        <v>0</v>
      </c>
      <c r="G1786" s="143">
        <v>0</v>
      </c>
      <c r="H1786" s="143">
        <v>0</v>
      </c>
      <c r="I1786" s="143">
        <v>0</v>
      </c>
    </row>
    <row r="1787" spans="1:9" s="145" customFormat="1" ht="24.9" x14ac:dyDescent="0.3">
      <c r="A1787" s="393" t="s">
        <v>678</v>
      </c>
      <c r="B1787" s="431" t="s">
        <v>32</v>
      </c>
      <c r="C1787" s="143">
        <f t="shared" si="362"/>
        <v>21</v>
      </c>
      <c r="D1787" s="143">
        <v>21</v>
      </c>
      <c r="E1787" s="143">
        <v>0</v>
      </c>
      <c r="F1787" s="143">
        <v>0</v>
      </c>
      <c r="G1787" s="143">
        <v>0</v>
      </c>
      <c r="H1787" s="143">
        <v>0</v>
      </c>
      <c r="I1787" s="143">
        <v>0</v>
      </c>
    </row>
    <row r="1788" spans="1:9" s="145" customFormat="1" ht="12.9" x14ac:dyDescent="0.35">
      <c r="A1788" s="432"/>
      <c r="B1788" s="433" t="s">
        <v>33</v>
      </c>
      <c r="C1788" s="143">
        <f t="shared" si="362"/>
        <v>21</v>
      </c>
      <c r="D1788" s="143">
        <v>21</v>
      </c>
      <c r="E1788" s="143">
        <v>0</v>
      </c>
      <c r="F1788" s="143">
        <v>0</v>
      </c>
      <c r="G1788" s="143">
        <v>0</v>
      </c>
      <c r="H1788" s="143">
        <v>0</v>
      </c>
      <c r="I1788" s="143">
        <v>0</v>
      </c>
    </row>
    <row r="1789" spans="1:9" s="145" customFormat="1" ht="24.9" x14ac:dyDescent="0.3">
      <c r="A1789" s="393" t="s">
        <v>679</v>
      </c>
      <c r="B1789" s="431" t="s">
        <v>32</v>
      </c>
      <c r="C1789" s="143">
        <f t="shared" si="362"/>
        <v>7</v>
      </c>
      <c r="D1789" s="143">
        <v>7</v>
      </c>
      <c r="E1789" s="143">
        <v>0</v>
      </c>
      <c r="F1789" s="143">
        <v>0</v>
      </c>
      <c r="G1789" s="143">
        <v>0</v>
      </c>
      <c r="H1789" s="143">
        <v>0</v>
      </c>
      <c r="I1789" s="143">
        <v>0</v>
      </c>
    </row>
    <row r="1790" spans="1:9" s="145" customFormat="1" ht="12.9" x14ac:dyDescent="0.35">
      <c r="A1790" s="432"/>
      <c r="B1790" s="433" t="s">
        <v>33</v>
      </c>
      <c r="C1790" s="143">
        <f t="shared" si="362"/>
        <v>7</v>
      </c>
      <c r="D1790" s="143">
        <v>7</v>
      </c>
      <c r="E1790" s="143">
        <v>0</v>
      </c>
      <c r="F1790" s="143">
        <v>0</v>
      </c>
      <c r="G1790" s="143">
        <v>0</v>
      </c>
      <c r="H1790" s="143">
        <v>0</v>
      </c>
      <c r="I1790" s="143">
        <v>0</v>
      </c>
    </row>
    <row r="1791" spans="1:9" s="145" customFormat="1" ht="24.9" x14ac:dyDescent="0.3">
      <c r="A1791" s="393" t="s">
        <v>680</v>
      </c>
      <c r="B1791" s="431" t="s">
        <v>32</v>
      </c>
      <c r="C1791" s="143">
        <f t="shared" si="362"/>
        <v>21</v>
      </c>
      <c r="D1791" s="143">
        <v>21</v>
      </c>
      <c r="E1791" s="143">
        <v>0</v>
      </c>
      <c r="F1791" s="143">
        <v>0</v>
      </c>
      <c r="G1791" s="143">
        <v>0</v>
      </c>
      <c r="H1791" s="143">
        <v>0</v>
      </c>
      <c r="I1791" s="143">
        <v>0</v>
      </c>
    </row>
    <row r="1792" spans="1:9" s="145" customFormat="1" ht="12.9" x14ac:dyDescent="0.35">
      <c r="A1792" s="432"/>
      <c r="B1792" s="433" t="s">
        <v>33</v>
      </c>
      <c r="C1792" s="143">
        <f t="shared" si="362"/>
        <v>21</v>
      </c>
      <c r="D1792" s="143">
        <v>21</v>
      </c>
      <c r="E1792" s="143">
        <v>0</v>
      </c>
      <c r="F1792" s="143">
        <v>0</v>
      </c>
      <c r="G1792" s="143">
        <v>0</v>
      </c>
      <c r="H1792" s="143">
        <v>0</v>
      </c>
      <c r="I1792" s="143">
        <v>0</v>
      </c>
    </row>
    <row r="1793" spans="1:15" s="147" customFormat="1" ht="40.5" customHeight="1" x14ac:dyDescent="0.3">
      <c r="A1793" s="154" t="s">
        <v>681</v>
      </c>
      <c r="B1793" s="431" t="s">
        <v>32</v>
      </c>
      <c r="C1793" s="143">
        <f t="shared" si="362"/>
        <v>157</v>
      </c>
      <c r="D1793" s="143">
        <v>157</v>
      </c>
      <c r="E1793" s="143">
        <v>0</v>
      </c>
      <c r="F1793" s="143">
        <v>0</v>
      </c>
      <c r="G1793" s="143">
        <v>0</v>
      </c>
      <c r="H1793" s="143">
        <v>0</v>
      </c>
      <c r="I1793" s="143">
        <v>0</v>
      </c>
    </row>
    <row r="1794" spans="1:15" s="145" customFormat="1" ht="12.9" x14ac:dyDescent="0.35">
      <c r="A1794" s="432"/>
      <c r="B1794" s="433" t="s">
        <v>33</v>
      </c>
      <c r="C1794" s="143">
        <f t="shared" si="362"/>
        <v>157</v>
      </c>
      <c r="D1794" s="143">
        <v>157</v>
      </c>
      <c r="E1794" s="143">
        <v>0</v>
      </c>
      <c r="F1794" s="143">
        <v>0</v>
      </c>
      <c r="G1794" s="143">
        <v>0</v>
      </c>
      <c r="H1794" s="143">
        <v>0</v>
      </c>
      <c r="I1794" s="143">
        <v>0</v>
      </c>
    </row>
    <row r="1795" spans="1:15" s="147" customFormat="1" ht="44.25" customHeight="1" x14ac:dyDescent="0.3">
      <c r="A1795" s="435" t="s">
        <v>682</v>
      </c>
      <c r="B1795" s="431" t="s">
        <v>32</v>
      </c>
      <c r="C1795" s="143">
        <f t="shared" si="362"/>
        <v>135</v>
      </c>
      <c r="D1795" s="143">
        <v>0</v>
      </c>
      <c r="E1795" s="143">
        <v>135</v>
      </c>
      <c r="F1795" s="143">
        <v>0</v>
      </c>
      <c r="G1795" s="143">
        <v>0</v>
      </c>
      <c r="H1795" s="143">
        <v>0</v>
      </c>
      <c r="I1795" s="143">
        <v>0</v>
      </c>
    </row>
    <row r="1796" spans="1:15" s="145" customFormat="1" ht="12.9" x14ac:dyDescent="0.35">
      <c r="A1796" s="432"/>
      <c r="B1796" s="433" t="s">
        <v>33</v>
      </c>
      <c r="C1796" s="143">
        <f t="shared" si="362"/>
        <v>135</v>
      </c>
      <c r="D1796" s="143">
        <v>0</v>
      </c>
      <c r="E1796" s="143">
        <v>135</v>
      </c>
      <c r="F1796" s="143">
        <v>0</v>
      </c>
      <c r="G1796" s="143">
        <v>0</v>
      </c>
      <c r="H1796" s="143">
        <v>0</v>
      </c>
      <c r="I1796" s="143">
        <v>0</v>
      </c>
    </row>
    <row r="1797" spans="1:15" s="126" customFormat="1" x14ac:dyDescent="0.3">
      <c r="A1797" s="308" t="s">
        <v>683</v>
      </c>
      <c r="B1797" s="318" t="s">
        <v>32</v>
      </c>
      <c r="C1797" s="122">
        <f t="shared" si="362"/>
        <v>5237.54</v>
      </c>
      <c r="D1797" s="122">
        <f>D1799+D1801+D1803+D1805+D1807+D1809</f>
        <v>771.84</v>
      </c>
      <c r="E1797" s="122">
        <f t="shared" ref="E1797:I1798" si="368">E1799+E1801+E1803+E1805+E1807+E1809</f>
        <v>394</v>
      </c>
      <c r="F1797" s="122">
        <f t="shared" si="368"/>
        <v>0</v>
      </c>
      <c r="G1797" s="122">
        <f t="shared" si="368"/>
        <v>0</v>
      </c>
      <c r="H1797" s="122">
        <f t="shared" si="368"/>
        <v>0</v>
      </c>
      <c r="I1797" s="122">
        <f t="shared" si="368"/>
        <v>4071.7</v>
      </c>
    </row>
    <row r="1798" spans="1:15" s="126" customFormat="1" x14ac:dyDescent="0.3">
      <c r="A1798" s="434"/>
      <c r="B1798" s="128" t="s">
        <v>33</v>
      </c>
      <c r="C1798" s="122">
        <f t="shared" si="362"/>
        <v>5237.54</v>
      </c>
      <c r="D1798" s="122">
        <f>D1800+D1802+D1804+D1806+D1808+D1810</f>
        <v>771.84</v>
      </c>
      <c r="E1798" s="122">
        <f t="shared" si="368"/>
        <v>394</v>
      </c>
      <c r="F1798" s="122">
        <f t="shared" si="368"/>
        <v>0</v>
      </c>
      <c r="G1798" s="122">
        <f t="shared" si="368"/>
        <v>0</v>
      </c>
      <c r="H1798" s="122">
        <f t="shared" si="368"/>
        <v>0</v>
      </c>
      <c r="I1798" s="122">
        <f t="shared" si="368"/>
        <v>4071.7</v>
      </c>
    </row>
    <row r="1799" spans="1:15" s="439" customFormat="1" ht="24.9" x14ac:dyDescent="0.3">
      <c r="A1799" s="436" t="s">
        <v>684</v>
      </c>
      <c r="B1799" s="437" t="s">
        <v>32</v>
      </c>
      <c r="C1799" s="438">
        <f t="shared" si="362"/>
        <v>140</v>
      </c>
      <c r="D1799" s="438">
        <f>200-60</f>
        <v>140</v>
      </c>
      <c r="E1799" s="438">
        <v>0</v>
      </c>
      <c r="F1799" s="438">
        <v>0</v>
      </c>
      <c r="G1799" s="438">
        <v>0</v>
      </c>
      <c r="H1799" s="438">
        <v>0</v>
      </c>
      <c r="I1799" s="438">
        <v>0</v>
      </c>
    </row>
    <row r="1800" spans="1:15" s="439" customFormat="1" ht="12.9" x14ac:dyDescent="0.35">
      <c r="A1800" s="440"/>
      <c r="B1800" s="441" t="s">
        <v>33</v>
      </c>
      <c r="C1800" s="438">
        <f t="shared" si="362"/>
        <v>140</v>
      </c>
      <c r="D1800" s="438">
        <f>200-60</f>
        <v>140</v>
      </c>
      <c r="E1800" s="438">
        <v>0</v>
      </c>
      <c r="F1800" s="438">
        <v>0</v>
      </c>
      <c r="G1800" s="438">
        <v>0</v>
      </c>
      <c r="H1800" s="438">
        <v>0</v>
      </c>
      <c r="I1800" s="438">
        <v>0</v>
      </c>
      <c r="J1800" s="439" t="s">
        <v>685</v>
      </c>
    </row>
    <row r="1801" spans="1:15" s="145" customFormat="1" ht="49.75" x14ac:dyDescent="0.3">
      <c r="A1801" s="83" t="s">
        <v>686</v>
      </c>
      <c r="B1801" s="431" t="s">
        <v>32</v>
      </c>
      <c r="C1801" s="143">
        <f t="shared" si="362"/>
        <v>151</v>
      </c>
      <c r="D1801" s="143">
        <v>151</v>
      </c>
      <c r="E1801" s="143">
        <v>0</v>
      </c>
      <c r="F1801" s="143">
        <v>0</v>
      </c>
      <c r="G1801" s="143">
        <v>0</v>
      </c>
      <c r="H1801" s="143">
        <v>0</v>
      </c>
      <c r="I1801" s="143">
        <v>0</v>
      </c>
    </row>
    <row r="1802" spans="1:15" s="145" customFormat="1" ht="12.9" x14ac:dyDescent="0.35">
      <c r="A1802" s="111"/>
      <c r="B1802" s="433" t="s">
        <v>33</v>
      </c>
      <c r="C1802" s="143">
        <f t="shared" si="362"/>
        <v>151</v>
      </c>
      <c r="D1802" s="143">
        <v>151</v>
      </c>
      <c r="E1802" s="143">
        <v>0</v>
      </c>
      <c r="F1802" s="143">
        <v>0</v>
      </c>
      <c r="G1802" s="143">
        <v>0</v>
      </c>
      <c r="H1802" s="143">
        <v>0</v>
      </c>
      <c r="I1802" s="143">
        <v>0</v>
      </c>
    </row>
    <row r="1803" spans="1:15" s="93" customFormat="1" ht="49.75" x14ac:dyDescent="0.3">
      <c r="A1803" s="115" t="s">
        <v>687</v>
      </c>
      <c r="B1803" s="442" t="s">
        <v>32</v>
      </c>
      <c r="C1803" s="81">
        <f t="shared" si="362"/>
        <v>459.54</v>
      </c>
      <c r="D1803" s="97">
        <v>65.540000000000006</v>
      </c>
      <c r="E1803" s="97">
        <v>394</v>
      </c>
      <c r="F1803" s="81">
        <v>0</v>
      </c>
      <c r="G1803" s="81">
        <v>0</v>
      </c>
      <c r="H1803" s="81">
        <v>0</v>
      </c>
      <c r="I1803" s="81">
        <v>0</v>
      </c>
    </row>
    <row r="1804" spans="1:15" s="145" customFormat="1" ht="12.9" x14ac:dyDescent="0.35">
      <c r="A1804" s="106"/>
      <c r="B1804" s="443" t="s">
        <v>33</v>
      </c>
      <c r="C1804" s="97">
        <f t="shared" si="362"/>
        <v>459.54</v>
      </c>
      <c r="D1804" s="97">
        <v>65.540000000000006</v>
      </c>
      <c r="E1804" s="97">
        <v>394</v>
      </c>
      <c r="F1804" s="97">
        <v>0</v>
      </c>
      <c r="G1804" s="97">
        <v>0</v>
      </c>
      <c r="H1804" s="97">
        <v>0</v>
      </c>
      <c r="I1804" s="97">
        <v>0</v>
      </c>
    </row>
    <row r="1805" spans="1:15" s="93" customFormat="1" ht="14.15" x14ac:dyDescent="0.35">
      <c r="A1805" s="327" t="s">
        <v>688</v>
      </c>
      <c r="B1805" s="442" t="s">
        <v>32</v>
      </c>
      <c r="C1805" s="81">
        <f t="shared" si="362"/>
        <v>54</v>
      </c>
      <c r="D1805" s="81">
        <v>54</v>
      </c>
      <c r="E1805" s="81">
        <v>0</v>
      </c>
      <c r="F1805" s="81">
        <v>0</v>
      </c>
      <c r="G1805" s="81">
        <v>0</v>
      </c>
      <c r="H1805" s="81">
        <v>0</v>
      </c>
      <c r="I1805" s="81">
        <v>0</v>
      </c>
    </row>
    <row r="1806" spans="1:15" s="145" customFormat="1" ht="12.9" x14ac:dyDescent="0.35">
      <c r="A1806" s="111"/>
      <c r="B1806" s="433" t="s">
        <v>33</v>
      </c>
      <c r="C1806" s="143">
        <f t="shared" si="362"/>
        <v>54</v>
      </c>
      <c r="D1806" s="143">
        <v>54</v>
      </c>
      <c r="E1806" s="143">
        <v>0</v>
      </c>
      <c r="F1806" s="143">
        <v>0</v>
      </c>
      <c r="G1806" s="143">
        <v>0</v>
      </c>
      <c r="H1806" s="143">
        <v>0</v>
      </c>
      <c r="I1806" s="143">
        <v>0</v>
      </c>
    </row>
    <row r="1807" spans="1:15" s="93" customFormat="1" ht="30.9" x14ac:dyDescent="0.4">
      <c r="A1807" s="444" t="s">
        <v>689</v>
      </c>
      <c r="B1807" s="442" t="s">
        <v>32</v>
      </c>
      <c r="C1807" s="81">
        <f t="shared" si="362"/>
        <v>40</v>
      </c>
      <c r="D1807" s="81">
        <v>40</v>
      </c>
      <c r="E1807" s="81">
        <v>0</v>
      </c>
      <c r="F1807" s="81">
        <v>0</v>
      </c>
      <c r="G1807" s="81">
        <v>0</v>
      </c>
      <c r="H1807" s="81">
        <v>0</v>
      </c>
      <c r="I1807" s="81">
        <v>0</v>
      </c>
      <c r="J1807" s="1083"/>
      <c r="K1807" s="1037"/>
      <c r="L1807" s="1037"/>
      <c r="M1807" s="1037"/>
      <c r="N1807" s="1037"/>
      <c r="O1807" s="1037"/>
    </row>
    <row r="1808" spans="1:15" s="145" customFormat="1" ht="12.9" x14ac:dyDescent="0.35">
      <c r="A1808" s="111"/>
      <c r="B1808" s="433" t="s">
        <v>33</v>
      </c>
      <c r="C1808" s="143">
        <f t="shared" si="362"/>
        <v>40</v>
      </c>
      <c r="D1808" s="143">
        <v>40</v>
      </c>
      <c r="E1808" s="143">
        <v>0</v>
      </c>
      <c r="F1808" s="143">
        <v>0</v>
      </c>
      <c r="G1808" s="143">
        <v>0</v>
      </c>
      <c r="H1808" s="143">
        <v>0</v>
      </c>
      <c r="I1808" s="143">
        <v>0</v>
      </c>
      <c r="J1808" s="1037"/>
      <c r="K1808" s="1037"/>
      <c r="L1808" s="1037"/>
      <c r="M1808" s="1037"/>
      <c r="N1808" s="1037"/>
      <c r="O1808" s="1037"/>
    </row>
    <row r="1809" spans="1:10" s="93" customFormat="1" ht="28.3" x14ac:dyDescent="0.35">
      <c r="A1809" s="328" t="s">
        <v>690</v>
      </c>
      <c r="B1809" s="442" t="s">
        <v>32</v>
      </c>
      <c r="C1809" s="81">
        <f t="shared" si="362"/>
        <v>4393</v>
      </c>
      <c r="D1809" s="143">
        <v>321.3</v>
      </c>
      <c r="E1809" s="81">
        <v>0</v>
      </c>
      <c r="F1809" s="81">
        <v>0</v>
      </c>
      <c r="G1809" s="81">
        <v>0</v>
      </c>
      <c r="H1809" s="81">
        <v>0</v>
      </c>
      <c r="I1809" s="143">
        <f>4393-321.3</f>
        <v>4071.7</v>
      </c>
    </row>
    <row r="1810" spans="1:10" s="145" customFormat="1" ht="12.9" x14ac:dyDescent="0.35">
      <c r="A1810" s="111"/>
      <c r="B1810" s="433" t="s">
        <v>33</v>
      </c>
      <c r="C1810" s="143">
        <f t="shared" si="362"/>
        <v>4393</v>
      </c>
      <c r="D1810" s="143">
        <v>321.3</v>
      </c>
      <c r="E1810" s="81">
        <v>0</v>
      </c>
      <c r="F1810" s="143">
        <v>0</v>
      </c>
      <c r="G1810" s="143">
        <v>0</v>
      </c>
      <c r="H1810" s="143">
        <v>0</v>
      </c>
      <c r="I1810" s="143">
        <f>4393-321.3</f>
        <v>4071.7</v>
      </c>
    </row>
    <row r="1811" spans="1:10" s="126" customFormat="1" x14ac:dyDescent="0.3">
      <c r="A1811" s="308" t="s">
        <v>691</v>
      </c>
      <c r="B1811" s="318" t="s">
        <v>32</v>
      </c>
      <c r="C1811" s="122">
        <f t="shared" si="362"/>
        <v>30</v>
      </c>
      <c r="D1811" s="122">
        <f>D1813</f>
        <v>30</v>
      </c>
      <c r="E1811" s="122">
        <f t="shared" ref="E1811:I1812" si="369">E1813</f>
        <v>0</v>
      </c>
      <c r="F1811" s="122">
        <f t="shared" si="369"/>
        <v>0</v>
      </c>
      <c r="G1811" s="122">
        <f t="shared" si="369"/>
        <v>0</v>
      </c>
      <c r="H1811" s="122">
        <f t="shared" si="369"/>
        <v>0</v>
      </c>
      <c r="I1811" s="122">
        <f t="shared" si="369"/>
        <v>0</v>
      </c>
    </row>
    <row r="1812" spans="1:10" s="126" customFormat="1" x14ac:dyDescent="0.3">
      <c r="A1812" s="434"/>
      <c r="B1812" s="128" t="s">
        <v>33</v>
      </c>
      <c r="C1812" s="122">
        <f t="shared" si="362"/>
        <v>30</v>
      </c>
      <c r="D1812" s="122">
        <f>D1814</f>
        <v>30</v>
      </c>
      <c r="E1812" s="122">
        <f t="shared" si="369"/>
        <v>0</v>
      </c>
      <c r="F1812" s="122">
        <f t="shared" si="369"/>
        <v>0</v>
      </c>
      <c r="G1812" s="122">
        <f t="shared" si="369"/>
        <v>0</v>
      </c>
      <c r="H1812" s="122">
        <f t="shared" si="369"/>
        <v>0</v>
      </c>
      <c r="I1812" s="122">
        <f t="shared" si="369"/>
        <v>0</v>
      </c>
    </row>
    <row r="1813" spans="1:10" s="147" customFormat="1" x14ac:dyDescent="0.3">
      <c r="A1813" s="445" t="s">
        <v>692</v>
      </c>
      <c r="B1813" s="431" t="s">
        <v>32</v>
      </c>
      <c r="C1813" s="143">
        <f t="shared" si="362"/>
        <v>30</v>
      </c>
      <c r="D1813" s="143">
        <v>30</v>
      </c>
      <c r="E1813" s="143">
        <v>0</v>
      </c>
      <c r="F1813" s="143">
        <v>0</v>
      </c>
      <c r="G1813" s="143">
        <v>0</v>
      </c>
      <c r="H1813" s="143">
        <v>0</v>
      </c>
      <c r="I1813" s="143">
        <v>0</v>
      </c>
      <c r="J1813" s="105"/>
    </row>
    <row r="1814" spans="1:10" s="147" customFormat="1" ht="12.9" x14ac:dyDescent="0.35">
      <c r="A1814" s="432"/>
      <c r="B1814" s="433" t="s">
        <v>33</v>
      </c>
      <c r="C1814" s="143">
        <f t="shared" si="362"/>
        <v>30</v>
      </c>
      <c r="D1814" s="143">
        <v>30</v>
      </c>
      <c r="E1814" s="143">
        <v>0</v>
      </c>
      <c r="F1814" s="143">
        <v>0</v>
      </c>
      <c r="G1814" s="143">
        <v>0</v>
      </c>
      <c r="H1814" s="143">
        <v>0</v>
      </c>
      <c r="I1814" s="143">
        <v>0</v>
      </c>
      <c r="J1814" s="105"/>
    </row>
    <row r="1815" spans="1:10" s="145" customFormat="1" x14ac:dyDescent="0.3">
      <c r="A1815" s="15" t="s">
        <v>693</v>
      </c>
      <c r="B1815" s="431" t="s">
        <v>32</v>
      </c>
      <c r="C1815" s="143">
        <f t="shared" si="362"/>
        <v>158</v>
      </c>
      <c r="D1815" s="143">
        <f>D1817</f>
        <v>158</v>
      </c>
      <c r="E1815" s="143">
        <f t="shared" ref="E1815:I1816" si="370">E1817</f>
        <v>0</v>
      </c>
      <c r="F1815" s="143">
        <f t="shared" si="370"/>
        <v>0</v>
      </c>
      <c r="G1815" s="143">
        <f t="shared" si="370"/>
        <v>0</v>
      </c>
      <c r="H1815" s="143">
        <f t="shared" si="370"/>
        <v>0</v>
      </c>
      <c r="I1815" s="143">
        <f t="shared" si="370"/>
        <v>0</v>
      </c>
    </row>
    <row r="1816" spans="1:10" s="145" customFormat="1" ht="12.9" x14ac:dyDescent="0.35">
      <c r="A1816" s="432"/>
      <c r="B1816" s="433" t="s">
        <v>33</v>
      </c>
      <c r="C1816" s="143">
        <f t="shared" si="362"/>
        <v>158</v>
      </c>
      <c r="D1816" s="143">
        <f>D1818</f>
        <v>158</v>
      </c>
      <c r="E1816" s="143">
        <f t="shared" si="370"/>
        <v>0</v>
      </c>
      <c r="F1816" s="143">
        <f t="shared" si="370"/>
        <v>0</v>
      </c>
      <c r="G1816" s="143">
        <f t="shared" si="370"/>
        <v>0</v>
      </c>
      <c r="H1816" s="143">
        <f t="shared" si="370"/>
        <v>0</v>
      </c>
      <c r="I1816" s="143">
        <f t="shared" si="370"/>
        <v>0</v>
      </c>
    </row>
    <row r="1817" spans="1:10" s="147" customFormat="1" ht="42.45" x14ac:dyDescent="0.35">
      <c r="A1817" s="293" t="s">
        <v>694</v>
      </c>
      <c r="B1817" s="431" t="s">
        <v>32</v>
      </c>
      <c r="C1817" s="143">
        <f t="shared" si="362"/>
        <v>158</v>
      </c>
      <c r="D1817" s="143">
        <v>158</v>
      </c>
      <c r="E1817" s="143">
        <v>0</v>
      </c>
      <c r="F1817" s="143">
        <v>0</v>
      </c>
      <c r="G1817" s="143">
        <v>0</v>
      </c>
      <c r="H1817" s="143">
        <v>0</v>
      </c>
      <c r="I1817" s="143">
        <v>0</v>
      </c>
    </row>
    <row r="1818" spans="1:10" s="145" customFormat="1" ht="12.9" x14ac:dyDescent="0.35">
      <c r="A1818" s="432"/>
      <c r="B1818" s="433" t="s">
        <v>33</v>
      </c>
      <c r="C1818" s="143">
        <f t="shared" si="362"/>
        <v>158</v>
      </c>
      <c r="D1818" s="143">
        <v>158</v>
      </c>
      <c r="E1818" s="143">
        <v>0</v>
      </c>
      <c r="F1818" s="143">
        <v>0</v>
      </c>
      <c r="G1818" s="143">
        <v>0</v>
      </c>
      <c r="H1818" s="143">
        <v>0</v>
      </c>
      <c r="I1818" s="143">
        <v>0</v>
      </c>
    </row>
    <row r="1819" spans="1:10" s="145" customFormat="1" ht="14.15" x14ac:dyDescent="0.35">
      <c r="A1819" s="346" t="s">
        <v>695</v>
      </c>
      <c r="B1819" s="431" t="s">
        <v>32</v>
      </c>
      <c r="C1819" s="143">
        <f t="shared" si="362"/>
        <v>168</v>
      </c>
      <c r="D1819" s="143">
        <f>D1821+D1823</f>
        <v>0</v>
      </c>
      <c r="E1819" s="143">
        <f t="shared" ref="E1819:I1820" si="371">E1821+E1823</f>
        <v>168</v>
      </c>
      <c r="F1819" s="143">
        <f t="shared" si="371"/>
        <v>0</v>
      </c>
      <c r="G1819" s="143">
        <f t="shared" si="371"/>
        <v>0</v>
      </c>
      <c r="H1819" s="143">
        <f t="shared" si="371"/>
        <v>0</v>
      </c>
      <c r="I1819" s="143">
        <f t="shared" si="371"/>
        <v>0</v>
      </c>
    </row>
    <row r="1820" spans="1:10" s="145" customFormat="1" ht="12.9" x14ac:dyDescent="0.35">
      <c r="A1820" s="432"/>
      <c r="B1820" s="433" t="s">
        <v>33</v>
      </c>
      <c r="C1820" s="143">
        <f t="shared" si="362"/>
        <v>168</v>
      </c>
      <c r="D1820" s="143">
        <f>D1822+D1824</f>
        <v>0</v>
      </c>
      <c r="E1820" s="143">
        <f t="shared" si="371"/>
        <v>168</v>
      </c>
      <c r="F1820" s="143">
        <f t="shared" si="371"/>
        <v>0</v>
      </c>
      <c r="G1820" s="143">
        <f t="shared" si="371"/>
        <v>0</v>
      </c>
      <c r="H1820" s="143">
        <f t="shared" si="371"/>
        <v>0</v>
      </c>
      <c r="I1820" s="143">
        <f t="shared" si="371"/>
        <v>0</v>
      </c>
    </row>
    <row r="1821" spans="1:10" s="147" customFormat="1" ht="28.3" x14ac:dyDescent="0.35">
      <c r="A1821" s="446" t="s">
        <v>696</v>
      </c>
      <c r="B1821" s="431" t="s">
        <v>32</v>
      </c>
      <c r="C1821" s="143">
        <f t="shared" si="362"/>
        <v>68</v>
      </c>
      <c r="D1821" s="143">
        <v>0</v>
      </c>
      <c r="E1821" s="143">
        <v>68</v>
      </c>
      <c r="F1821" s="143">
        <v>0</v>
      </c>
      <c r="G1821" s="143">
        <v>0</v>
      </c>
      <c r="H1821" s="143">
        <v>0</v>
      </c>
      <c r="I1821" s="143">
        <v>0</v>
      </c>
    </row>
    <row r="1822" spans="1:10" s="145" customFormat="1" ht="12.9" x14ac:dyDescent="0.35">
      <c r="A1822" s="432"/>
      <c r="B1822" s="433" t="s">
        <v>33</v>
      </c>
      <c r="C1822" s="143">
        <f t="shared" si="362"/>
        <v>68</v>
      </c>
      <c r="D1822" s="143">
        <v>0</v>
      </c>
      <c r="E1822" s="143">
        <v>68</v>
      </c>
      <c r="F1822" s="143">
        <v>0</v>
      </c>
      <c r="G1822" s="143">
        <v>0</v>
      </c>
      <c r="H1822" s="143">
        <v>0</v>
      </c>
      <c r="I1822" s="143">
        <v>0</v>
      </c>
    </row>
    <row r="1823" spans="1:10" s="147" customFormat="1" ht="14.15" x14ac:dyDescent="0.35">
      <c r="A1823" s="447" t="s">
        <v>697</v>
      </c>
      <c r="B1823" s="431" t="s">
        <v>32</v>
      </c>
      <c r="C1823" s="143">
        <f t="shared" si="362"/>
        <v>100</v>
      </c>
      <c r="D1823" s="143">
        <v>0</v>
      </c>
      <c r="E1823" s="143">
        <v>100</v>
      </c>
      <c r="F1823" s="143">
        <v>0</v>
      </c>
      <c r="G1823" s="143">
        <v>0</v>
      </c>
      <c r="H1823" s="143">
        <v>0</v>
      </c>
      <c r="I1823" s="143">
        <v>0</v>
      </c>
    </row>
    <row r="1824" spans="1:10" s="145" customFormat="1" ht="12.9" x14ac:dyDescent="0.35">
      <c r="A1824" s="432"/>
      <c r="B1824" s="433" t="s">
        <v>33</v>
      </c>
      <c r="C1824" s="143">
        <f t="shared" si="362"/>
        <v>100</v>
      </c>
      <c r="D1824" s="143">
        <v>0</v>
      </c>
      <c r="E1824" s="143">
        <v>100</v>
      </c>
      <c r="F1824" s="143">
        <v>0</v>
      </c>
      <c r="G1824" s="143">
        <v>0</v>
      </c>
      <c r="H1824" s="143">
        <v>0</v>
      </c>
      <c r="I1824" s="143">
        <v>0</v>
      </c>
    </row>
    <row r="1825" spans="1:9" x14ac:dyDescent="0.3">
      <c r="A1825" s="1062" t="s">
        <v>213</v>
      </c>
      <c r="B1825" s="1063"/>
      <c r="C1825" s="1064"/>
      <c r="D1825" s="1064"/>
      <c r="E1825" s="1064"/>
      <c r="F1825" s="1064"/>
      <c r="G1825" s="1064"/>
      <c r="H1825" s="1064"/>
      <c r="I1825" s="1065"/>
    </row>
    <row r="1826" spans="1:9" x14ac:dyDescent="0.3">
      <c r="A1826" s="72" t="s">
        <v>57</v>
      </c>
      <c r="B1826" s="16" t="s">
        <v>32</v>
      </c>
      <c r="C1826" s="36">
        <f t="shared" ref="C1826:C2025" si="372">D1826+E1826+F1826+G1826+H1826+I1826</f>
        <v>2186.7199999999998</v>
      </c>
      <c r="D1826" s="36">
        <f t="shared" ref="D1826:I1827" si="373">D1828+D2014</f>
        <v>555.41999999999996</v>
      </c>
      <c r="E1826" s="36">
        <f t="shared" si="373"/>
        <v>1531.8</v>
      </c>
      <c r="F1826" s="36">
        <f t="shared" si="373"/>
        <v>0</v>
      </c>
      <c r="G1826" s="36">
        <f t="shared" si="373"/>
        <v>0</v>
      </c>
      <c r="H1826" s="36">
        <f t="shared" si="373"/>
        <v>0</v>
      </c>
      <c r="I1826" s="36">
        <f t="shared" si="373"/>
        <v>99.5</v>
      </c>
    </row>
    <row r="1827" spans="1:9" x14ac:dyDescent="0.3">
      <c r="A1827" s="60" t="s">
        <v>87</v>
      </c>
      <c r="B1827" s="23" t="s">
        <v>33</v>
      </c>
      <c r="C1827" s="36">
        <f t="shared" si="372"/>
        <v>2186.7199999999998</v>
      </c>
      <c r="D1827" s="36">
        <f t="shared" si="373"/>
        <v>555.41999999999996</v>
      </c>
      <c r="E1827" s="36">
        <f t="shared" si="373"/>
        <v>1531.8</v>
      </c>
      <c r="F1827" s="36">
        <f t="shared" si="373"/>
        <v>0</v>
      </c>
      <c r="G1827" s="36">
        <f t="shared" si="373"/>
        <v>0</v>
      </c>
      <c r="H1827" s="36">
        <f t="shared" si="373"/>
        <v>0</v>
      </c>
      <c r="I1827" s="36">
        <f t="shared" si="373"/>
        <v>99.5</v>
      </c>
    </row>
    <row r="1828" spans="1:9" x14ac:dyDescent="0.3">
      <c r="A1828" s="61" t="s">
        <v>63</v>
      </c>
      <c r="B1828" s="47" t="s">
        <v>32</v>
      </c>
      <c r="C1828" s="48">
        <f t="shared" si="372"/>
        <v>1798.9199999999998</v>
      </c>
      <c r="D1828" s="48">
        <f t="shared" ref="D1828:I1833" si="374">D1830</f>
        <v>307.52</v>
      </c>
      <c r="E1828" s="48">
        <f t="shared" si="374"/>
        <v>1444.8</v>
      </c>
      <c r="F1828" s="48">
        <f t="shared" si="374"/>
        <v>0</v>
      </c>
      <c r="G1828" s="48">
        <f t="shared" si="374"/>
        <v>0</v>
      </c>
      <c r="H1828" s="48">
        <f t="shared" si="374"/>
        <v>0</v>
      </c>
      <c r="I1828" s="48">
        <f t="shared" si="374"/>
        <v>46.6</v>
      </c>
    </row>
    <row r="1829" spans="1:9" x14ac:dyDescent="0.3">
      <c r="A1829" s="63" t="s">
        <v>51</v>
      </c>
      <c r="B1829" s="53" t="s">
        <v>33</v>
      </c>
      <c r="C1829" s="48">
        <f t="shared" si="372"/>
        <v>1798.9199999999998</v>
      </c>
      <c r="D1829" s="48">
        <f t="shared" si="374"/>
        <v>307.52</v>
      </c>
      <c r="E1829" s="48">
        <f t="shared" si="374"/>
        <v>1444.8</v>
      </c>
      <c r="F1829" s="48">
        <f t="shared" si="374"/>
        <v>0</v>
      </c>
      <c r="G1829" s="48">
        <f t="shared" si="374"/>
        <v>0</v>
      </c>
      <c r="H1829" s="48">
        <f t="shared" si="374"/>
        <v>0</v>
      </c>
      <c r="I1829" s="48">
        <f t="shared" si="374"/>
        <v>46.6</v>
      </c>
    </row>
    <row r="1830" spans="1:9" ht="12.9" x14ac:dyDescent="0.35">
      <c r="A1830" s="54" t="s">
        <v>40</v>
      </c>
      <c r="B1830" s="35" t="s">
        <v>32</v>
      </c>
      <c r="C1830" s="48">
        <f t="shared" si="372"/>
        <v>1798.9199999999998</v>
      </c>
      <c r="D1830" s="48">
        <f t="shared" si="374"/>
        <v>307.52</v>
      </c>
      <c r="E1830" s="48">
        <f t="shared" si="374"/>
        <v>1444.8</v>
      </c>
      <c r="F1830" s="48">
        <f t="shared" si="374"/>
        <v>0</v>
      </c>
      <c r="G1830" s="48">
        <f t="shared" si="374"/>
        <v>0</v>
      </c>
      <c r="H1830" s="48">
        <f t="shared" si="374"/>
        <v>0</v>
      </c>
      <c r="I1830" s="48">
        <f t="shared" si="374"/>
        <v>46.6</v>
      </c>
    </row>
    <row r="1831" spans="1:9" ht="12.9" x14ac:dyDescent="0.35">
      <c r="A1831" s="43"/>
      <c r="B1831" s="38" t="s">
        <v>33</v>
      </c>
      <c r="C1831" s="48">
        <f t="shared" si="372"/>
        <v>1798.9199999999998</v>
      </c>
      <c r="D1831" s="48">
        <f t="shared" si="374"/>
        <v>307.52</v>
      </c>
      <c r="E1831" s="48">
        <f t="shared" si="374"/>
        <v>1444.8</v>
      </c>
      <c r="F1831" s="48">
        <f t="shared" si="374"/>
        <v>0</v>
      </c>
      <c r="G1831" s="48">
        <f t="shared" si="374"/>
        <v>0</v>
      </c>
      <c r="H1831" s="48">
        <f t="shared" si="374"/>
        <v>0</v>
      </c>
      <c r="I1831" s="48">
        <f t="shared" si="374"/>
        <v>46.6</v>
      </c>
    </row>
    <row r="1832" spans="1:9" x14ac:dyDescent="0.3">
      <c r="A1832" s="58" t="s">
        <v>53</v>
      </c>
      <c r="B1832" s="47" t="s">
        <v>32</v>
      </c>
      <c r="C1832" s="48">
        <f t="shared" si="372"/>
        <v>1798.9199999999998</v>
      </c>
      <c r="D1832" s="48">
        <f>D1834</f>
        <v>307.52</v>
      </c>
      <c r="E1832" s="48">
        <f t="shared" si="374"/>
        <v>1444.8</v>
      </c>
      <c r="F1832" s="48">
        <f t="shared" si="374"/>
        <v>0</v>
      </c>
      <c r="G1832" s="48">
        <f t="shared" si="374"/>
        <v>0</v>
      </c>
      <c r="H1832" s="48">
        <f t="shared" si="374"/>
        <v>0</v>
      </c>
      <c r="I1832" s="48">
        <f t="shared" si="374"/>
        <v>46.6</v>
      </c>
    </row>
    <row r="1833" spans="1:9" x14ac:dyDescent="0.3">
      <c r="A1833" s="63"/>
      <c r="B1833" s="53" t="s">
        <v>33</v>
      </c>
      <c r="C1833" s="48">
        <f t="shared" si="372"/>
        <v>1798.9199999999998</v>
      </c>
      <c r="D1833" s="48">
        <f>D1835</f>
        <v>307.52</v>
      </c>
      <c r="E1833" s="48">
        <f t="shared" si="374"/>
        <v>1444.8</v>
      </c>
      <c r="F1833" s="48">
        <f t="shared" si="374"/>
        <v>0</v>
      </c>
      <c r="G1833" s="48">
        <f t="shared" si="374"/>
        <v>0</v>
      </c>
      <c r="H1833" s="48">
        <f t="shared" si="374"/>
        <v>0</v>
      </c>
      <c r="I1833" s="48">
        <f t="shared" si="374"/>
        <v>46.6</v>
      </c>
    </row>
    <row r="1834" spans="1:9" s="14" customFormat="1" x14ac:dyDescent="0.3">
      <c r="A1834" s="149" t="s">
        <v>45</v>
      </c>
      <c r="B1834" s="12" t="s">
        <v>32</v>
      </c>
      <c r="C1834" s="36">
        <f t="shared" si="372"/>
        <v>1798.9199999999998</v>
      </c>
      <c r="D1834" s="36">
        <f t="shared" ref="D1834:I1835" si="375">D1836+D1932+D1958+D1970+D1980+D1984+D1994+D2008</f>
        <v>307.52</v>
      </c>
      <c r="E1834" s="36">
        <f t="shared" si="375"/>
        <v>1444.8</v>
      </c>
      <c r="F1834" s="36">
        <f t="shared" si="375"/>
        <v>0</v>
      </c>
      <c r="G1834" s="36">
        <f t="shared" si="375"/>
        <v>0</v>
      </c>
      <c r="H1834" s="36">
        <f t="shared" si="375"/>
        <v>0</v>
      </c>
      <c r="I1834" s="36">
        <f t="shared" si="375"/>
        <v>46.6</v>
      </c>
    </row>
    <row r="1835" spans="1:9" s="14" customFormat="1" x14ac:dyDescent="0.3">
      <c r="A1835" s="19"/>
      <c r="B1835" s="23" t="s">
        <v>33</v>
      </c>
      <c r="C1835" s="36">
        <f t="shared" si="372"/>
        <v>1798.9199999999998</v>
      </c>
      <c r="D1835" s="36">
        <f t="shared" si="375"/>
        <v>307.52</v>
      </c>
      <c r="E1835" s="36">
        <f t="shared" si="375"/>
        <v>1444.8</v>
      </c>
      <c r="F1835" s="36">
        <f t="shared" si="375"/>
        <v>0</v>
      </c>
      <c r="G1835" s="36">
        <f t="shared" si="375"/>
        <v>0</v>
      </c>
      <c r="H1835" s="36">
        <f t="shared" si="375"/>
        <v>0</v>
      </c>
      <c r="I1835" s="36">
        <f t="shared" si="375"/>
        <v>46.6</v>
      </c>
    </row>
    <row r="1836" spans="1:9" s="375" customFormat="1" ht="24.9" x14ac:dyDescent="0.3">
      <c r="A1836" s="133" t="s">
        <v>534</v>
      </c>
      <c r="B1836" s="124" t="s">
        <v>32</v>
      </c>
      <c r="C1836" s="122">
        <f t="shared" si="372"/>
        <v>668.06000000000006</v>
      </c>
      <c r="D1836" s="122">
        <f>D1838+D1840+D1842+D1844+D1846+D1848+D1850+D1852+D1854+D1856+D1858+D1860+D1862+D1864+D1866+D1868+D1870+D1872+D1874+D1876+D1878+D1880+D1882+D1884+D1886+D1888+D1890+D1892+D1894+D1896+D1898+D1900+D1902+D1904+D1906+D1908+D1910+D1912+D1914+D1916+D1918+D1920+D1922+D1924+D1926+D1928+D1930</f>
        <v>222.46</v>
      </c>
      <c r="E1836" s="122">
        <f t="shared" ref="E1836:I1837" si="376">E1838+E1840+E1842+E1844+E1846+E1848+E1850+E1852+E1854+E1856+E1858+E1860+E1862+E1864+E1866+E1868+E1870+E1872+E1874+E1876+E1878+E1880+E1882+E1884+E1886+E1888+E1890+E1892+E1894+E1896+E1898+E1900+E1902+E1904+E1906+E1908+E1910+E1912+E1914+E1916+E1918+E1920+E1922+E1924+E1926+E1928+E1930</f>
        <v>399</v>
      </c>
      <c r="F1836" s="122">
        <f t="shared" si="376"/>
        <v>0</v>
      </c>
      <c r="G1836" s="122">
        <f t="shared" si="376"/>
        <v>0</v>
      </c>
      <c r="H1836" s="122">
        <f t="shared" si="376"/>
        <v>0</v>
      </c>
      <c r="I1836" s="122">
        <f t="shared" si="376"/>
        <v>46.6</v>
      </c>
    </row>
    <row r="1837" spans="1:9" s="375" customFormat="1" x14ac:dyDescent="0.3">
      <c r="A1837" s="127"/>
      <c r="B1837" s="128" t="s">
        <v>33</v>
      </c>
      <c r="C1837" s="122">
        <f t="shared" si="372"/>
        <v>668.06000000000006</v>
      </c>
      <c r="D1837" s="122">
        <f>D1839+D1841+D1843+D1845+D1847+D1849+D1851+D1853+D1855+D1857+D1859+D1861+D1863+D1865+D1867+D1869+D1871+D1873+D1875+D1877+D1879+D1881+D1883+D1885+D1887+D1889+D1891+D1893+D1895+D1897+D1899+D1901+D1903+D1905+D1907+D1909+D1911+D1913+D1915+D1917+D1919+D1921+D1923+D1925+D1927+D1929+D1931</f>
        <v>222.46</v>
      </c>
      <c r="E1837" s="122">
        <f t="shared" si="376"/>
        <v>399</v>
      </c>
      <c r="F1837" s="122">
        <f t="shared" si="376"/>
        <v>0</v>
      </c>
      <c r="G1837" s="122">
        <f t="shared" si="376"/>
        <v>0</v>
      </c>
      <c r="H1837" s="122">
        <f t="shared" si="376"/>
        <v>0</v>
      </c>
      <c r="I1837" s="122">
        <f t="shared" si="376"/>
        <v>46.6</v>
      </c>
    </row>
    <row r="1838" spans="1:9" s="145" customFormat="1" ht="25.5" customHeight="1" x14ac:dyDescent="0.3">
      <c r="A1838" s="83" t="s">
        <v>698</v>
      </c>
      <c r="B1838" s="431" t="s">
        <v>32</v>
      </c>
      <c r="C1838" s="143">
        <f t="shared" si="372"/>
        <v>5.4</v>
      </c>
      <c r="D1838" s="143">
        <v>5.4</v>
      </c>
      <c r="E1838" s="41">
        <v>0</v>
      </c>
      <c r="F1838" s="143">
        <v>0</v>
      </c>
      <c r="G1838" s="143">
        <v>0</v>
      </c>
      <c r="H1838" s="143">
        <v>0</v>
      </c>
      <c r="I1838" s="143">
        <v>0</v>
      </c>
    </row>
    <row r="1839" spans="1:9" s="145" customFormat="1" x14ac:dyDescent="0.3">
      <c r="A1839" s="302"/>
      <c r="B1839" s="433" t="s">
        <v>33</v>
      </c>
      <c r="C1839" s="143">
        <f t="shared" si="372"/>
        <v>5.4</v>
      </c>
      <c r="D1839" s="143">
        <v>5.4</v>
      </c>
      <c r="E1839" s="41">
        <v>0</v>
      </c>
      <c r="F1839" s="143">
        <v>0</v>
      </c>
      <c r="G1839" s="143">
        <v>0</v>
      </c>
      <c r="H1839" s="143">
        <v>0</v>
      </c>
      <c r="I1839" s="143">
        <v>0</v>
      </c>
    </row>
    <row r="1840" spans="1:9" s="145" customFormat="1" ht="38.25" customHeight="1" x14ac:dyDescent="0.3">
      <c r="A1840" s="83" t="s">
        <v>699</v>
      </c>
      <c r="B1840" s="431" t="s">
        <v>32</v>
      </c>
      <c r="C1840" s="143">
        <f t="shared" si="372"/>
        <v>2.74</v>
      </c>
      <c r="D1840" s="143">
        <v>2.74</v>
      </c>
      <c r="E1840" s="41">
        <v>0</v>
      </c>
      <c r="F1840" s="143">
        <v>0</v>
      </c>
      <c r="G1840" s="143">
        <v>0</v>
      </c>
      <c r="H1840" s="143">
        <v>0</v>
      </c>
      <c r="I1840" s="143">
        <v>0</v>
      </c>
    </row>
    <row r="1841" spans="1:10" s="145" customFormat="1" x14ac:dyDescent="0.3">
      <c r="A1841" s="302"/>
      <c r="B1841" s="433" t="s">
        <v>33</v>
      </c>
      <c r="C1841" s="143">
        <f t="shared" si="372"/>
        <v>2.74</v>
      </c>
      <c r="D1841" s="143">
        <v>2.74</v>
      </c>
      <c r="E1841" s="41">
        <v>0</v>
      </c>
      <c r="F1841" s="143">
        <v>0</v>
      </c>
      <c r="G1841" s="143">
        <v>0</v>
      </c>
      <c r="H1841" s="143">
        <v>0</v>
      </c>
      <c r="I1841" s="143">
        <v>0</v>
      </c>
    </row>
    <row r="1842" spans="1:10" s="145" customFormat="1" ht="25.5" customHeight="1" x14ac:dyDescent="0.3">
      <c r="A1842" s="83" t="s">
        <v>700</v>
      </c>
      <c r="B1842" s="431" t="s">
        <v>32</v>
      </c>
      <c r="C1842" s="143">
        <f t="shared" si="372"/>
        <v>2.74</v>
      </c>
      <c r="D1842" s="143">
        <v>2.74</v>
      </c>
      <c r="E1842" s="41">
        <v>0</v>
      </c>
      <c r="F1842" s="143">
        <v>0</v>
      </c>
      <c r="G1842" s="143">
        <v>0</v>
      </c>
      <c r="H1842" s="143">
        <v>0</v>
      </c>
      <c r="I1842" s="143">
        <v>0</v>
      </c>
    </row>
    <row r="1843" spans="1:10" s="145" customFormat="1" x14ac:dyDescent="0.3">
      <c r="A1843" s="302"/>
      <c r="B1843" s="433" t="s">
        <v>33</v>
      </c>
      <c r="C1843" s="143">
        <f t="shared" si="372"/>
        <v>2.74</v>
      </c>
      <c r="D1843" s="143">
        <v>2.74</v>
      </c>
      <c r="E1843" s="41">
        <v>0</v>
      </c>
      <c r="F1843" s="143">
        <v>0</v>
      </c>
      <c r="G1843" s="143">
        <v>0</v>
      </c>
      <c r="H1843" s="143">
        <v>0</v>
      </c>
      <c r="I1843" s="143">
        <v>0</v>
      </c>
    </row>
    <row r="1844" spans="1:10" s="145" customFormat="1" ht="39" customHeight="1" x14ac:dyDescent="0.3">
      <c r="A1844" s="83" t="s">
        <v>701</v>
      </c>
      <c r="B1844" s="431" t="s">
        <v>32</v>
      </c>
      <c r="C1844" s="143">
        <f t="shared" si="372"/>
        <v>5.35</v>
      </c>
      <c r="D1844" s="143">
        <v>5.35</v>
      </c>
      <c r="E1844" s="41">
        <v>0</v>
      </c>
      <c r="F1844" s="143">
        <v>0</v>
      </c>
      <c r="G1844" s="143">
        <v>0</v>
      </c>
      <c r="H1844" s="143">
        <v>0</v>
      </c>
      <c r="I1844" s="143">
        <v>0</v>
      </c>
    </row>
    <row r="1845" spans="1:10" s="145" customFormat="1" x14ac:dyDescent="0.3">
      <c r="A1845" s="302"/>
      <c r="B1845" s="433" t="s">
        <v>33</v>
      </c>
      <c r="C1845" s="143">
        <f t="shared" si="372"/>
        <v>5.35</v>
      </c>
      <c r="D1845" s="143">
        <v>5.35</v>
      </c>
      <c r="E1845" s="41">
        <v>0</v>
      </c>
      <c r="F1845" s="143">
        <v>0</v>
      </c>
      <c r="G1845" s="143">
        <v>0</v>
      </c>
      <c r="H1845" s="143">
        <v>0</v>
      </c>
      <c r="I1845" s="143">
        <v>0</v>
      </c>
    </row>
    <row r="1846" spans="1:10" s="145" customFormat="1" ht="26.25" customHeight="1" x14ac:dyDescent="0.3">
      <c r="A1846" s="83" t="s">
        <v>702</v>
      </c>
      <c r="B1846" s="431" t="s">
        <v>32</v>
      </c>
      <c r="C1846" s="143">
        <f t="shared" si="372"/>
        <v>5.4</v>
      </c>
      <c r="D1846" s="143">
        <v>5.4</v>
      </c>
      <c r="E1846" s="41">
        <v>0</v>
      </c>
      <c r="F1846" s="143">
        <v>0</v>
      </c>
      <c r="G1846" s="143">
        <v>0</v>
      </c>
      <c r="H1846" s="143">
        <v>0</v>
      </c>
      <c r="I1846" s="143">
        <v>0</v>
      </c>
    </row>
    <row r="1847" spans="1:10" s="145" customFormat="1" x14ac:dyDescent="0.3">
      <c r="A1847" s="302"/>
      <c r="B1847" s="433" t="s">
        <v>33</v>
      </c>
      <c r="C1847" s="143">
        <f t="shared" si="372"/>
        <v>5.4</v>
      </c>
      <c r="D1847" s="143">
        <v>5.4</v>
      </c>
      <c r="E1847" s="41">
        <v>0</v>
      </c>
      <c r="F1847" s="143">
        <v>0</v>
      </c>
      <c r="G1847" s="143">
        <v>0</v>
      </c>
      <c r="H1847" s="143">
        <v>0</v>
      </c>
      <c r="I1847" s="143">
        <v>0</v>
      </c>
    </row>
    <row r="1848" spans="1:10" s="145" customFormat="1" ht="38.25" customHeight="1" x14ac:dyDescent="0.3">
      <c r="A1848" s="83" t="s">
        <v>703</v>
      </c>
      <c r="B1848" s="431" t="s">
        <v>32</v>
      </c>
      <c r="C1848" s="143">
        <f t="shared" si="372"/>
        <v>2.74</v>
      </c>
      <c r="D1848" s="143">
        <v>2.74</v>
      </c>
      <c r="E1848" s="41">
        <v>0</v>
      </c>
      <c r="F1848" s="143">
        <v>0</v>
      </c>
      <c r="G1848" s="143">
        <v>0</v>
      </c>
      <c r="H1848" s="143">
        <v>0</v>
      </c>
      <c r="I1848" s="143">
        <v>0</v>
      </c>
    </row>
    <row r="1849" spans="1:10" s="145" customFormat="1" x14ac:dyDescent="0.3">
      <c r="A1849" s="302"/>
      <c r="B1849" s="433" t="s">
        <v>33</v>
      </c>
      <c r="C1849" s="143">
        <f t="shared" si="372"/>
        <v>2.74</v>
      </c>
      <c r="D1849" s="143">
        <v>2.74</v>
      </c>
      <c r="E1849" s="41">
        <v>0</v>
      </c>
      <c r="F1849" s="143">
        <v>0</v>
      </c>
      <c r="G1849" s="143">
        <v>0</v>
      </c>
      <c r="H1849" s="143">
        <v>0</v>
      </c>
      <c r="I1849" s="143">
        <v>0</v>
      </c>
    </row>
    <row r="1850" spans="1:10" s="145" customFormat="1" ht="25.5" customHeight="1" x14ac:dyDescent="0.3">
      <c r="A1850" s="83" t="s">
        <v>704</v>
      </c>
      <c r="B1850" s="431" t="s">
        <v>32</v>
      </c>
      <c r="C1850" s="143">
        <f t="shared" si="372"/>
        <v>5.4</v>
      </c>
      <c r="D1850" s="143">
        <v>5.4</v>
      </c>
      <c r="E1850" s="41">
        <v>0</v>
      </c>
      <c r="F1850" s="143">
        <v>0</v>
      </c>
      <c r="G1850" s="143">
        <v>0</v>
      </c>
      <c r="H1850" s="143">
        <v>0</v>
      </c>
      <c r="I1850" s="143">
        <v>0</v>
      </c>
    </row>
    <row r="1851" spans="1:10" s="145" customFormat="1" x14ac:dyDescent="0.3">
      <c r="A1851" s="302"/>
      <c r="B1851" s="433" t="s">
        <v>33</v>
      </c>
      <c r="C1851" s="143">
        <f t="shared" si="372"/>
        <v>5.4</v>
      </c>
      <c r="D1851" s="143">
        <v>5.4</v>
      </c>
      <c r="E1851" s="41">
        <v>0</v>
      </c>
      <c r="F1851" s="143">
        <v>0</v>
      </c>
      <c r="G1851" s="143">
        <v>0</v>
      </c>
      <c r="H1851" s="143">
        <v>0</v>
      </c>
      <c r="I1851" s="143">
        <v>0</v>
      </c>
    </row>
    <row r="1852" spans="1:10" s="145" customFormat="1" ht="39.75" customHeight="1" x14ac:dyDescent="0.3">
      <c r="A1852" s="83" t="s">
        <v>705</v>
      </c>
      <c r="B1852" s="431" t="s">
        <v>32</v>
      </c>
      <c r="C1852" s="143">
        <f t="shared" si="372"/>
        <v>2.74</v>
      </c>
      <c r="D1852" s="143">
        <v>2.74</v>
      </c>
      <c r="E1852" s="41">
        <v>0</v>
      </c>
      <c r="F1852" s="143">
        <v>0</v>
      </c>
      <c r="G1852" s="143">
        <v>0</v>
      </c>
      <c r="H1852" s="143">
        <v>0</v>
      </c>
      <c r="I1852" s="143">
        <v>0</v>
      </c>
    </row>
    <row r="1853" spans="1:10" s="145" customFormat="1" x14ac:dyDescent="0.3">
      <c r="A1853" s="302"/>
      <c r="B1853" s="433" t="s">
        <v>33</v>
      </c>
      <c r="C1853" s="143">
        <f t="shared" si="372"/>
        <v>2.74</v>
      </c>
      <c r="D1853" s="143">
        <v>2.74</v>
      </c>
      <c r="E1853" s="41">
        <v>0</v>
      </c>
      <c r="F1853" s="143">
        <v>0</v>
      </c>
      <c r="G1853" s="143">
        <v>0</v>
      </c>
      <c r="H1853" s="143">
        <v>0</v>
      </c>
      <c r="I1853" s="143">
        <v>0</v>
      </c>
    </row>
    <row r="1854" spans="1:10" s="145" customFormat="1" ht="38.25" customHeight="1" x14ac:dyDescent="0.3">
      <c r="A1854" s="448" t="s">
        <v>706</v>
      </c>
      <c r="B1854" s="431" t="s">
        <v>32</v>
      </c>
      <c r="C1854" s="143">
        <f t="shared" si="372"/>
        <v>2</v>
      </c>
      <c r="D1854" s="143">
        <v>2</v>
      </c>
      <c r="E1854" s="41">
        <v>0</v>
      </c>
      <c r="F1854" s="143">
        <v>0</v>
      </c>
      <c r="G1854" s="143">
        <v>0</v>
      </c>
      <c r="H1854" s="143">
        <v>0</v>
      </c>
      <c r="I1854" s="143">
        <v>0</v>
      </c>
      <c r="J1854" s="78"/>
    </row>
    <row r="1855" spans="1:10" s="145" customFormat="1" ht="17.25" customHeight="1" x14ac:dyDescent="0.3">
      <c r="A1855" s="302"/>
      <c r="B1855" s="433" t="s">
        <v>33</v>
      </c>
      <c r="C1855" s="143">
        <f t="shared" si="372"/>
        <v>2</v>
      </c>
      <c r="D1855" s="143">
        <v>2</v>
      </c>
      <c r="E1855" s="41">
        <v>0</v>
      </c>
      <c r="F1855" s="143">
        <v>0</v>
      </c>
      <c r="G1855" s="143">
        <v>0</v>
      </c>
      <c r="H1855" s="143">
        <v>0</v>
      </c>
      <c r="I1855" s="143">
        <v>0</v>
      </c>
      <c r="J1855" s="78"/>
    </row>
    <row r="1856" spans="1:10" s="147" customFormat="1" ht="84.9" x14ac:dyDescent="0.35">
      <c r="A1856" s="449" t="s">
        <v>707</v>
      </c>
      <c r="B1856" s="442" t="s">
        <v>32</v>
      </c>
      <c r="C1856" s="143">
        <f t="shared" si="372"/>
        <v>51.29</v>
      </c>
      <c r="D1856" s="143">
        <v>35.82</v>
      </c>
      <c r="E1856" s="41">
        <v>0</v>
      </c>
      <c r="F1856" s="143">
        <v>0</v>
      </c>
      <c r="G1856" s="143">
        <v>0</v>
      </c>
      <c r="H1856" s="143">
        <v>0</v>
      </c>
      <c r="I1856" s="143">
        <v>15.47</v>
      </c>
    </row>
    <row r="1857" spans="1:9" s="147" customFormat="1" ht="14.15" x14ac:dyDescent="0.35">
      <c r="A1857" s="450"/>
      <c r="B1857" s="451" t="s">
        <v>33</v>
      </c>
      <c r="C1857" s="143">
        <f t="shared" si="372"/>
        <v>51.29</v>
      </c>
      <c r="D1857" s="143">
        <v>35.82</v>
      </c>
      <c r="E1857" s="41">
        <v>0</v>
      </c>
      <c r="F1857" s="143">
        <v>0</v>
      </c>
      <c r="G1857" s="143">
        <v>0</v>
      </c>
      <c r="H1857" s="143">
        <v>0</v>
      </c>
      <c r="I1857" s="143">
        <v>15.47</v>
      </c>
    </row>
    <row r="1858" spans="1:9" s="452" customFormat="1" ht="84.9" x14ac:dyDescent="0.35">
      <c r="A1858" s="449" t="s">
        <v>708</v>
      </c>
      <c r="B1858" s="410" t="s">
        <v>32</v>
      </c>
      <c r="C1858" s="143">
        <f t="shared" si="372"/>
        <v>51.6</v>
      </c>
      <c r="D1858" s="143">
        <v>35.82</v>
      </c>
      <c r="E1858" s="41">
        <v>0</v>
      </c>
      <c r="F1858" s="143">
        <v>0</v>
      </c>
      <c r="G1858" s="143">
        <v>0</v>
      </c>
      <c r="H1858" s="143">
        <v>0</v>
      </c>
      <c r="I1858" s="143">
        <v>15.78</v>
      </c>
    </row>
    <row r="1859" spans="1:9" s="452" customFormat="1" ht="14.15" x14ac:dyDescent="0.35">
      <c r="A1859" s="453"/>
      <c r="B1859" s="95" t="s">
        <v>33</v>
      </c>
      <c r="C1859" s="143">
        <f t="shared" si="372"/>
        <v>51.6</v>
      </c>
      <c r="D1859" s="143">
        <v>35.82</v>
      </c>
      <c r="E1859" s="41">
        <v>0</v>
      </c>
      <c r="F1859" s="143">
        <v>0</v>
      </c>
      <c r="G1859" s="143">
        <v>0</v>
      </c>
      <c r="H1859" s="143">
        <v>0</v>
      </c>
      <c r="I1859" s="143">
        <v>15.78</v>
      </c>
    </row>
    <row r="1860" spans="1:9" s="147" customFormat="1" ht="84.9" x14ac:dyDescent="0.35">
      <c r="A1860" s="449" t="s">
        <v>709</v>
      </c>
      <c r="B1860" s="442" t="s">
        <v>32</v>
      </c>
      <c r="C1860" s="143">
        <f t="shared" si="372"/>
        <v>51.17</v>
      </c>
      <c r="D1860" s="143">
        <v>35.82</v>
      </c>
      <c r="E1860" s="41">
        <v>0</v>
      </c>
      <c r="F1860" s="143">
        <v>0</v>
      </c>
      <c r="G1860" s="143">
        <v>0</v>
      </c>
      <c r="H1860" s="143">
        <v>0</v>
      </c>
      <c r="I1860" s="143">
        <v>15.35</v>
      </c>
    </row>
    <row r="1861" spans="1:9" s="147" customFormat="1" ht="14.15" x14ac:dyDescent="0.35">
      <c r="A1861" s="450"/>
      <c r="B1861" s="451" t="s">
        <v>33</v>
      </c>
      <c r="C1861" s="143">
        <f t="shared" si="372"/>
        <v>51.17</v>
      </c>
      <c r="D1861" s="143">
        <v>35.82</v>
      </c>
      <c r="E1861" s="41">
        <v>0</v>
      </c>
      <c r="F1861" s="143">
        <v>0</v>
      </c>
      <c r="G1861" s="143">
        <v>0</v>
      </c>
      <c r="H1861" s="143">
        <v>0</v>
      </c>
      <c r="I1861" s="143">
        <v>15.35</v>
      </c>
    </row>
    <row r="1862" spans="1:9" s="126" customFormat="1" ht="37.299999999999997" x14ac:dyDescent="0.3">
      <c r="A1862" s="152" t="s">
        <v>710</v>
      </c>
      <c r="B1862" s="40" t="s">
        <v>32</v>
      </c>
      <c r="C1862" s="143">
        <f t="shared" si="372"/>
        <v>65.5</v>
      </c>
      <c r="D1862" s="143">
        <v>65.5</v>
      </c>
      <c r="E1862" s="41">
        <v>0</v>
      </c>
      <c r="F1862" s="143">
        <v>0</v>
      </c>
      <c r="G1862" s="143">
        <v>0</v>
      </c>
      <c r="H1862" s="143">
        <v>0</v>
      </c>
      <c r="I1862" s="143">
        <v>0</v>
      </c>
    </row>
    <row r="1863" spans="1:9" s="126" customFormat="1" x14ac:dyDescent="0.3">
      <c r="A1863" s="63"/>
      <c r="B1863" s="44" t="s">
        <v>33</v>
      </c>
      <c r="C1863" s="143">
        <f t="shared" si="372"/>
        <v>65.5</v>
      </c>
      <c r="D1863" s="143">
        <v>65.5</v>
      </c>
      <c r="E1863" s="41">
        <v>0</v>
      </c>
      <c r="F1863" s="143">
        <v>0</v>
      </c>
      <c r="G1863" s="143">
        <v>0</v>
      </c>
      <c r="H1863" s="143">
        <v>0</v>
      </c>
      <c r="I1863" s="143">
        <v>0</v>
      </c>
    </row>
    <row r="1864" spans="1:9" s="452" customFormat="1" ht="28.3" x14ac:dyDescent="0.3">
      <c r="A1864" s="454" t="s">
        <v>711</v>
      </c>
      <c r="B1864" s="40" t="s">
        <v>32</v>
      </c>
      <c r="C1864" s="143">
        <f t="shared" si="372"/>
        <v>5.95</v>
      </c>
      <c r="D1864" s="143">
        <v>5.95</v>
      </c>
      <c r="E1864" s="41">
        <v>0</v>
      </c>
      <c r="F1864" s="143">
        <v>0</v>
      </c>
      <c r="G1864" s="143">
        <v>0</v>
      </c>
      <c r="H1864" s="143">
        <v>0</v>
      </c>
      <c r="I1864" s="143">
        <v>0</v>
      </c>
    </row>
    <row r="1865" spans="1:9" s="126" customFormat="1" x14ac:dyDescent="0.3">
      <c r="A1865" s="63"/>
      <c r="B1865" s="44" t="s">
        <v>33</v>
      </c>
      <c r="C1865" s="143">
        <f t="shared" si="372"/>
        <v>5.95</v>
      </c>
      <c r="D1865" s="143">
        <v>5.95</v>
      </c>
      <c r="E1865" s="41">
        <v>0</v>
      </c>
      <c r="F1865" s="143">
        <v>0</v>
      </c>
      <c r="G1865" s="143">
        <v>0</v>
      </c>
      <c r="H1865" s="143">
        <v>0</v>
      </c>
      <c r="I1865" s="143">
        <v>0</v>
      </c>
    </row>
    <row r="1866" spans="1:9" s="452" customFormat="1" ht="49.75" x14ac:dyDescent="0.3">
      <c r="A1866" s="244" t="s">
        <v>712</v>
      </c>
      <c r="B1866" s="40" t="s">
        <v>32</v>
      </c>
      <c r="C1866" s="143">
        <f t="shared" si="372"/>
        <v>7.74</v>
      </c>
      <c r="D1866" s="143">
        <v>7.74</v>
      </c>
      <c r="E1866" s="41">
        <v>0</v>
      </c>
      <c r="F1866" s="143">
        <v>0</v>
      </c>
      <c r="G1866" s="143">
        <v>0</v>
      </c>
      <c r="H1866" s="143">
        <v>0</v>
      </c>
      <c r="I1866" s="143">
        <v>0</v>
      </c>
    </row>
    <row r="1867" spans="1:9" s="126" customFormat="1" x14ac:dyDescent="0.3">
      <c r="A1867" s="63"/>
      <c r="B1867" s="44" t="s">
        <v>33</v>
      </c>
      <c r="C1867" s="143">
        <f t="shared" si="372"/>
        <v>7.74</v>
      </c>
      <c r="D1867" s="143">
        <v>7.74</v>
      </c>
      <c r="E1867" s="41">
        <v>0</v>
      </c>
      <c r="F1867" s="143">
        <v>0</v>
      </c>
      <c r="G1867" s="143">
        <v>0</v>
      </c>
      <c r="H1867" s="143">
        <v>0</v>
      </c>
      <c r="I1867" s="143">
        <v>0</v>
      </c>
    </row>
    <row r="1868" spans="1:9" s="452" customFormat="1" ht="14.15" x14ac:dyDescent="0.35">
      <c r="A1868" s="321" t="s">
        <v>713</v>
      </c>
      <c r="B1868" s="40" t="s">
        <v>32</v>
      </c>
      <c r="C1868" s="143">
        <f t="shared" si="372"/>
        <v>1.3</v>
      </c>
      <c r="D1868" s="143">
        <v>1.3</v>
      </c>
      <c r="E1868" s="41">
        <v>0</v>
      </c>
      <c r="F1868" s="143">
        <v>0</v>
      </c>
      <c r="G1868" s="143">
        <v>0</v>
      </c>
      <c r="H1868" s="143">
        <v>0</v>
      </c>
      <c r="I1868" s="143">
        <v>0</v>
      </c>
    </row>
    <row r="1869" spans="1:9" s="126" customFormat="1" x14ac:dyDescent="0.3">
      <c r="A1869" s="63"/>
      <c r="B1869" s="44" t="s">
        <v>33</v>
      </c>
      <c r="C1869" s="143">
        <f t="shared" si="372"/>
        <v>1.3</v>
      </c>
      <c r="D1869" s="143">
        <v>1.3</v>
      </c>
      <c r="E1869" s="41">
        <v>0</v>
      </c>
      <c r="F1869" s="143">
        <v>0</v>
      </c>
      <c r="G1869" s="143">
        <v>0</v>
      </c>
      <c r="H1869" s="143">
        <v>0</v>
      </c>
      <c r="I1869" s="143">
        <v>0</v>
      </c>
    </row>
    <row r="1870" spans="1:9" s="452" customFormat="1" ht="30" customHeight="1" x14ac:dyDescent="0.35">
      <c r="A1870" s="455" t="s">
        <v>714</v>
      </c>
      <c r="B1870" s="40" t="s">
        <v>32</v>
      </c>
      <c r="C1870" s="143">
        <f t="shared" si="372"/>
        <v>3</v>
      </c>
      <c r="D1870" s="143">
        <v>0</v>
      </c>
      <c r="E1870" s="41">
        <v>3</v>
      </c>
      <c r="F1870" s="143">
        <v>0</v>
      </c>
      <c r="G1870" s="143">
        <v>0</v>
      </c>
      <c r="H1870" s="143">
        <v>0</v>
      </c>
      <c r="I1870" s="143">
        <v>0</v>
      </c>
    </row>
    <row r="1871" spans="1:9" s="126" customFormat="1" x14ac:dyDescent="0.3">
      <c r="A1871" s="63"/>
      <c r="B1871" s="44" t="s">
        <v>33</v>
      </c>
      <c r="C1871" s="143">
        <f t="shared" si="372"/>
        <v>3</v>
      </c>
      <c r="D1871" s="143">
        <v>0</v>
      </c>
      <c r="E1871" s="41">
        <v>3</v>
      </c>
      <c r="F1871" s="143">
        <v>0</v>
      </c>
      <c r="G1871" s="143">
        <v>0</v>
      </c>
      <c r="H1871" s="143">
        <v>0</v>
      </c>
      <c r="I1871" s="143">
        <v>0</v>
      </c>
    </row>
    <row r="1872" spans="1:9" s="452" customFormat="1" ht="14.15" x14ac:dyDescent="0.35">
      <c r="A1872" s="447" t="s">
        <v>715</v>
      </c>
      <c r="B1872" s="40" t="s">
        <v>32</v>
      </c>
      <c r="C1872" s="143">
        <f t="shared" si="372"/>
        <v>1</v>
      </c>
      <c r="D1872" s="143">
        <v>0</v>
      </c>
      <c r="E1872" s="41">
        <v>1</v>
      </c>
      <c r="F1872" s="143">
        <v>0</v>
      </c>
      <c r="G1872" s="143">
        <v>0</v>
      </c>
      <c r="H1872" s="143">
        <v>0</v>
      </c>
      <c r="I1872" s="143">
        <v>0</v>
      </c>
    </row>
    <row r="1873" spans="1:9" s="126" customFormat="1" x14ac:dyDescent="0.3">
      <c r="A1873" s="63"/>
      <c r="B1873" s="44" t="s">
        <v>33</v>
      </c>
      <c r="C1873" s="143">
        <f t="shared" si="372"/>
        <v>1</v>
      </c>
      <c r="D1873" s="143">
        <v>0</v>
      </c>
      <c r="E1873" s="41">
        <v>1</v>
      </c>
      <c r="F1873" s="143">
        <v>0</v>
      </c>
      <c r="G1873" s="143">
        <v>0</v>
      </c>
      <c r="H1873" s="143">
        <v>0</v>
      </c>
      <c r="I1873" s="143">
        <v>0</v>
      </c>
    </row>
    <row r="1874" spans="1:9" s="452" customFormat="1" ht="15" customHeight="1" x14ac:dyDescent="0.3">
      <c r="A1874" s="456" t="s">
        <v>716</v>
      </c>
      <c r="B1874" s="40" t="s">
        <v>32</v>
      </c>
      <c r="C1874" s="143">
        <f t="shared" si="372"/>
        <v>3</v>
      </c>
      <c r="D1874" s="143">
        <v>0</v>
      </c>
      <c r="E1874" s="41">
        <v>3</v>
      </c>
      <c r="F1874" s="143">
        <v>0</v>
      </c>
      <c r="G1874" s="143">
        <v>0</v>
      </c>
      <c r="H1874" s="143">
        <v>0</v>
      </c>
      <c r="I1874" s="143">
        <v>0</v>
      </c>
    </row>
    <row r="1875" spans="1:9" s="126" customFormat="1" x14ac:dyDescent="0.3">
      <c r="A1875" s="63"/>
      <c r="B1875" s="44" t="s">
        <v>33</v>
      </c>
      <c r="C1875" s="143">
        <f t="shared" si="372"/>
        <v>3</v>
      </c>
      <c r="D1875" s="143">
        <v>0</v>
      </c>
      <c r="E1875" s="41">
        <v>3</v>
      </c>
      <c r="F1875" s="143">
        <v>0</v>
      </c>
      <c r="G1875" s="143">
        <v>0</v>
      </c>
      <c r="H1875" s="143">
        <v>0</v>
      </c>
      <c r="I1875" s="143">
        <v>0</v>
      </c>
    </row>
    <row r="1876" spans="1:9" s="452" customFormat="1" ht="28.3" x14ac:dyDescent="0.35">
      <c r="A1876" s="457" t="s">
        <v>717</v>
      </c>
      <c r="B1876" s="40" t="s">
        <v>32</v>
      </c>
      <c r="C1876" s="143">
        <f t="shared" si="372"/>
        <v>2</v>
      </c>
      <c r="D1876" s="143">
        <v>0</v>
      </c>
      <c r="E1876" s="41">
        <v>2</v>
      </c>
      <c r="F1876" s="143">
        <v>0</v>
      </c>
      <c r="G1876" s="143">
        <v>0</v>
      </c>
      <c r="H1876" s="143">
        <v>0</v>
      </c>
      <c r="I1876" s="143">
        <v>0</v>
      </c>
    </row>
    <row r="1877" spans="1:9" s="126" customFormat="1" x14ac:dyDescent="0.3">
      <c r="A1877" s="63"/>
      <c r="B1877" s="44" t="s">
        <v>33</v>
      </c>
      <c r="C1877" s="143">
        <f t="shared" si="372"/>
        <v>2</v>
      </c>
      <c r="D1877" s="143">
        <v>0</v>
      </c>
      <c r="E1877" s="41">
        <v>2</v>
      </c>
      <c r="F1877" s="143">
        <v>0</v>
      </c>
      <c r="G1877" s="143">
        <v>0</v>
      </c>
      <c r="H1877" s="143">
        <v>0</v>
      </c>
      <c r="I1877" s="143">
        <v>0</v>
      </c>
    </row>
    <row r="1878" spans="1:9" s="452" customFormat="1" ht="16.5" customHeight="1" x14ac:dyDescent="0.35">
      <c r="A1878" s="294" t="s">
        <v>718</v>
      </c>
      <c r="B1878" s="40" t="s">
        <v>32</v>
      </c>
      <c r="C1878" s="143">
        <f t="shared" si="372"/>
        <v>35</v>
      </c>
      <c r="D1878" s="143">
        <v>0</v>
      </c>
      <c r="E1878" s="41">
        <v>35</v>
      </c>
      <c r="F1878" s="143">
        <v>0</v>
      </c>
      <c r="G1878" s="143">
        <v>0</v>
      </c>
      <c r="H1878" s="143">
        <v>0</v>
      </c>
      <c r="I1878" s="143">
        <v>0</v>
      </c>
    </row>
    <row r="1879" spans="1:9" s="126" customFormat="1" x14ac:dyDescent="0.3">
      <c r="A1879" s="63"/>
      <c r="B1879" s="44" t="s">
        <v>33</v>
      </c>
      <c r="C1879" s="143">
        <f t="shared" si="372"/>
        <v>35</v>
      </c>
      <c r="D1879" s="143">
        <v>0</v>
      </c>
      <c r="E1879" s="41">
        <v>35</v>
      </c>
      <c r="F1879" s="143">
        <v>0</v>
      </c>
      <c r="G1879" s="143">
        <v>0</v>
      </c>
      <c r="H1879" s="143">
        <v>0</v>
      </c>
      <c r="I1879" s="143">
        <v>0</v>
      </c>
    </row>
    <row r="1880" spans="1:9" s="452" customFormat="1" ht="14.15" x14ac:dyDescent="0.35">
      <c r="A1880" s="458" t="s">
        <v>719</v>
      </c>
      <c r="B1880" s="40" t="s">
        <v>32</v>
      </c>
      <c r="C1880" s="143">
        <f t="shared" si="372"/>
        <v>1</v>
      </c>
      <c r="D1880" s="143">
        <v>0</v>
      </c>
      <c r="E1880" s="41">
        <v>1</v>
      </c>
      <c r="F1880" s="143">
        <v>0</v>
      </c>
      <c r="G1880" s="143">
        <v>0</v>
      </c>
      <c r="H1880" s="143">
        <v>0</v>
      </c>
      <c r="I1880" s="143">
        <v>0</v>
      </c>
    </row>
    <row r="1881" spans="1:9" s="126" customFormat="1" x14ac:dyDescent="0.3">
      <c r="A1881" s="63"/>
      <c r="B1881" s="44" t="s">
        <v>33</v>
      </c>
      <c r="C1881" s="143">
        <f t="shared" si="372"/>
        <v>1</v>
      </c>
      <c r="D1881" s="143">
        <v>0</v>
      </c>
      <c r="E1881" s="41">
        <v>1</v>
      </c>
      <c r="F1881" s="143">
        <v>0</v>
      </c>
      <c r="G1881" s="143">
        <v>0</v>
      </c>
      <c r="H1881" s="143">
        <v>0</v>
      </c>
      <c r="I1881" s="143">
        <v>0</v>
      </c>
    </row>
    <row r="1882" spans="1:9" s="452" customFormat="1" ht="14.25" customHeight="1" x14ac:dyDescent="0.35">
      <c r="A1882" s="458" t="s">
        <v>720</v>
      </c>
      <c r="B1882" s="40" t="s">
        <v>32</v>
      </c>
      <c r="C1882" s="143">
        <f t="shared" si="372"/>
        <v>3</v>
      </c>
      <c r="D1882" s="143">
        <v>0</v>
      </c>
      <c r="E1882" s="41">
        <v>3</v>
      </c>
      <c r="F1882" s="143">
        <v>0</v>
      </c>
      <c r="G1882" s="143">
        <v>0</v>
      </c>
      <c r="H1882" s="143">
        <v>0</v>
      </c>
      <c r="I1882" s="143">
        <v>0</v>
      </c>
    </row>
    <row r="1883" spans="1:9" s="126" customFormat="1" x14ac:dyDescent="0.3">
      <c r="A1883" s="63"/>
      <c r="B1883" s="44" t="s">
        <v>33</v>
      </c>
      <c r="C1883" s="143">
        <f t="shared" si="372"/>
        <v>3</v>
      </c>
      <c r="D1883" s="143">
        <v>0</v>
      </c>
      <c r="E1883" s="41">
        <v>3</v>
      </c>
      <c r="F1883" s="143">
        <v>0</v>
      </c>
      <c r="G1883" s="143">
        <v>0</v>
      </c>
      <c r="H1883" s="143">
        <v>0</v>
      </c>
      <c r="I1883" s="143">
        <v>0</v>
      </c>
    </row>
    <row r="1884" spans="1:9" s="452" customFormat="1" ht="28.3" x14ac:dyDescent="0.3">
      <c r="A1884" s="459" t="s">
        <v>721</v>
      </c>
      <c r="B1884" s="40" t="s">
        <v>32</v>
      </c>
      <c r="C1884" s="143">
        <f t="shared" si="372"/>
        <v>2</v>
      </c>
      <c r="D1884" s="143">
        <v>0</v>
      </c>
      <c r="E1884" s="41">
        <v>2</v>
      </c>
      <c r="F1884" s="143">
        <v>0</v>
      </c>
      <c r="G1884" s="143">
        <v>0</v>
      </c>
      <c r="H1884" s="143">
        <v>0</v>
      </c>
      <c r="I1884" s="143">
        <v>0</v>
      </c>
    </row>
    <row r="1885" spans="1:9" s="126" customFormat="1" x14ac:dyDescent="0.3">
      <c r="A1885" s="63"/>
      <c r="B1885" s="44" t="s">
        <v>33</v>
      </c>
      <c r="C1885" s="143">
        <f t="shared" si="372"/>
        <v>2</v>
      </c>
      <c r="D1885" s="143">
        <v>0</v>
      </c>
      <c r="E1885" s="41">
        <v>2</v>
      </c>
      <c r="F1885" s="143">
        <v>0</v>
      </c>
      <c r="G1885" s="143">
        <v>0</v>
      </c>
      <c r="H1885" s="143">
        <v>0</v>
      </c>
      <c r="I1885" s="143">
        <v>0</v>
      </c>
    </row>
    <row r="1886" spans="1:9" s="452" customFormat="1" ht="15.75" customHeight="1" x14ac:dyDescent="0.35">
      <c r="A1886" s="458" t="s">
        <v>722</v>
      </c>
      <c r="B1886" s="40" t="s">
        <v>32</v>
      </c>
      <c r="C1886" s="143">
        <f t="shared" si="372"/>
        <v>35</v>
      </c>
      <c r="D1886" s="143">
        <v>0</v>
      </c>
      <c r="E1886" s="41">
        <v>35</v>
      </c>
      <c r="F1886" s="143">
        <v>0</v>
      </c>
      <c r="G1886" s="143">
        <v>0</v>
      </c>
      <c r="H1886" s="143">
        <v>0</v>
      </c>
      <c r="I1886" s="143">
        <v>0</v>
      </c>
    </row>
    <row r="1887" spans="1:9" s="126" customFormat="1" x14ac:dyDescent="0.3">
      <c r="A1887" s="63"/>
      <c r="B1887" s="44" t="s">
        <v>33</v>
      </c>
      <c r="C1887" s="143">
        <f t="shared" si="372"/>
        <v>35</v>
      </c>
      <c r="D1887" s="143">
        <v>0</v>
      </c>
      <c r="E1887" s="41">
        <v>35</v>
      </c>
      <c r="F1887" s="143">
        <v>0</v>
      </c>
      <c r="G1887" s="143">
        <v>0</v>
      </c>
      <c r="H1887" s="143">
        <v>0</v>
      </c>
      <c r="I1887" s="143">
        <v>0</v>
      </c>
    </row>
    <row r="1888" spans="1:9" s="452" customFormat="1" ht="14.15" x14ac:dyDescent="0.35">
      <c r="A1888" s="458" t="s">
        <v>723</v>
      </c>
      <c r="B1888" s="40" t="s">
        <v>32</v>
      </c>
      <c r="C1888" s="143">
        <f t="shared" si="372"/>
        <v>3</v>
      </c>
      <c r="D1888" s="143">
        <v>0</v>
      </c>
      <c r="E1888" s="41">
        <v>3</v>
      </c>
      <c r="F1888" s="143">
        <v>0</v>
      </c>
      <c r="G1888" s="143">
        <v>0</v>
      </c>
      <c r="H1888" s="143">
        <v>0</v>
      </c>
      <c r="I1888" s="143">
        <v>0</v>
      </c>
    </row>
    <row r="1889" spans="1:9" s="126" customFormat="1" x14ac:dyDescent="0.3">
      <c r="A1889" s="63"/>
      <c r="B1889" s="44" t="s">
        <v>33</v>
      </c>
      <c r="C1889" s="143">
        <f t="shared" si="372"/>
        <v>3</v>
      </c>
      <c r="D1889" s="143">
        <v>0</v>
      </c>
      <c r="E1889" s="41">
        <v>3</v>
      </c>
      <c r="F1889" s="143">
        <v>0</v>
      </c>
      <c r="G1889" s="143">
        <v>0</v>
      </c>
      <c r="H1889" s="143">
        <v>0</v>
      </c>
      <c r="I1889" s="143">
        <v>0</v>
      </c>
    </row>
    <row r="1890" spans="1:9" s="452" customFormat="1" ht="14.25" customHeight="1" x14ac:dyDescent="0.35">
      <c r="A1890" s="458" t="s">
        <v>724</v>
      </c>
      <c r="B1890" s="40" t="s">
        <v>32</v>
      </c>
      <c r="C1890" s="143">
        <f t="shared" si="372"/>
        <v>6</v>
      </c>
      <c r="D1890" s="143">
        <v>0</v>
      </c>
      <c r="E1890" s="41">
        <v>6</v>
      </c>
      <c r="F1890" s="143">
        <v>0</v>
      </c>
      <c r="G1890" s="143">
        <v>0</v>
      </c>
      <c r="H1890" s="143">
        <v>0</v>
      </c>
      <c r="I1890" s="143">
        <v>0</v>
      </c>
    </row>
    <row r="1891" spans="1:9" s="126" customFormat="1" x14ac:dyDescent="0.3">
      <c r="A1891" s="63"/>
      <c r="B1891" s="44" t="s">
        <v>33</v>
      </c>
      <c r="C1891" s="143">
        <f t="shared" si="372"/>
        <v>6</v>
      </c>
      <c r="D1891" s="143">
        <v>0</v>
      </c>
      <c r="E1891" s="41">
        <v>6</v>
      </c>
      <c r="F1891" s="143">
        <v>0</v>
      </c>
      <c r="G1891" s="143">
        <v>0</v>
      </c>
      <c r="H1891" s="143">
        <v>0</v>
      </c>
      <c r="I1891" s="143">
        <v>0</v>
      </c>
    </row>
    <row r="1892" spans="1:9" s="452" customFormat="1" ht="28.3" x14ac:dyDescent="0.35">
      <c r="A1892" s="460" t="s">
        <v>725</v>
      </c>
      <c r="B1892" s="40" t="s">
        <v>32</v>
      </c>
      <c r="C1892" s="143">
        <f t="shared" si="372"/>
        <v>4</v>
      </c>
      <c r="D1892" s="143">
        <v>0</v>
      </c>
      <c r="E1892" s="41">
        <v>4</v>
      </c>
      <c r="F1892" s="143">
        <v>0</v>
      </c>
      <c r="G1892" s="143">
        <v>0</v>
      </c>
      <c r="H1892" s="143">
        <v>0</v>
      </c>
      <c r="I1892" s="143">
        <v>0</v>
      </c>
    </row>
    <row r="1893" spans="1:9" s="126" customFormat="1" x14ac:dyDescent="0.3">
      <c r="A1893" s="63"/>
      <c r="B1893" s="44" t="s">
        <v>33</v>
      </c>
      <c r="C1893" s="143">
        <f t="shared" si="372"/>
        <v>4</v>
      </c>
      <c r="D1893" s="143">
        <v>0</v>
      </c>
      <c r="E1893" s="41">
        <v>4</v>
      </c>
      <c r="F1893" s="143">
        <v>0</v>
      </c>
      <c r="G1893" s="143">
        <v>0</v>
      </c>
      <c r="H1893" s="143">
        <v>0</v>
      </c>
      <c r="I1893" s="143">
        <v>0</v>
      </c>
    </row>
    <row r="1894" spans="1:9" s="452" customFormat="1" ht="15.75" customHeight="1" x14ac:dyDescent="0.35">
      <c r="A1894" s="458" t="s">
        <v>726</v>
      </c>
      <c r="B1894" s="40" t="s">
        <v>32</v>
      </c>
      <c r="C1894" s="143">
        <f t="shared" si="372"/>
        <v>140</v>
      </c>
      <c r="D1894" s="143">
        <v>0</v>
      </c>
      <c r="E1894" s="41">
        <v>140</v>
      </c>
      <c r="F1894" s="143">
        <v>0</v>
      </c>
      <c r="G1894" s="143">
        <v>0</v>
      </c>
      <c r="H1894" s="143">
        <v>0</v>
      </c>
      <c r="I1894" s="143">
        <v>0</v>
      </c>
    </row>
    <row r="1895" spans="1:9" s="126" customFormat="1" x14ac:dyDescent="0.3">
      <c r="A1895" s="63"/>
      <c r="B1895" s="44" t="s">
        <v>33</v>
      </c>
      <c r="C1895" s="143">
        <f t="shared" si="372"/>
        <v>140</v>
      </c>
      <c r="D1895" s="143">
        <v>0</v>
      </c>
      <c r="E1895" s="41">
        <v>140</v>
      </c>
      <c r="F1895" s="143">
        <v>0</v>
      </c>
      <c r="G1895" s="143">
        <v>0</v>
      </c>
      <c r="H1895" s="143">
        <v>0</v>
      </c>
      <c r="I1895" s="143">
        <v>0</v>
      </c>
    </row>
    <row r="1896" spans="1:9" s="452" customFormat="1" ht="14.15" x14ac:dyDescent="0.35">
      <c r="A1896" s="458" t="s">
        <v>727</v>
      </c>
      <c r="B1896" s="40" t="s">
        <v>32</v>
      </c>
      <c r="C1896" s="143">
        <f t="shared" si="372"/>
        <v>1</v>
      </c>
      <c r="D1896" s="143">
        <v>0</v>
      </c>
      <c r="E1896" s="41">
        <v>1</v>
      </c>
      <c r="F1896" s="143">
        <v>0</v>
      </c>
      <c r="G1896" s="143">
        <v>0</v>
      </c>
      <c r="H1896" s="143">
        <v>0</v>
      </c>
      <c r="I1896" s="143">
        <v>0</v>
      </c>
    </row>
    <row r="1897" spans="1:9" s="126" customFormat="1" x14ac:dyDescent="0.3">
      <c r="A1897" s="63"/>
      <c r="B1897" s="44" t="s">
        <v>33</v>
      </c>
      <c r="C1897" s="143">
        <f t="shared" si="372"/>
        <v>1</v>
      </c>
      <c r="D1897" s="143">
        <v>0</v>
      </c>
      <c r="E1897" s="41">
        <v>1</v>
      </c>
      <c r="F1897" s="143">
        <v>0</v>
      </c>
      <c r="G1897" s="143">
        <v>0</v>
      </c>
      <c r="H1897" s="143">
        <v>0</v>
      </c>
      <c r="I1897" s="143">
        <v>0</v>
      </c>
    </row>
    <row r="1898" spans="1:9" s="452" customFormat="1" ht="14.25" customHeight="1" x14ac:dyDescent="0.3">
      <c r="A1898" s="461" t="s">
        <v>728</v>
      </c>
      <c r="B1898" s="40" t="s">
        <v>32</v>
      </c>
      <c r="C1898" s="143">
        <f t="shared" si="372"/>
        <v>2</v>
      </c>
      <c r="D1898" s="143">
        <v>0</v>
      </c>
      <c r="E1898" s="41">
        <v>2</v>
      </c>
      <c r="F1898" s="143">
        <v>0</v>
      </c>
      <c r="G1898" s="143">
        <v>0</v>
      </c>
      <c r="H1898" s="143">
        <v>0</v>
      </c>
      <c r="I1898" s="143">
        <v>0</v>
      </c>
    </row>
    <row r="1899" spans="1:9" s="126" customFormat="1" x14ac:dyDescent="0.3">
      <c r="A1899" s="63"/>
      <c r="B1899" s="44" t="s">
        <v>33</v>
      </c>
      <c r="C1899" s="143">
        <f t="shared" si="372"/>
        <v>2</v>
      </c>
      <c r="D1899" s="143">
        <v>0</v>
      </c>
      <c r="E1899" s="41">
        <v>2</v>
      </c>
      <c r="F1899" s="143">
        <v>0</v>
      </c>
      <c r="G1899" s="143">
        <v>0</v>
      </c>
      <c r="H1899" s="143">
        <v>0</v>
      </c>
      <c r="I1899" s="143">
        <v>0</v>
      </c>
    </row>
    <row r="1900" spans="1:9" s="452" customFormat="1" ht="14.15" x14ac:dyDescent="0.3">
      <c r="A1900" s="461" t="s">
        <v>729</v>
      </c>
      <c r="B1900" s="40" t="s">
        <v>32</v>
      </c>
      <c r="C1900" s="143">
        <f t="shared" si="372"/>
        <v>2</v>
      </c>
      <c r="D1900" s="143">
        <v>0</v>
      </c>
      <c r="E1900" s="41">
        <v>2</v>
      </c>
      <c r="F1900" s="143">
        <v>0</v>
      </c>
      <c r="G1900" s="143">
        <v>0</v>
      </c>
      <c r="H1900" s="143">
        <v>0</v>
      </c>
      <c r="I1900" s="143">
        <v>0</v>
      </c>
    </row>
    <row r="1901" spans="1:9" s="126" customFormat="1" x14ac:dyDescent="0.3">
      <c r="A1901" s="63" t="s">
        <v>187</v>
      </c>
      <c r="B1901" s="44" t="s">
        <v>33</v>
      </c>
      <c r="C1901" s="143">
        <f t="shared" si="372"/>
        <v>2</v>
      </c>
      <c r="D1901" s="143">
        <v>0</v>
      </c>
      <c r="E1901" s="41">
        <v>2</v>
      </c>
      <c r="F1901" s="143">
        <v>0</v>
      </c>
      <c r="G1901" s="143">
        <v>0</v>
      </c>
      <c r="H1901" s="143">
        <v>0</v>
      </c>
      <c r="I1901" s="143">
        <v>0</v>
      </c>
    </row>
    <row r="1902" spans="1:9" s="452" customFormat="1" ht="15.75" customHeight="1" x14ac:dyDescent="0.3">
      <c r="A1902" s="462" t="s">
        <v>730</v>
      </c>
      <c r="B1902" s="40" t="s">
        <v>32</v>
      </c>
      <c r="C1902" s="143">
        <f t="shared" si="372"/>
        <v>4</v>
      </c>
      <c r="D1902" s="143">
        <v>0</v>
      </c>
      <c r="E1902" s="41">
        <v>4</v>
      </c>
      <c r="F1902" s="143">
        <v>0</v>
      </c>
      <c r="G1902" s="143">
        <v>0</v>
      </c>
      <c r="H1902" s="143">
        <v>0</v>
      </c>
      <c r="I1902" s="143">
        <v>0</v>
      </c>
    </row>
    <row r="1903" spans="1:9" s="126" customFormat="1" x14ac:dyDescent="0.3">
      <c r="A1903" s="63"/>
      <c r="B1903" s="44" t="s">
        <v>33</v>
      </c>
      <c r="C1903" s="143">
        <f t="shared" si="372"/>
        <v>4</v>
      </c>
      <c r="D1903" s="143">
        <v>0</v>
      </c>
      <c r="E1903" s="41">
        <v>4</v>
      </c>
      <c r="F1903" s="143">
        <v>0</v>
      </c>
      <c r="G1903" s="143">
        <v>0</v>
      </c>
      <c r="H1903" s="143">
        <v>0</v>
      </c>
      <c r="I1903" s="143">
        <v>0</v>
      </c>
    </row>
    <row r="1904" spans="1:9" s="452" customFormat="1" ht="28.3" x14ac:dyDescent="0.3">
      <c r="A1904" s="459" t="s">
        <v>731</v>
      </c>
      <c r="B1904" s="40" t="s">
        <v>32</v>
      </c>
      <c r="C1904" s="143">
        <f t="shared" si="372"/>
        <v>77</v>
      </c>
      <c r="D1904" s="143">
        <v>0</v>
      </c>
      <c r="E1904" s="41">
        <v>77</v>
      </c>
      <c r="F1904" s="143">
        <v>0</v>
      </c>
      <c r="G1904" s="143">
        <v>0</v>
      </c>
      <c r="H1904" s="143">
        <v>0</v>
      </c>
      <c r="I1904" s="143">
        <v>0</v>
      </c>
    </row>
    <row r="1905" spans="1:9" s="126" customFormat="1" x14ac:dyDescent="0.3">
      <c r="A1905" s="63"/>
      <c r="B1905" s="44" t="s">
        <v>33</v>
      </c>
      <c r="C1905" s="143">
        <f t="shared" si="372"/>
        <v>77</v>
      </c>
      <c r="D1905" s="143">
        <v>0</v>
      </c>
      <c r="E1905" s="41">
        <v>77</v>
      </c>
      <c r="F1905" s="143">
        <v>0</v>
      </c>
      <c r="G1905" s="143">
        <v>0</v>
      </c>
      <c r="H1905" s="143">
        <v>0</v>
      </c>
      <c r="I1905" s="143">
        <v>0</v>
      </c>
    </row>
    <row r="1906" spans="1:9" s="452" customFormat="1" ht="14.15" x14ac:dyDescent="0.35">
      <c r="A1906" s="458" t="s">
        <v>732</v>
      </c>
      <c r="B1906" s="40" t="s">
        <v>32</v>
      </c>
      <c r="C1906" s="143">
        <f t="shared" si="372"/>
        <v>3</v>
      </c>
      <c r="D1906" s="143">
        <v>0</v>
      </c>
      <c r="E1906" s="41">
        <v>3</v>
      </c>
      <c r="F1906" s="143">
        <v>0</v>
      </c>
      <c r="G1906" s="143">
        <v>0</v>
      </c>
      <c r="H1906" s="143">
        <v>0</v>
      </c>
      <c r="I1906" s="143">
        <v>0</v>
      </c>
    </row>
    <row r="1907" spans="1:9" s="126" customFormat="1" x14ac:dyDescent="0.3">
      <c r="A1907" s="63"/>
      <c r="B1907" s="44" t="s">
        <v>33</v>
      </c>
      <c r="C1907" s="143">
        <f t="shared" si="372"/>
        <v>3</v>
      </c>
      <c r="D1907" s="143">
        <v>0</v>
      </c>
      <c r="E1907" s="41">
        <v>3</v>
      </c>
      <c r="F1907" s="143">
        <v>0</v>
      </c>
      <c r="G1907" s="143">
        <v>0</v>
      </c>
      <c r="H1907" s="143">
        <v>0</v>
      </c>
      <c r="I1907" s="143">
        <v>0</v>
      </c>
    </row>
    <row r="1908" spans="1:9" s="452" customFormat="1" ht="15.75" customHeight="1" x14ac:dyDescent="0.35">
      <c r="A1908" s="458" t="s">
        <v>733</v>
      </c>
      <c r="B1908" s="40" t="s">
        <v>32</v>
      </c>
      <c r="C1908" s="143">
        <f t="shared" si="372"/>
        <v>3</v>
      </c>
      <c r="D1908" s="143">
        <v>0</v>
      </c>
      <c r="E1908" s="41">
        <v>3</v>
      </c>
      <c r="F1908" s="143">
        <v>0</v>
      </c>
      <c r="G1908" s="143">
        <v>0</v>
      </c>
      <c r="H1908" s="143">
        <v>0</v>
      </c>
      <c r="I1908" s="143">
        <v>0</v>
      </c>
    </row>
    <row r="1909" spans="1:9" s="126" customFormat="1" x14ac:dyDescent="0.3">
      <c r="A1909" s="63"/>
      <c r="B1909" s="44" t="s">
        <v>33</v>
      </c>
      <c r="C1909" s="143">
        <f t="shared" si="372"/>
        <v>3</v>
      </c>
      <c r="D1909" s="143">
        <v>0</v>
      </c>
      <c r="E1909" s="41">
        <v>3</v>
      </c>
      <c r="F1909" s="143">
        <v>0</v>
      </c>
      <c r="G1909" s="143">
        <v>0</v>
      </c>
      <c r="H1909" s="143">
        <v>0</v>
      </c>
      <c r="I1909" s="143">
        <v>0</v>
      </c>
    </row>
    <row r="1910" spans="1:9" s="452" customFormat="1" ht="14.15" x14ac:dyDescent="0.3">
      <c r="A1910" s="463" t="s">
        <v>734</v>
      </c>
      <c r="B1910" s="40" t="s">
        <v>32</v>
      </c>
      <c r="C1910" s="143">
        <f t="shared" si="372"/>
        <v>3</v>
      </c>
      <c r="D1910" s="143">
        <v>0</v>
      </c>
      <c r="E1910" s="41">
        <v>3</v>
      </c>
      <c r="F1910" s="143">
        <v>0</v>
      </c>
      <c r="G1910" s="143">
        <v>0</v>
      </c>
      <c r="H1910" s="143">
        <v>0</v>
      </c>
      <c r="I1910" s="143">
        <v>0</v>
      </c>
    </row>
    <row r="1911" spans="1:9" s="126" customFormat="1" ht="14.15" x14ac:dyDescent="0.35">
      <c r="A1911" s="290"/>
      <c r="B1911" s="44" t="s">
        <v>33</v>
      </c>
      <c r="C1911" s="143">
        <f t="shared" si="372"/>
        <v>3</v>
      </c>
      <c r="D1911" s="143">
        <v>0</v>
      </c>
      <c r="E1911" s="41">
        <v>3</v>
      </c>
      <c r="F1911" s="143">
        <v>0</v>
      </c>
      <c r="G1911" s="143">
        <v>0</v>
      </c>
      <c r="H1911" s="143">
        <v>0</v>
      </c>
      <c r="I1911" s="143">
        <v>0</v>
      </c>
    </row>
    <row r="1912" spans="1:9" s="452" customFormat="1" ht="27.75" customHeight="1" x14ac:dyDescent="0.3">
      <c r="A1912" s="463" t="s">
        <v>735</v>
      </c>
      <c r="B1912" s="40" t="s">
        <v>32</v>
      </c>
      <c r="C1912" s="143">
        <f t="shared" si="372"/>
        <v>42</v>
      </c>
      <c r="D1912" s="143">
        <v>0</v>
      </c>
      <c r="E1912" s="41">
        <v>42</v>
      </c>
      <c r="F1912" s="143">
        <v>0</v>
      </c>
      <c r="G1912" s="143">
        <v>0</v>
      </c>
      <c r="H1912" s="143">
        <v>0</v>
      </c>
      <c r="I1912" s="143">
        <v>0</v>
      </c>
    </row>
    <row r="1913" spans="1:9" s="126" customFormat="1" ht="14.15" x14ac:dyDescent="0.3">
      <c r="A1913" s="395"/>
      <c r="B1913" s="44" t="s">
        <v>33</v>
      </c>
      <c r="C1913" s="143">
        <f t="shared" si="372"/>
        <v>42</v>
      </c>
      <c r="D1913" s="143">
        <v>0</v>
      </c>
      <c r="E1913" s="41">
        <v>42</v>
      </c>
      <c r="F1913" s="143">
        <v>0</v>
      </c>
      <c r="G1913" s="143">
        <v>0</v>
      </c>
      <c r="H1913" s="143">
        <v>0</v>
      </c>
      <c r="I1913" s="143">
        <v>0</v>
      </c>
    </row>
    <row r="1914" spans="1:9" s="452" customFormat="1" ht="15.75" customHeight="1" x14ac:dyDescent="0.3">
      <c r="A1914" s="463" t="s">
        <v>736</v>
      </c>
      <c r="B1914" s="40" t="s">
        <v>32</v>
      </c>
      <c r="C1914" s="143">
        <f t="shared" si="372"/>
        <v>3</v>
      </c>
      <c r="D1914" s="143">
        <v>0</v>
      </c>
      <c r="E1914" s="41">
        <v>3</v>
      </c>
      <c r="F1914" s="143">
        <v>0</v>
      </c>
      <c r="G1914" s="143">
        <v>0</v>
      </c>
      <c r="H1914" s="143">
        <v>0</v>
      </c>
      <c r="I1914" s="143">
        <v>0</v>
      </c>
    </row>
    <row r="1915" spans="1:9" s="126" customFormat="1" ht="14.15" x14ac:dyDescent="0.35">
      <c r="A1915" s="290"/>
      <c r="B1915" s="44" t="s">
        <v>33</v>
      </c>
      <c r="C1915" s="143">
        <f t="shared" si="372"/>
        <v>3</v>
      </c>
      <c r="D1915" s="143">
        <v>0</v>
      </c>
      <c r="E1915" s="41">
        <v>3</v>
      </c>
      <c r="F1915" s="143">
        <v>0</v>
      </c>
      <c r="G1915" s="143">
        <v>0</v>
      </c>
      <c r="H1915" s="143">
        <v>0</v>
      </c>
      <c r="I1915" s="143">
        <v>0</v>
      </c>
    </row>
    <row r="1916" spans="1:9" s="452" customFormat="1" ht="14.15" x14ac:dyDescent="0.3">
      <c r="A1916" s="463" t="s">
        <v>737</v>
      </c>
      <c r="B1916" s="40" t="s">
        <v>32</v>
      </c>
      <c r="C1916" s="143">
        <f t="shared" si="372"/>
        <v>3</v>
      </c>
      <c r="D1916" s="143">
        <v>0</v>
      </c>
      <c r="E1916" s="41">
        <v>3</v>
      </c>
      <c r="F1916" s="143">
        <v>0</v>
      </c>
      <c r="G1916" s="143">
        <v>0</v>
      </c>
      <c r="H1916" s="143">
        <v>0</v>
      </c>
      <c r="I1916" s="143">
        <v>0</v>
      </c>
    </row>
    <row r="1917" spans="1:9" s="126" customFormat="1" ht="14.15" x14ac:dyDescent="0.35">
      <c r="A1917" s="290"/>
      <c r="B1917" s="44" t="s">
        <v>33</v>
      </c>
      <c r="C1917" s="143">
        <f t="shared" si="372"/>
        <v>3</v>
      </c>
      <c r="D1917" s="143">
        <v>0</v>
      </c>
      <c r="E1917" s="41">
        <v>3</v>
      </c>
      <c r="F1917" s="143">
        <v>0</v>
      </c>
      <c r="G1917" s="143">
        <v>0</v>
      </c>
      <c r="H1917" s="143">
        <v>0</v>
      </c>
      <c r="I1917" s="143">
        <v>0</v>
      </c>
    </row>
    <row r="1918" spans="1:9" s="452" customFormat="1" ht="14.15" x14ac:dyDescent="0.3">
      <c r="A1918" s="463" t="s">
        <v>738</v>
      </c>
      <c r="B1918" s="40" t="s">
        <v>32</v>
      </c>
      <c r="C1918" s="143">
        <f t="shared" si="372"/>
        <v>2</v>
      </c>
      <c r="D1918" s="143">
        <v>0</v>
      </c>
      <c r="E1918" s="41">
        <v>2</v>
      </c>
      <c r="F1918" s="143">
        <v>0</v>
      </c>
      <c r="G1918" s="143">
        <v>0</v>
      </c>
      <c r="H1918" s="143">
        <v>0</v>
      </c>
      <c r="I1918" s="143">
        <v>0</v>
      </c>
    </row>
    <row r="1919" spans="1:9" s="126" customFormat="1" ht="14.15" x14ac:dyDescent="0.35">
      <c r="A1919" s="290"/>
      <c r="B1919" s="44" t="s">
        <v>33</v>
      </c>
      <c r="C1919" s="143">
        <f t="shared" si="372"/>
        <v>2</v>
      </c>
      <c r="D1919" s="143">
        <v>0</v>
      </c>
      <c r="E1919" s="41">
        <v>2</v>
      </c>
      <c r="F1919" s="143">
        <v>0</v>
      </c>
      <c r="G1919" s="143">
        <v>0</v>
      </c>
      <c r="H1919" s="143">
        <v>0</v>
      </c>
      <c r="I1919" s="143">
        <v>0</v>
      </c>
    </row>
    <row r="1920" spans="1:9" s="452" customFormat="1" ht="15.75" customHeight="1" x14ac:dyDescent="0.3">
      <c r="A1920" s="463" t="s">
        <v>739</v>
      </c>
      <c r="B1920" s="40" t="s">
        <v>32</v>
      </c>
      <c r="C1920" s="143">
        <f t="shared" si="372"/>
        <v>3</v>
      </c>
      <c r="D1920" s="143">
        <v>0</v>
      </c>
      <c r="E1920" s="41">
        <v>3</v>
      </c>
      <c r="F1920" s="143">
        <v>0</v>
      </c>
      <c r="G1920" s="143">
        <v>0</v>
      </c>
      <c r="H1920" s="143">
        <v>0</v>
      </c>
      <c r="I1920" s="143">
        <v>0</v>
      </c>
    </row>
    <row r="1921" spans="1:9" s="126" customFormat="1" ht="14.15" x14ac:dyDescent="0.35">
      <c r="A1921" s="290"/>
      <c r="B1921" s="44" t="s">
        <v>33</v>
      </c>
      <c r="C1921" s="143">
        <f t="shared" si="372"/>
        <v>3</v>
      </c>
      <c r="D1921" s="143">
        <v>0</v>
      </c>
      <c r="E1921" s="41">
        <v>3</v>
      </c>
      <c r="F1921" s="143">
        <v>0</v>
      </c>
      <c r="G1921" s="143">
        <v>0</v>
      </c>
      <c r="H1921" s="143">
        <v>0</v>
      </c>
      <c r="I1921" s="143">
        <v>0</v>
      </c>
    </row>
    <row r="1922" spans="1:9" s="452" customFormat="1" ht="14.15" x14ac:dyDescent="0.3">
      <c r="A1922" s="463" t="s">
        <v>740</v>
      </c>
      <c r="B1922" s="40" t="s">
        <v>32</v>
      </c>
      <c r="C1922" s="143">
        <f t="shared" si="372"/>
        <v>2</v>
      </c>
      <c r="D1922" s="143">
        <v>0</v>
      </c>
      <c r="E1922" s="41">
        <v>2</v>
      </c>
      <c r="F1922" s="143">
        <v>0</v>
      </c>
      <c r="G1922" s="143">
        <v>0</v>
      </c>
      <c r="H1922" s="143">
        <v>0</v>
      </c>
      <c r="I1922" s="143">
        <v>0</v>
      </c>
    </row>
    <row r="1923" spans="1:9" s="126" customFormat="1" ht="14.15" x14ac:dyDescent="0.35">
      <c r="A1923" s="290"/>
      <c r="B1923" s="44" t="s">
        <v>33</v>
      </c>
      <c r="C1923" s="143">
        <f t="shared" si="372"/>
        <v>2</v>
      </c>
      <c r="D1923" s="143">
        <v>0</v>
      </c>
      <c r="E1923" s="41">
        <v>2</v>
      </c>
      <c r="F1923" s="143">
        <v>0</v>
      </c>
      <c r="G1923" s="143">
        <v>0</v>
      </c>
      <c r="H1923" s="143">
        <v>0</v>
      </c>
      <c r="I1923" s="143">
        <v>0</v>
      </c>
    </row>
    <row r="1924" spans="1:9" s="452" customFormat="1" ht="14.15" x14ac:dyDescent="0.3">
      <c r="A1924" s="463" t="s">
        <v>741</v>
      </c>
      <c r="B1924" s="40" t="s">
        <v>32</v>
      </c>
      <c r="C1924" s="143">
        <f t="shared" si="372"/>
        <v>2</v>
      </c>
      <c r="D1924" s="143">
        <v>0</v>
      </c>
      <c r="E1924" s="41">
        <v>2</v>
      </c>
      <c r="F1924" s="143">
        <v>0</v>
      </c>
      <c r="G1924" s="143">
        <v>0</v>
      </c>
      <c r="H1924" s="143">
        <v>0</v>
      </c>
      <c r="I1924" s="143">
        <v>0</v>
      </c>
    </row>
    <row r="1925" spans="1:9" s="126" customFormat="1" ht="14.15" x14ac:dyDescent="0.35">
      <c r="A1925" s="290"/>
      <c r="B1925" s="44" t="s">
        <v>33</v>
      </c>
      <c r="C1925" s="143">
        <f t="shared" si="372"/>
        <v>2</v>
      </c>
      <c r="D1925" s="143">
        <v>0</v>
      </c>
      <c r="E1925" s="41">
        <v>2</v>
      </c>
      <c r="F1925" s="143">
        <v>0</v>
      </c>
      <c r="G1925" s="143">
        <v>0</v>
      </c>
      <c r="H1925" s="143">
        <v>0</v>
      </c>
      <c r="I1925" s="143">
        <v>0</v>
      </c>
    </row>
    <row r="1926" spans="1:9" s="452" customFormat="1" ht="15.75" customHeight="1" x14ac:dyDescent="0.3">
      <c r="A1926" s="463" t="s">
        <v>742</v>
      </c>
      <c r="B1926" s="40" t="s">
        <v>32</v>
      </c>
      <c r="C1926" s="143">
        <f t="shared" si="372"/>
        <v>3</v>
      </c>
      <c r="D1926" s="143">
        <v>0</v>
      </c>
      <c r="E1926" s="41">
        <v>3</v>
      </c>
      <c r="F1926" s="143">
        <v>0</v>
      </c>
      <c r="G1926" s="143">
        <v>0</v>
      </c>
      <c r="H1926" s="143">
        <v>0</v>
      </c>
      <c r="I1926" s="143">
        <v>0</v>
      </c>
    </row>
    <row r="1927" spans="1:9" s="126" customFormat="1" ht="14.15" x14ac:dyDescent="0.35">
      <c r="A1927" s="290"/>
      <c r="B1927" s="44" t="s">
        <v>33</v>
      </c>
      <c r="C1927" s="143">
        <f t="shared" si="372"/>
        <v>3</v>
      </c>
      <c r="D1927" s="143">
        <v>0</v>
      </c>
      <c r="E1927" s="41">
        <v>3</v>
      </c>
      <c r="F1927" s="143">
        <v>0</v>
      </c>
      <c r="G1927" s="143">
        <v>0</v>
      </c>
      <c r="H1927" s="143">
        <v>0</v>
      </c>
      <c r="I1927" s="143">
        <v>0</v>
      </c>
    </row>
    <row r="1928" spans="1:9" s="452" customFormat="1" ht="14.15" x14ac:dyDescent="0.3">
      <c r="A1928" s="463" t="s">
        <v>743</v>
      </c>
      <c r="B1928" s="40" t="s">
        <v>32</v>
      </c>
      <c r="C1928" s="143">
        <f t="shared" si="372"/>
        <v>3</v>
      </c>
      <c r="D1928" s="143">
        <v>0</v>
      </c>
      <c r="E1928" s="41">
        <v>3</v>
      </c>
      <c r="F1928" s="143">
        <v>0</v>
      </c>
      <c r="G1928" s="143">
        <v>0</v>
      </c>
      <c r="H1928" s="143">
        <v>0</v>
      </c>
      <c r="I1928" s="143">
        <v>0</v>
      </c>
    </row>
    <row r="1929" spans="1:9" s="126" customFormat="1" ht="14.15" x14ac:dyDescent="0.35">
      <c r="A1929" s="290"/>
      <c r="B1929" s="44" t="s">
        <v>33</v>
      </c>
      <c r="C1929" s="143">
        <f t="shared" si="372"/>
        <v>3</v>
      </c>
      <c r="D1929" s="143">
        <v>0</v>
      </c>
      <c r="E1929" s="41">
        <v>3</v>
      </c>
      <c r="F1929" s="143">
        <v>0</v>
      </c>
      <c r="G1929" s="143">
        <v>0</v>
      </c>
      <c r="H1929" s="143">
        <v>0</v>
      </c>
      <c r="I1929" s="143">
        <v>0</v>
      </c>
    </row>
    <row r="1930" spans="1:9" s="452" customFormat="1" ht="14.15" x14ac:dyDescent="0.3">
      <c r="A1930" s="463" t="s">
        <v>744</v>
      </c>
      <c r="B1930" s="40" t="s">
        <v>32</v>
      </c>
      <c r="C1930" s="143">
        <f t="shared" si="372"/>
        <v>3</v>
      </c>
      <c r="D1930" s="143">
        <v>0</v>
      </c>
      <c r="E1930" s="41">
        <v>3</v>
      </c>
      <c r="F1930" s="143">
        <v>0</v>
      </c>
      <c r="G1930" s="143">
        <v>0</v>
      </c>
      <c r="H1930" s="143">
        <v>0</v>
      </c>
      <c r="I1930" s="143">
        <v>0</v>
      </c>
    </row>
    <row r="1931" spans="1:9" s="126" customFormat="1" ht="14.15" x14ac:dyDescent="0.35">
      <c r="A1931" s="290"/>
      <c r="B1931" s="44" t="s">
        <v>33</v>
      </c>
      <c r="C1931" s="143">
        <f t="shared" si="372"/>
        <v>3</v>
      </c>
      <c r="D1931" s="143">
        <v>0</v>
      </c>
      <c r="E1931" s="41">
        <v>3</v>
      </c>
      <c r="F1931" s="143">
        <v>0</v>
      </c>
      <c r="G1931" s="143">
        <v>0</v>
      </c>
      <c r="H1931" s="143">
        <v>0</v>
      </c>
      <c r="I1931" s="143">
        <v>0</v>
      </c>
    </row>
    <row r="1932" spans="1:9" s="126" customFormat="1" ht="15.75" customHeight="1" x14ac:dyDescent="0.35">
      <c r="A1932" s="464" t="s">
        <v>745</v>
      </c>
      <c r="B1932" s="12" t="s">
        <v>32</v>
      </c>
      <c r="C1932" s="122">
        <f t="shared" si="372"/>
        <v>229</v>
      </c>
      <c r="D1932" s="122">
        <f t="shared" ref="D1932:I1933" si="377">D1934+D1936+D1938+D1940+D1942+D1944+D1946+D1948+D1950+D1952+D1954+D1956</f>
        <v>0</v>
      </c>
      <c r="E1932" s="122">
        <f t="shared" si="377"/>
        <v>229</v>
      </c>
      <c r="F1932" s="122">
        <f t="shared" si="377"/>
        <v>0</v>
      </c>
      <c r="G1932" s="122">
        <f t="shared" si="377"/>
        <v>0</v>
      </c>
      <c r="H1932" s="122">
        <f t="shared" si="377"/>
        <v>0</v>
      </c>
      <c r="I1932" s="122">
        <f t="shared" si="377"/>
        <v>0</v>
      </c>
    </row>
    <row r="1933" spans="1:9" s="126" customFormat="1" x14ac:dyDescent="0.3">
      <c r="A1933" s="63"/>
      <c r="B1933" s="23" t="s">
        <v>33</v>
      </c>
      <c r="C1933" s="122">
        <f t="shared" si="372"/>
        <v>229</v>
      </c>
      <c r="D1933" s="122">
        <f t="shared" si="377"/>
        <v>0</v>
      </c>
      <c r="E1933" s="122">
        <f t="shared" si="377"/>
        <v>229</v>
      </c>
      <c r="F1933" s="122">
        <f t="shared" si="377"/>
        <v>0</v>
      </c>
      <c r="G1933" s="122">
        <f t="shared" si="377"/>
        <v>0</v>
      </c>
      <c r="H1933" s="122">
        <f t="shared" si="377"/>
        <v>0</v>
      </c>
      <c r="I1933" s="122">
        <f t="shared" si="377"/>
        <v>0</v>
      </c>
    </row>
    <row r="1934" spans="1:9" s="452" customFormat="1" ht="14.15" x14ac:dyDescent="0.3">
      <c r="A1934" s="277" t="s">
        <v>746</v>
      </c>
      <c r="B1934" s="40" t="s">
        <v>32</v>
      </c>
      <c r="C1934" s="143">
        <f t="shared" si="372"/>
        <v>3</v>
      </c>
      <c r="D1934" s="143">
        <v>0</v>
      </c>
      <c r="E1934" s="41">
        <v>3</v>
      </c>
      <c r="F1934" s="143">
        <v>0</v>
      </c>
      <c r="G1934" s="143">
        <v>0</v>
      </c>
      <c r="H1934" s="143">
        <v>0</v>
      </c>
      <c r="I1934" s="143">
        <v>0</v>
      </c>
    </row>
    <row r="1935" spans="1:9" s="126" customFormat="1" x14ac:dyDescent="0.3">
      <c r="A1935" s="63"/>
      <c r="B1935" s="44" t="s">
        <v>33</v>
      </c>
      <c r="C1935" s="143">
        <f t="shared" si="372"/>
        <v>3</v>
      </c>
      <c r="D1935" s="143">
        <v>0</v>
      </c>
      <c r="E1935" s="41">
        <v>3</v>
      </c>
      <c r="F1935" s="143">
        <v>0</v>
      </c>
      <c r="G1935" s="143">
        <v>0</v>
      </c>
      <c r="H1935" s="143">
        <v>0</v>
      </c>
      <c r="I1935" s="143">
        <v>0</v>
      </c>
    </row>
    <row r="1936" spans="1:9" s="452" customFormat="1" ht="15.75" customHeight="1" x14ac:dyDescent="0.3">
      <c r="A1936" s="277" t="s">
        <v>747</v>
      </c>
      <c r="B1936" s="40" t="s">
        <v>32</v>
      </c>
      <c r="C1936" s="143">
        <f t="shared" si="372"/>
        <v>1</v>
      </c>
      <c r="D1936" s="143">
        <v>0</v>
      </c>
      <c r="E1936" s="41">
        <v>1</v>
      </c>
      <c r="F1936" s="143">
        <v>0</v>
      </c>
      <c r="G1936" s="143">
        <v>0</v>
      </c>
      <c r="H1936" s="143">
        <v>0</v>
      </c>
      <c r="I1936" s="143">
        <v>0</v>
      </c>
    </row>
    <row r="1937" spans="1:9" s="126" customFormat="1" x14ac:dyDescent="0.3">
      <c r="A1937" s="63"/>
      <c r="B1937" s="44" t="s">
        <v>33</v>
      </c>
      <c r="C1937" s="143">
        <f t="shared" si="372"/>
        <v>1</v>
      </c>
      <c r="D1937" s="143">
        <v>0</v>
      </c>
      <c r="E1937" s="41">
        <v>1</v>
      </c>
      <c r="F1937" s="143">
        <v>0</v>
      </c>
      <c r="G1937" s="143">
        <v>0</v>
      </c>
      <c r="H1937" s="143">
        <v>0</v>
      </c>
      <c r="I1937" s="143">
        <v>0</v>
      </c>
    </row>
    <row r="1938" spans="1:9" s="452" customFormat="1" ht="14.15" x14ac:dyDescent="0.3">
      <c r="A1938" s="277" t="s">
        <v>748</v>
      </c>
      <c r="B1938" s="40" t="s">
        <v>32</v>
      </c>
      <c r="C1938" s="143">
        <f t="shared" si="372"/>
        <v>4</v>
      </c>
      <c r="D1938" s="143">
        <v>0</v>
      </c>
      <c r="E1938" s="41">
        <v>4</v>
      </c>
      <c r="F1938" s="143">
        <v>0</v>
      </c>
      <c r="G1938" s="143">
        <v>0</v>
      </c>
      <c r="H1938" s="143">
        <v>0</v>
      </c>
      <c r="I1938" s="143">
        <v>0</v>
      </c>
    </row>
    <row r="1939" spans="1:9" s="126" customFormat="1" x14ac:dyDescent="0.3">
      <c r="A1939" s="63"/>
      <c r="B1939" s="44" t="s">
        <v>33</v>
      </c>
      <c r="C1939" s="143">
        <f t="shared" si="372"/>
        <v>4</v>
      </c>
      <c r="D1939" s="143">
        <v>0</v>
      </c>
      <c r="E1939" s="41">
        <v>4</v>
      </c>
      <c r="F1939" s="143">
        <v>0</v>
      </c>
      <c r="G1939" s="143">
        <v>0</v>
      </c>
      <c r="H1939" s="143">
        <v>0</v>
      </c>
      <c r="I1939" s="143">
        <v>0</v>
      </c>
    </row>
    <row r="1940" spans="1:9" s="452" customFormat="1" ht="30" customHeight="1" x14ac:dyDescent="0.3">
      <c r="A1940" s="323" t="s">
        <v>749</v>
      </c>
      <c r="B1940" s="40" t="s">
        <v>32</v>
      </c>
      <c r="C1940" s="143">
        <f t="shared" si="372"/>
        <v>48</v>
      </c>
      <c r="D1940" s="143">
        <v>0</v>
      </c>
      <c r="E1940" s="41">
        <v>48</v>
      </c>
      <c r="F1940" s="143">
        <v>0</v>
      </c>
      <c r="G1940" s="143">
        <v>0</v>
      </c>
      <c r="H1940" s="143">
        <v>0</v>
      </c>
      <c r="I1940" s="143">
        <v>0</v>
      </c>
    </row>
    <row r="1941" spans="1:9" s="126" customFormat="1" x14ac:dyDescent="0.3">
      <c r="A1941" s="63"/>
      <c r="B1941" s="44" t="s">
        <v>33</v>
      </c>
      <c r="C1941" s="143">
        <f t="shared" si="372"/>
        <v>48</v>
      </c>
      <c r="D1941" s="143">
        <v>0</v>
      </c>
      <c r="E1941" s="41">
        <v>48</v>
      </c>
      <c r="F1941" s="143">
        <v>0</v>
      </c>
      <c r="G1941" s="143">
        <v>0</v>
      </c>
      <c r="H1941" s="143">
        <v>0</v>
      </c>
      <c r="I1941" s="143">
        <v>0</v>
      </c>
    </row>
    <row r="1942" spans="1:9" s="452" customFormat="1" ht="28.3" x14ac:dyDescent="0.35">
      <c r="A1942" s="465" t="s">
        <v>750</v>
      </c>
      <c r="B1942" s="40" t="s">
        <v>32</v>
      </c>
      <c r="C1942" s="143">
        <f t="shared" si="372"/>
        <v>154</v>
      </c>
      <c r="D1942" s="143">
        <v>0</v>
      </c>
      <c r="E1942" s="41">
        <v>154</v>
      </c>
      <c r="F1942" s="143">
        <v>0</v>
      </c>
      <c r="G1942" s="143">
        <v>0</v>
      </c>
      <c r="H1942" s="143">
        <v>0</v>
      </c>
      <c r="I1942" s="143">
        <v>0</v>
      </c>
    </row>
    <row r="1943" spans="1:9" s="126" customFormat="1" x14ac:dyDescent="0.3">
      <c r="A1943" s="63"/>
      <c r="B1943" s="44" t="s">
        <v>33</v>
      </c>
      <c r="C1943" s="143">
        <f t="shared" si="372"/>
        <v>154</v>
      </c>
      <c r="D1943" s="143">
        <v>0</v>
      </c>
      <c r="E1943" s="41">
        <v>154</v>
      </c>
      <c r="F1943" s="143">
        <v>0</v>
      </c>
      <c r="G1943" s="143">
        <v>0</v>
      </c>
      <c r="H1943" s="143">
        <v>0</v>
      </c>
      <c r="I1943" s="143">
        <v>0</v>
      </c>
    </row>
    <row r="1944" spans="1:9" s="452" customFormat="1" ht="15.75" customHeight="1" x14ac:dyDescent="0.3">
      <c r="A1944" s="277" t="s">
        <v>751</v>
      </c>
      <c r="B1944" s="40" t="s">
        <v>32</v>
      </c>
      <c r="C1944" s="143">
        <f t="shared" si="372"/>
        <v>3</v>
      </c>
      <c r="D1944" s="143">
        <v>0</v>
      </c>
      <c r="E1944" s="41">
        <v>3</v>
      </c>
      <c r="F1944" s="143">
        <v>0</v>
      </c>
      <c r="G1944" s="143">
        <v>0</v>
      </c>
      <c r="H1944" s="143">
        <v>0</v>
      </c>
      <c r="I1944" s="143">
        <v>0</v>
      </c>
    </row>
    <row r="1945" spans="1:9" s="126" customFormat="1" x14ac:dyDescent="0.3">
      <c r="A1945" s="63"/>
      <c r="B1945" s="44" t="s">
        <v>33</v>
      </c>
      <c r="C1945" s="143">
        <f t="shared" si="372"/>
        <v>3</v>
      </c>
      <c r="D1945" s="143">
        <v>0</v>
      </c>
      <c r="E1945" s="41">
        <v>3</v>
      </c>
      <c r="F1945" s="143">
        <v>0</v>
      </c>
      <c r="G1945" s="143">
        <v>0</v>
      </c>
      <c r="H1945" s="143">
        <v>0</v>
      </c>
      <c r="I1945" s="143">
        <v>0</v>
      </c>
    </row>
    <row r="1946" spans="1:9" s="452" customFormat="1" ht="14.15" x14ac:dyDescent="0.3">
      <c r="A1946" s="277" t="s">
        <v>752</v>
      </c>
      <c r="B1946" s="40" t="s">
        <v>32</v>
      </c>
      <c r="C1946" s="143">
        <f t="shared" si="372"/>
        <v>3</v>
      </c>
      <c r="D1946" s="143">
        <v>0</v>
      </c>
      <c r="E1946" s="41">
        <v>3</v>
      </c>
      <c r="F1946" s="143">
        <v>0</v>
      </c>
      <c r="G1946" s="143">
        <v>0</v>
      </c>
      <c r="H1946" s="143">
        <v>0</v>
      </c>
      <c r="I1946" s="143">
        <v>0</v>
      </c>
    </row>
    <row r="1947" spans="1:9" s="126" customFormat="1" x14ac:dyDescent="0.3">
      <c r="A1947" s="63"/>
      <c r="B1947" s="44" t="s">
        <v>33</v>
      </c>
      <c r="C1947" s="143">
        <f t="shared" si="372"/>
        <v>3</v>
      </c>
      <c r="D1947" s="143">
        <v>0</v>
      </c>
      <c r="E1947" s="41">
        <v>3</v>
      </c>
      <c r="F1947" s="143">
        <v>0</v>
      </c>
      <c r="G1947" s="143">
        <v>0</v>
      </c>
      <c r="H1947" s="143">
        <v>0</v>
      </c>
      <c r="I1947" s="143">
        <v>0</v>
      </c>
    </row>
    <row r="1948" spans="1:9" s="452" customFormat="1" ht="15.75" customHeight="1" x14ac:dyDescent="0.3">
      <c r="A1948" s="277" t="s">
        <v>753</v>
      </c>
      <c r="B1948" s="40" t="s">
        <v>32</v>
      </c>
      <c r="C1948" s="143">
        <f t="shared" si="372"/>
        <v>4</v>
      </c>
      <c r="D1948" s="143">
        <v>0</v>
      </c>
      <c r="E1948" s="41">
        <v>4</v>
      </c>
      <c r="F1948" s="143">
        <v>0</v>
      </c>
      <c r="G1948" s="143">
        <v>0</v>
      </c>
      <c r="H1948" s="143">
        <v>0</v>
      </c>
      <c r="I1948" s="143">
        <v>0</v>
      </c>
    </row>
    <row r="1949" spans="1:9" s="126" customFormat="1" x14ac:dyDescent="0.3">
      <c r="A1949" s="63"/>
      <c r="B1949" s="44" t="s">
        <v>33</v>
      </c>
      <c r="C1949" s="143">
        <f t="shared" si="372"/>
        <v>4</v>
      </c>
      <c r="D1949" s="143">
        <v>0</v>
      </c>
      <c r="E1949" s="41">
        <v>4</v>
      </c>
      <c r="F1949" s="143">
        <v>0</v>
      </c>
      <c r="G1949" s="143">
        <v>0</v>
      </c>
      <c r="H1949" s="143">
        <v>0</v>
      </c>
      <c r="I1949" s="143">
        <v>0</v>
      </c>
    </row>
    <row r="1950" spans="1:9" s="452" customFormat="1" ht="14.15" x14ac:dyDescent="0.3">
      <c r="A1950" s="277" t="s">
        <v>754</v>
      </c>
      <c r="B1950" s="40" t="s">
        <v>32</v>
      </c>
      <c r="C1950" s="143">
        <f t="shared" si="372"/>
        <v>1</v>
      </c>
      <c r="D1950" s="143">
        <v>0</v>
      </c>
      <c r="E1950" s="41">
        <v>1</v>
      </c>
      <c r="F1950" s="143">
        <v>0</v>
      </c>
      <c r="G1950" s="143">
        <v>0</v>
      </c>
      <c r="H1950" s="143">
        <v>0</v>
      </c>
      <c r="I1950" s="143">
        <v>0</v>
      </c>
    </row>
    <row r="1951" spans="1:9" s="126" customFormat="1" x14ac:dyDescent="0.3">
      <c r="A1951" s="63"/>
      <c r="B1951" s="44" t="s">
        <v>33</v>
      </c>
      <c r="C1951" s="143">
        <f t="shared" si="372"/>
        <v>1</v>
      </c>
      <c r="D1951" s="143">
        <v>0</v>
      </c>
      <c r="E1951" s="41">
        <v>1</v>
      </c>
      <c r="F1951" s="143">
        <v>0</v>
      </c>
      <c r="G1951" s="143">
        <v>0</v>
      </c>
      <c r="H1951" s="143">
        <v>0</v>
      </c>
      <c r="I1951" s="143">
        <v>0</v>
      </c>
    </row>
    <row r="1952" spans="1:9" s="452" customFormat="1" ht="15.75" customHeight="1" x14ac:dyDescent="0.3">
      <c r="A1952" s="323" t="s">
        <v>755</v>
      </c>
      <c r="B1952" s="40" t="s">
        <v>32</v>
      </c>
      <c r="C1952" s="143">
        <f t="shared" si="372"/>
        <v>2</v>
      </c>
      <c r="D1952" s="143">
        <v>0</v>
      </c>
      <c r="E1952" s="41">
        <v>2</v>
      </c>
      <c r="F1952" s="143">
        <v>0</v>
      </c>
      <c r="G1952" s="143">
        <v>0</v>
      </c>
      <c r="H1952" s="143">
        <v>0</v>
      </c>
      <c r="I1952" s="143">
        <v>0</v>
      </c>
    </row>
    <row r="1953" spans="1:9" s="126" customFormat="1" x14ac:dyDescent="0.3">
      <c r="A1953" s="63"/>
      <c r="B1953" s="44" t="s">
        <v>33</v>
      </c>
      <c r="C1953" s="143">
        <f t="shared" si="372"/>
        <v>2</v>
      </c>
      <c r="D1953" s="143">
        <v>0</v>
      </c>
      <c r="E1953" s="41">
        <v>2</v>
      </c>
      <c r="F1953" s="143">
        <v>0</v>
      </c>
      <c r="G1953" s="143">
        <v>0</v>
      </c>
      <c r="H1953" s="143">
        <v>0</v>
      </c>
      <c r="I1953" s="143">
        <v>0</v>
      </c>
    </row>
    <row r="1954" spans="1:9" s="452" customFormat="1" ht="14.15" x14ac:dyDescent="0.3">
      <c r="A1954" s="277" t="s">
        <v>756</v>
      </c>
      <c r="B1954" s="40" t="s">
        <v>32</v>
      </c>
      <c r="C1954" s="143">
        <f t="shared" si="372"/>
        <v>3</v>
      </c>
      <c r="D1954" s="143">
        <v>0</v>
      </c>
      <c r="E1954" s="41">
        <v>3</v>
      </c>
      <c r="F1954" s="143">
        <v>0</v>
      </c>
      <c r="G1954" s="143">
        <v>0</v>
      </c>
      <c r="H1954" s="143">
        <v>0</v>
      </c>
      <c r="I1954" s="143">
        <v>0</v>
      </c>
    </row>
    <row r="1955" spans="1:9" s="126" customFormat="1" x14ac:dyDescent="0.3">
      <c r="A1955" s="63"/>
      <c r="B1955" s="44" t="s">
        <v>33</v>
      </c>
      <c r="C1955" s="143">
        <f t="shared" si="372"/>
        <v>3</v>
      </c>
      <c r="D1955" s="143">
        <v>0</v>
      </c>
      <c r="E1955" s="41">
        <v>3</v>
      </c>
      <c r="F1955" s="143">
        <v>0</v>
      </c>
      <c r="G1955" s="143">
        <v>0</v>
      </c>
      <c r="H1955" s="143">
        <v>0</v>
      </c>
      <c r="I1955" s="143">
        <v>0</v>
      </c>
    </row>
    <row r="1956" spans="1:9" s="467" customFormat="1" ht="15.75" customHeight="1" x14ac:dyDescent="0.3">
      <c r="A1956" s="466" t="s">
        <v>757</v>
      </c>
      <c r="B1956" s="110" t="s">
        <v>32</v>
      </c>
      <c r="C1956" s="108">
        <f t="shared" si="372"/>
        <v>3</v>
      </c>
      <c r="D1956" s="108">
        <v>0</v>
      </c>
      <c r="E1956" s="108">
        <v>3</v>
      </c>
      <c r="F1956" s="108">
        <v>0</v>
      </c>
      <c r="G1956" s="108">
        <v>0</v>
      </c>
      <c r="H1956" s="108">
        <v>0</v>
      </c>
      <c r="I1956" s="108">
        <v>0</v>
      </c>
    </row>
    <row r="1957" spans="1:9" s="125" customFormat="1" x14ac:dyDescent="0.3">
      <c r="A1957" s="120"/>
      <c r="B1957" s="70" t="s">
        <v>33</v>
      </c>
      <c r="C1957" s="108">
        <f t="shared" si="372"/>
        <v>3</v>
      </c>
      <c r="D1957" s="108">
        <v>0</v>
      </c>
      <c r="E1957" s="108">
        <v>3</v>
      </c>
      <c r="F1957" s="108">
        <v>0</v>
      </c>
      <c r="G1957" s="108">
        <v>0</v>
      </c>
      <c r="H1957" s="108">
        <v>0</v>
      </c>
      <c r="I1957" s="108">
        <v>0</v>
      </c>
    </row>
    <row r="1958" spans="1:9" s="126" customFormat="1" x14ac:dyDescent="0.3">
      <c r="A1958" s="133" t="s">
        <v>758</v>
      </c>
      <c r="B1958" s="318" t="s">
        <v>32</v>
      </c>
      <c r="C1958" s="122">
        <f t="shared" si="372"/>
        <v>85.06</v>
      </c>
      <c r="D1958" s="122">
        <f>D1960+D1962+D1964+D1966+D1968</f>
        <v>85.06</v>
      </c>
      <c r="E1958" s="122">
        <f t="shared" ref="E1958:I1959" si="378">E1960+E1962+E1964+E1966+E1968</f>
        <v>0</v>
      </c>
      <c r="F1958" s="122">
        <f t="shared" si="378"/>
        <v>0</v>
      </c>
      <c r="G1958" s="122">
        <f t="shared" si="378"/>
        <v>0</v>
      </c>
      <c r="H1958" s="122">
        <f t="shared" si="378"/>
        <v>0</v>
      </c>
      <c r="I1958" s="122">
        <f t="shared" si="378"/>
        <v>0</v>
      </c>
    </row>
    <row r="1959" spans="1:9" s="126" customFormat="1" x14ac:dyDescent="0.3">
      <c r="A1959" s="261"/>
      <c r="B1959" s="128" t="s">
        <v>33</v>
      </c>
      <c r="C1959" s="122">
        <f t="shared" si="372"/>
        <v>85.06</v>
      </c>
      <c r="D1959" s="122">
        <f>D1961+D1963+D1965+D1967+D1969</f>
        <v>85.06</v>
      </c>
      <c r="E1959" s="122">
        <f t="shared" si="378"/>
        <v>0</v>
      </c>
      <c r="F1959" s="122">
        <f t="shared" si="378"/>
        <v>0</v>
      </c>
      <c r="G1959" s="122">
        <f t="shared" si="378"/>
        <v>0</v>
      </c>
      <c r="H1959" s="122">
        <f t="shared" si="378"/>
        <v>0</v>
      </c>
      <c r="I1959" s="122">
        <f t="shared" si="378"/>
        <v>0</v>
      </c>
    </row>
    <row r="1960" spans="1:9" s="100" customFormat="1" x14ac:dyDescent="0.3">
      <c r="A1960" s="58" t="s">
        <v>759</v>
      </c>
      <c r="B1960" s="468" t="s">
        <v>32</v>
      </c>
      <c r="C1960" s="97">
        <f t="shared" si="372"/>
        <v>2.97</v>
      </c>
      <c r="D1960" s="97">
        <v>2.97</v>
      </c>
      <c r="E1960" s="49">
        <v>0</v>
      </c>
      <c r="F1960" s="97">
        <v>0</v>
      </c>
      <c r="G1960" s="97">
        <v>0</v>
      </c>
      <c r="H1960" s="97">
        <v>0</v>
      </c>
      <c r="I1960" s="97">
        <v>0</v>
      </c>
    </row>
    <row r="1961" spans="1:9" s="100" customFormat="1" x14ac:dyDescent="0.3">
      <c r="A1961" s="82"/>
      <c r="B1961" s="443" t="s">
        <v>33</v>
      </c>
      <c r="C1961" s="97">
        <f t="shared" si="372"/>
        <v>2.97</v>
      </c>
      <c r="D1961" s="97">
        <v>2.97</v>
      </c>
      <c r="E1961" s="49">
        <v>0</v>
      </c>
      <c r="F1961" s="97">
        <v>0</v>
      </c>
      <c r="G1961" s="97">
        <v>0</v>
      </c>
      <c r="H1961" s="97">
        <v>0</v>
      </c>
      <c r="I1961" s="97">
        <v>0</v>
      </c>
    </row>
    <row r="1962" spans="1:9" s="100" customFormat="1" x14ac:dyDescent="0.3">
      <c r="A1962" s="58" t="s">
        <v>760</v>
      </c>
      <c r="B1962" s="468" t="s">
        <v>32</v>
      </c>
      <c r="C1962" s="97">
        <f t="shared" si="372"/>
        <v>2.97</v>
      </c>
      <c r="D1962" s="97">
        <v>2.97</v>
      </c>
      <c r="E1962" s="49">
        <v>0</v>
      </c>
      <c r="F1962" s="97">
        <v>0</v>
      </c>
      <c r="G1962" s="97">
        <v>0</v>
      </c>
      <c r="H1962" s="97">
        <v>0</v>
      </c>
      <c r="I1962" s="97">
        <v>0</v>
      </c>
    </row>
    <row r="1963" spans="1:9" s="100" customFormat="1" x14ac:dyDescent="0.3">
      <c r="A1963" s="82"/>
      <c r="B1963" s="443" t="s">
        <v>33</v>
      </c>
      <c r="C1963" s="97">
        <f t="shared" si="372"/>
        <v>2.97</v>
      </c>
      <c r="D1963" s="97">
        <v>2.97</v>
      </c>
      <c r="E1963" s="49">
        <v>0</v>
      </c>
      <c r="F1963" s="97">
        <v>0</v>
      </c>
      <c r="G1963" s="97">
        <v>0</v>
      </c>
      <c r="H1963" s="97">
        <v>0</v>
      </c>
      <c r="I1963" s="97">
        <v>0</v>
      </c>
    </row>
    <row r="1964" spans="1:9" s="100" customFormat="1" x14ac:dyDescent="0.3">
      <c r="A1964" s="58" t="s">
        <v>761</v>
      </c>
      <c r="B1964" s="468" t="s">
        <v>32</v>
      </c>
      <c r="C1964" s="97">
        <f t="shared" si="372"/>
        <v>10.119999999999999</v>
      </c>
      <c r="D1964" s="97">
        <v>10.119999999999999</v>
      </c>
      <c r="E1964" s="49">
        <v>0</v>
      </c>
      <c r="F1964" s="97">
        <v>0</v>
      </c>
      <c r="G1964" s="97">
        <v>0</v>
      </c>
      <c r="H1964" s="97">
        <v>0</v>
      </c>
      <c r="I1964" s="97">
        <v>0</v>
      </c>
    </row>
    <row r="1965" spans="1:9" s="100" customFormat="1" x14ac:dyDescent="0.3">
      <c r="A1965" s="82"/>
      <c r="B1965" s="443" t="s">
        <v>33</v>
      </c>
      <c r="C1965" s="97">
        <f t="shared" si="372"/>
        <v>10.119999999999999</v>
      </c>
      <c r="D1965" s="97">
        <v>10.119999999999999</v>
      </c>
      <c r="E1965" s="49">
        <v>0</v>
      </c>
      <c r="F1965" s="97">
        <v>0</v>
      </c>
      <c r="G1965" s="97">
        <v>0</v>
      </c>
      <c r="H1965" s="97">
        <v>0</v>
      </c>
      <c r="I1965" s="97">
        <v>0</v>
      </c>
    </row>
    <row r="1966" spans="1:9" s="100" customFormat="1" ht="37.299999999999997" x14ac:dyDescent="0.3">
      <c r="A1966" s="113" t="s">
        <v>762</v>
      </c>
      <c r="B1966" s="468" t="s">
        <v>32</v>
      </c>
      <c r="C1966" s="97">
        <f t="shared" si="372"/>
        <v>48</v>
      </c>
      <c r="D1966" s="97">
        <v>48</v>
      </c>
      <c r="E1966" s="49">
        <v>0</v>
      </c>
      <c r="F1966" s="97">
        <v>0</v>
      </c>
      <c r="G1966" s="97">
        <v>0</v>
      </c>
      <c r="H1966" s="97">
        <v>0</v>
      </c>
      <c r="I1966" s="97">
        <v>0</v>
      </c>
    </row>
    <row r="1967" spans="1:9" s="100" customFormat="1" x14ac:dyDescent="0.3">
      <c r="A1967" s="82"/>
      <c r="B1967" s="443" t="s">
        <v>33</v>
      </c>
      <c r="C1967" s="97">
        <f t="shared" si="372"/>
        <v>48</v>
      </c>
      <c r="D1967" s="97">
        <v>48</v>
      </c>
      <c r="E1967" s="49">
        <v>0</v>
      </c>
      <c r="F1967" s="97">
        <v>0</v>
      </c>
      <c r="G1967" s="97">
        <v>0</v>
      </c>
      <c r="H1967" s="97">
        <v>0</v>
      </c>
      <c r="I1967" s="97">
        <v>0</v>
      </c>
    </row>
    <row r="1968" spans="1:9" s="100" customFormat="1" x14ac:dyDescent="0.3">
      <c r="A1968" s="113" t="s">
        <v>763</v>
      </c>
      <c r="B1968" s="468" t="s">
        <v>32</v>
      </c>
      <c r="C1968" s="97">
        <f t="shared" si="372"/>
        <v>21</v>
      </c>
      <c r="D1968" s="97">
        <v>21</v>
      </c>
      <c r="E1968" s="49">
        <v>0</v>
      </c>
      <c r="F1968" s="97">
        <v>0</v>
      </c>
      <c r="G1968" s="97">
        <v>0</v>
      </c>
      <c r="H1968" s="97">
        <v>0</v>
      </c>
      <c r="I1968" s="97">
        <v>0</v>
      </c>
    </row>
    <row r="1969" spans="1:9" s="100" customFormat="1" x14ac:dyDescent="0.3">
      <c r="A1969" s="82"/>
      <c r="B1969" s="443" t="s">
        <v>33</v>
      </c>
      <c r="C1969" s="97">
        <f t="shared" si="372"/>
        <v>21</v>
      </c>
      <c r="D1969" s="97">
        <v>21</v>
      </c>
      <c r="E1969" s="49">
        <v>0</v>
      </c>
      <c r="F1969" s="97">
        <v>0</v>
      </c>
      <c r="G1969" s="97">
        <v>0</v>
      </c>
      <c r="H1969" s="97">
        <v>0</v>
      </c>
      <c r="I1969" s="97">
        <v>0</v>
      </c>
    </row>
    <row r="1970" spans="1:9" s="375" customFormat="1" ht="24.9" x14ac:dyDescent="0.3">
      <c r="A1970" s="133" t="s">
        <v>764</v>
      </c>
      <c r="B1970" s="124" t="s">
        <v>32</v>
      </c>
      <c r="C1970" s="122">
        <f t="shared" si="372"/>
        <v>614.79999999999995</v>
      </c>
      <c r="D1970" s="122">
        <f>D1972+D1974+D1976+D1978</f>
        <v>0</v>
      </c>
      <c r="E1970" s="122">
        <f t="shared" ref="E1970:I1971" si="379">E1972+E1974+E1976+E1978</f>
        <v>614.79999999999995</v>
      </c>
      <c r="F1970" s="122">
        <f t="shared" si="379"/>
        <v>0</v>
      </c>
      <c r="G1970" s="122">
        <f t="shared" si="379"/>
        <v>0</v>
      </c>
      <c r="H1970" s="122">
        <f t="shared" si="379"/>
        <v>0</v>
      </c>
      <c r="I1970" s="122">
        <f t="shared" si="379"/>
        <v>0</v>
      </c>
    </row>
    <row r="1971" spans="1:9" s="375" customFormat="1" x14ac:dyDescent="0.3">
      <c r="A1971" s="127"/>
      <c r="B1971" s="128" t="s">
        <v>33</v>
      </c>
      <c r="C1971" s="122">
        <f t="shared" si="372"/>
        <v>614.79999999999995</v>
      </c>
      <c r="D1971" s="122">
        <f>D1973+D1975+D1977+D1979</f>
        <v>0</v>
      </c>
      <c r="E1971" s="122">
        <f t="shared" si="379"/>
        <v>614.79999999999995</v>
      </c>
      <c r="F1971" s="122">
        <f t="shared" si="379"/>
        <v>0</v>
      </c>
      <c r="G1971" s="122">
        <f t="shared" si="379"/>
        <v>0</v>
      </c>
      <c r="H1971" s="122">
        <f t="shared" si="379"/>
        <v>0</v>
      </c>
      <c r="I1971" s="122">
        <f t="shared" si="379"/>
        <v>0</v>
      </c>
    </row>
    <row r="1972" spans="1:9" s="147" customFormat="1" ht="14.15" x14ac:dyDescent="0.35">
      <c r="A1972" s="254" t="s">
        <v>251</v>
      </c>
      <c r="B1972" s="431" t="s">
        <v>32</v>
      </c>
      <c r="C1972" s="143">
        <f t="shared" si="372"/>
        <v>93.8</v>
      </c>
      <c r="D1972" s="143">
        <v>0</v>
      </c>
      <c r="E1972" s="143">
        <v>93.8</v>
      </c>
      <c r="F1972" s="143">
        <v>0</v>
      </c>
      <c r="G1972" s="143">
        <v>0</v>
      </c>
      <c r="H1972" s="143">
        <v>0</v>
      </c>
      <c r="I1972" s="143">
        <v>0</v>
      </c>
    </row>
    <row r="1973" spans="1:9" s="145" customFormat="1" x14ac:dyDescent="0.3">
      <c r="A1973" s="120"/>
      <c r="B1973" s="433" t="s">
        <v>33</v>
      </c>
      <c r="C1973" s="143">
        <f t="shared" si="372"/>
        <v>93.8</v>
      </c>
      <c r="D1973" s="143">
        <v>0</v>
      </c>
      <c r="E1973" s="143">
        <v>93.8</v>
      </c>
      <c r="F1973" s="143">
        <v>0</v>
      </c>
      <c r="G1973" s="143">
        <v>0</v>
      </c>
      <c r="H1973" s="143">
        <v>0</v>
      </c>
      <c r="I1973" s="143">
        <v>0</v>
      </c>
    </row>
    <row r="1974" spans="1:9" s="105" customFormat="1" ht="14.15" x14ac:dyDescent="0.35">
      <c r="A1974" s="339" t="s">
        <v>537</v>
      </c>
      <c r="B1974" s="110" t="s">
        <v>32</v>
      </c>
      <c r="C1974" s="108">
        <f t="shared" si="372"/>
        <v>52</v>
      </c>
      <c r="D1974" s="108">
        <v>0</v>
      </c>
      <c r="E1974" s="108">
        <v>52</v>
      </c>
      <c r="F1974" s="108">
        <v>0</v>
      </c>
      <c r="G1974" s="108">
        <v>0</v>
      </c>
      <c r="H1974" s="108">
        <v>0</v>
      </c>
      <c r="I1974" s="108">
        <v>0</v>
      </c>
    </row>
    <row r="1975" spans="1:9" s="78" customFormat="1" x14ac:dyDescent="0.3">
      <c r="A1975" s="120"/>
      <c r="B1975" s="70" t="s">
        <v>33</v>
      </c>
      <c r="C1975" s="108">
        <f t="shared" si="372"/>
        <v>52</v>
      </c>
      <c r="D1975" s="108">
        <v>0</v>
      </c>
      <c r="E1975" s="108">
        <v>52</v>
      </c>
      <c r="F1975" s="108">
        <v>0</v>
      </c>
      <c r="G1975" s="108">
        <v>0</v>
      </c>
      <c r="H1975" s="108">
        <v>0</v>
      </c>
      <c r="I1975" s="108">
        <v>0</v>
      </c>
    </row>
    <row r="1976" spans="1:9" s="105" customFormat="1" ht="14.15" x14ac:dyDescent="0.35">
      <c r="A1976" s="339" t="s">
        <v>252</v>
      </c>
      <c r="B1976" s="110" t="s">
        <v>32</v>
      </c>
      <c r="C1976" s="108">
        <f t="shared" si="372"/>
        <v>94</v>
      </c>
      <c r="D1976" s="108">
        <v>0</v>
      </c>
      <c r="E1976" s="108">
        <v>94</v>
      </c>
      <c r="F1976" s="108">
        <v>0</v>
      </c>
      <c r="G1976" s="108">
        <v>0</v>
      </c>
      <c r="H1976" s="108">
        <v>0</v>
      </c>
      <c r="I1976" s="108">
        <v>0</v>
      </c>
    </row>
    <row r="1977" spans="1:9" s="78" customFormat="1" x14ac:dyDescent="0.3">
      <c r="A1977" s="120"/>
      <c r="B1977" s="70" t="s">
        <v>33</v>
      </c>
      <c r="C1977" s="108">
        <f t="shared" si="372"/>
        <v>94</v>
      </c>
      <c r="D1977" s="108">
        <v>0</v>
      </c>
      <c r="E1977" s="108">
        <v>94</v>
      </c>
      <c r="F1977" s="108">
        <v>0</v>
      </c>
      <c r="G1977" s="108">
        <v>0</v>
      </c>
      <c r="H1977" s="108">
        <v>0</v>
      </c>
      <c r="I1977" s="108">
        <v>0</v>
      </c>
    </row>
    <row r="1978" spans="1:9" s="105" customFormat="1" ht="14.15" x14ac:dyDescent="0.35">
      <c r="A1978" s="339" t="s">
        <v>253</v>
      </c>
      <c r="B1978" s="110" t="s">
        <v>32</v>
      </c>
      <c r="C1978" s="108">
        <f t="shared" si="372"/>
        <v>375</v>
      </c>
      <c r="D1978" s="108">
        <v>0</v>
      </c>
      <c r="E1978" s="108">
        <v>375</v>
      </c>
      <c r="F1978" s="108">
        <v>0</v>
      </c>
      <c r="G1978" s="108">
        <v>0</v>
      </c>
      <c r="H1978" s="108">
        <v>0</v>
      </c>
      <c r="I1978" s="108">
        <v>0</v>
      </c>
    </row>
    <row r="1979" spans="1:9" s="78" customFormat="1" x14ac:dyDescent="0.3">
      <c r="A1979" s="120"/>
      <c r="B1979" s="70" t="s">
        <v>33</v>
      </c>
      <c r="C1979" s="108">
        <f t="shared" si="372"/>
        <v>375</v>
      </c>
      <c r="D1979" s="108">
        <v>0</v>
      </c>
      <c r="E1979" s="108">
        <v>375</v>
      </c>
      <c r="F1979" s="108">
        <v>0</v>
      </c>
      <c r="G1979" s="108">
        <v>0</v>
      </c>
      <c r="H1979" s="108">
        <v>0</v>
      </c>
      <c r="I1979" s="108">
        <v>0</v>
      </c>
    </row>
    <row r="1980" spans="1:9" s="375" customFormat="1" ht="14.15" x14ac:dyDescent="0.35">
      <c r="A1980" s="469" t="s">
        <v>765</v>
      </c>
      <c r="B1980" s="124" t="s">
        <v>32</v>
      </c>
      <c r="C1980" s="122">
        <f t="shared" si="372"/>
        <v>1</v>
      </c>
      <c r="D1980" s="122">
        <f>D1982</f>
        <v>0</v>
      </c>
      <c r="E1980" s="122">
        <f t="shared" ref="E1980:I1981" si="380">E1982</f>
        <v>1</v>
      </c>
      <c r="F1980" s="122">
        <f t="shared" si="380"/>
        <v>0</v>
      </c>
      <c r="G1980" s="122">
        <f t="shared" si="380"/>
        <v>0</v>
      </c>
      <c r="H1980" s="122">
        <f t="shared" si="380"/>
        <v>0</v>
      </c>
      <c r="I1980" s="122">
        <f t="shared" si="380"/>
        <v>0</v>
      </c>
    </row>
    <row r="1981" spans="1:9" s="375" customFormat="1" x14ac:dyDescent="0.3">
      <c r="A1981" s="127"/>
      <c r="B1981" s="128" t="s">
        <v>33</v>
      </c>
      <c r="C1981" s="122">
        <f t="shared" si="372"/>
        <v>1</v>
      </c>
      <c r="D1981" s="122">
        <f>D1983</f>
        <v>0</v>
      </c>
      <c r="E1981" s="122">
        <f t="shared" si="380"/>
        <v>1</v>
      </c>
      <c r="F1981" s="122">
        <f t="shared" si="380"/>
        <v>0</v>
      </c>
      <c r="G1981" s="122">
        <f t="shared" si="380"/>
        <v>0</v>
      </c>
      <c r="H1981" s="122">
        <f t="shared" si="380"/>
        <v>0</v>
      </c>
      <c r="I1981" s="122">
        <f t="shared" si="380"/>
        <v>0</v>
      </c>
    </row>
    <row r="1982" spans="1:9" s="131" customFormat="1" ht="14.15" x14ac:dyDescent="0.3">
      <c r="A1982" s="470" t="s">
        <v>766</v>
      </c>
      <c r="B1982" s="468" t="s">
        <v>32</v>
      </c>
      <c r="C1982" s="97">
        <f t="shared" si="372"/>
        <v>1</v>
      </c>
      <c r="D1982" s="97">
        <v>0</v>
      </c>
      <c r="E1982" s="97">
        <v>1</v>
      </c>
      <c r="F1982" s="97">
        <v>0</v>
      </c>
      <c r="G1982" s="97">
        <v>0</v>
      </c>
      <c r="H1982" s="97">
        <v>0</v>
      </c>
      <c r="I1982" s="97">
        <v>0</v>
      </c>
    </row>
    <row r="1983" spans="1:9" s="100" customFormat="1" x14ac:dyDescent="0.3">
      <c r="A1983" s="82"/>
      <c r="B1983" s="443" t="s">
        <v>33</v>
      </c>
      <c r="C1983" s="97">
        <f t="shared" si="372"/>
        <v>1</v>
      </c>
      <c r="D1983" s="97">
        <v>0</v>
      </c>
      <c r="E1983" s="97">
        <v>1</v>
      </c>
      <c r="F1983" s="97">
        <v>0</v>
      </c>
      <c r="G1983" s="97">
        <v>0</v>
      </c>
      <c r="H1983" s="97">
        <v>0</v>
      </c>
      <c r="I1983" s="97">
        <v>0</v>
      </c>
    </row>
    <row r="1984" spans="1:9" s="375" customFormat="1" ht="24.9" x14ac:dyDescent="0.3">
      <c r="A1984" s="133" t="s">
        <v>767</v>
      </c>
      <c r="B1984" s="124" t="s">
        <v>32</v>
      </c>
      <c r="C1984" s="122">
        <f t="shared" si="372"/>
        <v>84</v>
      </c>
      <c r="D1984" s="122">
        <f>D1986+D1988+D1990+D1992</f>
        <v>0</v>
      </c>
      <c r="E1984" s="122">
        <f t="shared" ref="E1984:I1985" si="381">E1986+E1988+E1990+E1992</f>
        <v>84</v>
      </c>
      <c r="F1984" s="122">
        <f t="shared" si="381"/>
        <v>0</v>
      </c>
      <c r="G1984" s="122">
        <f t="shared" si="381"/>
        <v>0</v>
      </c>
      <c r="H1984" s="122">
        <f t="shared" si="381"/>
        <v>0</v>
      </c>
      <c r="I1984" s="122">
        <f t="shared" si="381"/>
        <v>0</v>
      </c>
    </row>
    <row r="1985" spans="1:9" s="375" customFormat="1" x14ac:dyDescent="0.3">
      <c r="A1985" s="127"/>
      <c r="B1985" s="128" t="s">
        <v>33</v>
      </c>
      <c r="C1985" s="122">
        <f t="shared" si="372"/>
        <v>84</v>
      </c>
      <c r="D1985" s="122">
        <f>D1987+D1989+D1991+D1993</f>
        <v>0</v>
      </c>
      <c r="E1985" s="122">
        <f t="shared" si="381"/>
        <v>84</v>
      </c>
      <c r="F1985" s="122">
        <f t="shared" si="381"/>
        <v>0</v>
      </c>
      <c r="G1985" s="122">
        <f t="shared" si="381"/>
        <v>0</v>
      </c>
      <c r="H1985" s="122">
        <f t="shared" si="381"/>
        <v>0</v>
      </c>
      <c r="I1985" s="122">
        <f t="shared" si="381"/>
        <v>0</v>
      </c>
    </row>
    <row r="1986" spans="1:9" s="147" customFormat="1" ht="28.3" x14ac:dyDescent="0.3">
      <c r="A1986" s="427" t="s">
        <v>768</v>
      </c>
      <c r="B1986" s="431" t="s">
        <v>32</v>
      </c>
      <c r="C1986" s="143">
        <f t="shared" si="372"/>
        <v>40</v>
      </c>
      <c r="D1986" s="143">
        <v>0</v>
      </c>
      <c r="E1986" s="143">
        <v>40</v>
      </c>
      <c r="F1986" s="143">
        <v>0</v>
      </c>
      <c r="G1986" s="143">
        <v>0</v>
      </c>
      <c r="H1986" s="143">
        <v>0</v>
      </c>
      <c r="I1986" s="143">
        <v>0</v>
      </c>
    </row>
    <row r="1987" spans="1:9" s="145" customFormat="1" x14ac:dyDescent="0.3">
      <c r="A1987" s="120"/>
      <c r="B1987" s="433" t="s">
        <v>33</v>
      </c>
      <c r="C1987" s="143">
        <f t="shared" si="372"/>
        <v>40</v>
      </c>
      <c r="D1987" s="143">
        <v>0</v>
      </c>
      <c r="E1987" s="143">
        <v>40</v>
      </c>
      <c r="F1987" s="143">
        <v>0</v>
      </c>
      <c r="G1987" s="143">
        <v>0</v>
      </c>
      <c r="H1987" s="143">
        <v>0</v>
      </c>
      <c r="I1987" s="143">
        <v>0</v>
      </c>
    </row>
    <row r="1988" spans="1:9" s="147" customFormat="1" ht="27" customHeight="1" x14ac:dyDescent="0.3">
      <c r="A1988" s="315" t="s">
        <v>769</v>
      </c>
      <c r="B1988" s="431" t="s">
        <v>32</v>
      </c>
      <c r="C1988" s="143">
        <f t="shared" si="372"/>
        <v>10</v>
      </c>
      <c r="D1988" s="143">
        <v>0</v>
      </c>
      <c r="E1988" s="143">
        <v>10</v>
      </c>
      <c r="F1988" s="143">
        <v>0</v>
      </c>
      <c r="G1988" s="143">
        <v>0</v>
      </c>
      <c r="H1988" s="143">
        <v>0</v>
      </c>
      <c r="I1988" s="143">
        <v>0</v>
      </c>
    </row>
    <row r="1989" spans="1:9" s="145" customFormat="1" x14ac:dyDescent="0.3">
      <c r="A1989" s="120"/>
      <c r="B1989" s="433" t="s">
        <v>33</v>
      </c>
      <c r="C1989" s="143">
        <f t="shared" si="372"/>
        <v>10</v>
      </c>
      <c r="D1989" s="143">
        <v>0</v>
      </c>
      <c r="E1989" s="143">
        <v>10</v>
      </c>
      <c r="F1989" s="143">
        <v>0</v>
      </c>
      <c r="G1989" s="143">
        <v>0</v>
      </c>
      <c r="H1989" s="143">
        <v>0</v>
      </c>
      <c r="I1989" s="143">
        <v>0</v>
      </c>
    </row>
    <row r="1990" spans="1:9" s="147" customFormat="1" ht="52.5" customHeight="1" x14ac:dyDescent="0.3">
      <c r="A1990" s="83" t="s">
        <v>770</v>
      </c>
      <c r="B1990" s="431" t="s">
        <v>32</v>
      </c>
      <c r="C1990" s="143">
        <f t="shared" si="372"/>
        <v>22</v>
      </c>
      <c r="D1990" s="143">
        <v>0</v>
      </c>
      <c r="E1990" s="143">
        <v>22</v>
      </c>
      <c r="F1990" s="143">
        <v>0</v>
      </c>
      <c r="G1990" s="143">
        <v>0</v>
      </c>
      <c r="H1990" s="143">
        <v>0</v>
      </c>
      <c r="I1990" s="143">
        <v>0</v>
      </c>
    </row>
    <row r="1991" spans="1:9" s="145" customFormat="1" x14ac:dyDescent="0.3">
      <c r="A1991" s="120"/>
      <c r="B1991" s="433" t="s">
        <v>33</v>
      </c>
      <c r="C1991" s="143">
        <f t="shared" si="372"/>
        <v>22</v>
      </c>
      <c r="D1991" s="143">
        <v>0</v>
      </c>
      <c r="E1991" s="143">
        <v>22</v>
      </c>
      <c r="F1991" s="143">
        <v>0</v>
      </c>
      <c r="G1991" s="143">
        <v>0</v>
      </c>
      <c r="H1991" s="143">
        <v>0</v>
      </c>
      <c r="I1991" s="143">
        <v>0</v>
      </c>
    </row>
    <row r="1992" spans="1:9" s="147" customFormat="1" ht="44.25" customHeight="1" x14ac:dyDescent="0.3">
      <c r="A1992" s="471" t="s">
        <v>771</v>
      </c>
      <c r="B1992" s="431" t="s">
        <v>32</v>
      </c>
      <c r="C1992" s="143">
        <f t="shared" si="372"/>
        <v>12</v>
      </c>
      <c r="D1992" s="143">
        <v>0</v>
      </c>
      <c r="E1992" s="143">
        <v>12</v>
      </c>
      <c r="F1992" s="143">
        <v>0</v>
      </c>
      <c r="G1992" s="143">
        <v>0</v>
      </c>
      <c r="H1992" s="143">
        <v>0</v>
      </c>
      <c r="I1992" s="143">
        <v>0</v>
      </c>
    </row>
    <row r="1993" spans="1:9" s="145" customFormat="1" x14ac:dyDescent="0.3">
      <c r="A1993" s="120"/>
      <c r="B1993" s="433" t="s">
        <v>33</v>
      </c>
      <c r="C1993" s="143">
        <f t="shared" si="372"/>
        <v>12</v>
      </c>
      <c r="D1993" s="143">
        <v>0</v>
      </c>
      <c r="E1993" s="143">
        <v>12</v>
      </c>
      <c r="F1993" s="143">
        <v>0</v>
      </c>
      <c r="G1993" s="143">
        <v>0</v>
      </c>
      <c r="H1993" s="143">
        <v>0</v>
      </c>
      <c r="I1993" s="143">
        <v>0</v>
      </c>
    </row>
    <row r="1994" spans="1:9" s="375" customFormat="1" ht="24.9" x14ac:dyDescent="0.3">
      <c r="A1994" s="253" t="s">
        <v>772</v>
      </c>
      <c r="B1994" s="124" t="s">
        <v>32</v>
      </c>
      <c r="C1994" s="122">
        <f t="shared" si="372"/>
        <v>71</v>
      </c>
      <c r="D1994" s="122">
        <f>D1996+D1998+D2000+D2002+D2004+D2006</f>
        <v>0</v>
      </c>
      <c r="E1994" s="122">
        <f t="shared" ref="E1994:I1995" si="382">E1996+E1998+E2000+E2002+E2004+E2006</f>
        <v>71</v>
      </c>
      <c r="F1994" s="122">
        <f t="shared" si="382"/>
        <v>0</v>
      </c>
      <c r="G1994" s="122">
        <f t="shared" si="382"/>
        <v>0</v>
      </c>
      <c r="H1994" s="122">
        <f t="shared" si="382"/>
        <v>0</v>
      </c>
      <c r="I1994" s="122">
        <f t="shared" si="382"/>
        <v>0</v>
      </c>
    </row>
    <row r="1995" spans="1:9" s="375" customFormat="1" x14ac:dyDescent="0.3">
      <c r="A1995" s="127"/>
      <c r="B1995" s="128" t="s">
        <v>33</v>
      </c>
      <c r="C1995" s="122">
        <f t="shared" si="372"/>
        <v>71</v>
      </c>
      <c r="D1995" s="122">
        <f>D1997+D1999+D2001+D2003+D2005+D2007</f>
        <v>0</v>
      </c>
      <c r="E1995" s="122">
        <f t="shared" si="382"/>
        <v>71</v>
      </c>
      <c r="F1995" s="122">
        <f t="shared" si="382"/>
        <v>0</v>
      </c>
      <c r="G1995" s="122">
        <f t="shared" si="382"/>
        <v>0</v>
      </c>
      <c r="H1995" s="122">
        <f t="shared" si="382"/>
        <v>0</v>
      </c>
      <c r="I1995" s="122">
        <f t="shared" si="382"/>
        <v>0</v>
      </c>
    </row>
    <row r="1996" spans="1:9" s="147" customFormat="1" ht="26.25" customHeight="1" x14ac:dyDescent="0.3">
      <c r="A1996" s="472" t="s">
        <v>773</v>
      </c>
      <c r="B1996" s="431" t="s">
        <v>32</v>
      </c>
      <c r="C1996" s="143">
        <f t="shared" si="372"/>
        <v>2.5</v>
      </c>
      <c r="D1996" s="143">
        <v>0</v>
      </c>
      <c r="E1996" s="143">
        <v>2.5</v>
      </c>
      <c r="F1996" s="143">
        <v>0</v>
      </c>
      <c r="G1996" s="143">
        <v>0</v>
      </c>
      <c r="H1996" s="143">
        <v>0</v>
      </c>
      <c r="I1996" s="143">
        <v>0</v>
      </c>
    </row>
    <row r="1997" spans="1:9" s="145" customFormat="1" x14ac:dyDescent="0.3">
      <c r="A1997" s="120"/>
      <c r="B1997" s="433" t="s">
        <v>33</v>
      </c>
      <c r="C1997" s="143">
        <f t="shared" si="372"/>
        <v>2.5</v>
      </c>
      <c r="D1997" s="143">
        <v>0</v>
      </c>
      <c r="E1997" s="143">
        <v>2.5</v>
      </c>
      <c r="F1997" s="143">
        <v>0</v>
      </c>
      <c r="G1997" s="143">
        <v>0</v>
      </c>
      <c r="H1997" s="143">
        <v>0</v>
      </c>
      <c r="I1997" s="143">
        <v>0</v>
      </c>
    </row>
    <row r="1998" spans="1:9" s="147" customFormat="1" ht="27" customHeight="1" x14ac:dyDescent="0.3">
      <c r="A1998" s="472" t="s">
        <v>774</v>
      </c>
      <c r="B1998" s="431" t="s">
        <v>32</v>
      </c>
      <c r="C1998" s="143">
        <f t="shared" si="372"/>
        <v>1.5</v>
      </c>
      <c r="D1998" s="143">
        <v>0</v>
      </c>
      <c r="E1998" s="143">
        <v>1.5</v>
      </c>
      <c r="F1998" s="143">
        <v>0</v>
      </c>
      <c r="G1998" s="143">
        <v>0</v>
      </c>
      <c r="H1998" s="143">
        <v>0</v>
      </c>
      <c r="I1998" s="143">
        <v>0</v>
      </c>
    </row>
    <row r="1999" spans="1:9" s="145" customFormat="1" x14ac:dyDescent="0.3">
      <c r="A1999" s="120"/>
      <c r="B1999" s="433" t="s">
        <v>33</v>
      </c>
      <c r="C1999" s="143">
        <f t="shared" si="372"/>
        <v>1.5</v>
      </c>
      <c r="D1999" s="143">
        <v>0</v>
      </c>
      <c r="E1999" s="143">
        <v>1.5</v>
      </c>
      <c r="F1999" s="143">
        <v>0</v>
      </c>
      <c r="G1999" s="143">
        <v>0</v>
      </c>
      <c r="H1999" s="143">
        <v>0</v>
      </c>
      <c r="I1999" s="143">
        <v>0</v>
      </c>
    </row>
    <row r="2000" spans="1:9" s="147" customFormat="1" x14ac:dyDescent="0.3">
      <c r="A2000" s="473" t="s">
        <v>775</v>
      </c>
      <c r="B2000" s="431" t="s">
        <v>32</v>
      </c>
      <c r="C2000" s="143">
        <f t="shared" si="372"/>
        <v>-3</v>
      </c>
      <c r="D2000" s="143">
        <v>0</v>
      </c>
      <c r="E2000" s="143">
        <v>-3</v>
      </c>
      <c r="F2000" s="143">
        <v>0</v>
      </c>
      <c r="G2000" s="143">
        <v>0</v>
      </c>
      <c r="H2000" s="143">
        <v>0</v>
      </c>
      <c r="I2000" s="143">
        <v>0</v>
      </c>
    </row>
    <row r="2001" spans="1:9" s="145" customFormat="1" x14ac:dyDescent="0.3">
      <c r="A2001" s="120"/>
      <c r="B2001" s="433" t="s">
        <v>33</v>
      </c>
      <c r="C2001" s="143">
        <f t="shared" si="372"/>
        <v>-3</v>
      </c>
      <c r="D2001" s="143">
        <v>0</v>
      </c>
      <c r="E2001" s="143">
        <v>-3</v>
      </c>
      <c r="F2001" s="143">
        <v>0</v>
      </c>
      <c r="G2001" s="143">
        <v>0</v>
      </c>
      <c r="H2001" s="143">
        <v>0</v>
      </c>
      <c r="I2001" s="143">
        <v>0</v>
      </c>
    </row>
    <row r="2002" spans="1:9" s="147" customFormat="1" x14ac:dyDescent="0.3">
      <c r="A2002" s="473" t="s">
        <v>776</v>
      </c>
      <c r="B2002" s="431" t="s">
        <v>32</v>
      </c>
      <c r="C2002" s="143">
        <f t="shared" si="372"/>
        <v>3</v>
      </c>
      <c r="D2002" s="143">
        <v>0</v>
      </c>
      <c r="E2002" s="143">
        <v>3</v>
      </c>
      <c r="F2002" s="143">
        <v>0</v>
      </c>
      <c r="G2002" s="143">
        <v>0</v>
      </c>
      <c r="H2002" s="143">
        <v>0</v>
      </c>
      <c r="I2002" s="143">
        <v>0</v>
      </c>
    </row>
    <row r="2003" spans="1:9" s="145" customFormat="1" x14ac:dyDescent="0.3">
      <c r="A2003" s="120"/>
      <c r="B2003" s="433" t="s">
        <v>33</v>
      </c>
      <c r="C2003" s="143">
        <f t="shared" si="372"/>
        <v>3</v>
      </c>
      <c r="D2003" s="143">
        <v>0</v>
      </c>
      <c r="E2003" s="143">
        <v>3</v>
      </c>
      <c r="F2003" s="143">
        <v>0</v>
      </c>
      <c r="G2003" s="143">
        <v>0</v>
      </c>
      <c r="H2003" s="143">
        <v>0</v>
      </c>
      <c r="I2003" s="143">
        <v>0</v>
      </c>
    </row>
    <row r="2004" spans="1:9" s="147" customFormat="1" ht="30.75" customHeight="1" x14ac:dyDescent="0.3">
      <c r="A2004" s="314" t="s">
        <v>777</v>
      </c>
      <c r="B2004" s="431" t="s">
        <v>32</v>
      </c>
      <c r="C2004" s="143">
        <f t="shared" si="372"/>
        <v>2</v>
      </c>
      <c r="D2004" s="143">
        <v>0</v>
      </c>
      <c r="E2004" s="143">
        <v>2</v>
      </c>
      <c r="F2004" s="143">
        <v>0</v>
      </c>
      <c r="G2004" s="143">
        <v>0</v>
      </c>
      <c r="H2004" s="143">
        <v>0</v>
      </c>
      <c r="I2004" s="143">
        <v>0</v>
      </c>
    </row>
    <row r="2005" spans="1:9" s="145" customFormat="1" x14ac:dyDescent="0.3">
      <c r="A2005" s="120"/>
      <c r="B2005" s="433" t="s">
        <v>33</v>
      </c>
      <c r="C2005" s="143">
        <f t="shared" si="372"/>
        <v>2</v>
      </c>
      <c r="D2005" s="143">
        <v>0</v>
      </c>
      <c r="E2005" s="143">
        <v>2</v>
      </c>
      <c r="F2005" s="143">
        <v>0</v>
      </c>
      <c r="G2005" s="143">
        <v>0</v>
      </c>
      <c r="H2005" s="143">
        <v>0</v>
      </c>
      <c r="I2005" s="143">
        <v>0</v>
      </c>
    </row>
    <row r="2006" spans="1:9" s="147" customFormat="1" ht="42.45" x14ac:dyDescent="0.3">
      <c r="A2006" s="314" t="s">
        <v>778</v>
      </c>
      <c r="B2006" s="431" t="s">
        <v>32</v>
      </c>
      <c r="C2006" s="143">
        <f t="shared" si="372"/>
        <v>65</v>
      </c>
      <c r="D2006" s="143">
        <v>0</v>
      </c>
      <c r="E2006" s="143">
        <v>65</v>
      </c>
      <c r="F2006" s="143">
        <v>0</v>
      </c>
      <c r="G2006" s="143">
        <v>0</v>
      </c>
      <c r="H2006" s="143">
        <v>0</v>
      </c>
      <c r="I2006" s="143">
        <v>0</v>
      </c>
    </row>
    <row r="2007" spans="1:9" s="145" customFormat="1" x14ac:dyDescent="0.3">
      <c r="A2007" s="120"/>
      <c r="B2007" s="433" t="s">
        <v>33</v>
      </c>
      <c r="C2007" s="143">
        <f t="shared" si="372"/>
        <v>65</v>
      </c>
      <c r="D2007" s="143">
        <v>0</v>
      </c>
      <c r="E2007" s="143">
        <v>65</v>
      </c>
      <c r="F2007" s="143">
        <v>0</v>
      </c>
      <c r="G2007" s="143">
        <v>0</v>
      </c>
      <c r="H2007" s="143">
        <v>0</v>
      </c>
      <c r="I2007" s="143">
        <v>0</v>
      </c>
    </row>
    <row r="2008" spans="1:9" s="147" customFormat="1" ht="24.9" x14ac:dyDescent="0.3">
      <c r="A2008" s="474" t="s">
        <v>779</v>
      </c>
      <c r="B2008" s="431" t="s">
        <v>32</v>
      </c>
      <c r="C2008" s="143">
        <f t="shared" si="372"/>
        <v>46</v>
      </c>
      <c r="D2008" s="143">
        <f>D2010+D2012</f>
        <v>0</v>
      </c>
      <c r="E2008" s="143">
        <f t="shared" ref="E2008:I2009" si="383">E2010+E2012</f>
        <v>46</v>
      </c>
      <c r="F2008" s="143">
        <f t="shared" si="383"/>
        <v>0</v>
      </c>
      <c r="G2008" s="143">
        <f t="shared" si="383"/>
        <v>0</v>
      </c>
      <c r="H2008" s="143">
        <f t="shared" si="383"/>
        <v>0</v>
      </c>
      <c r="I2008" s="143">
        <f t="shared" si="383"/>
        <v>0</v>
      </c>
    </row>
    <row r="2009" spans="1:9" s="145" customFormat="1" x14ac:dyDescent="0.3">
      <c r="A2009" s="120"/>
      <c r="B2009" s="433" t="s">
        <v>33</v>
      </c>
      <c r="C2009" s="143">
        <f t="shared" si="372"/>
        <v>46</v>
      </c>
      <c r="D2009" s="143">
        <f>D2011+D2013</f>
        <v>0</v>
      </c>
      <c r="E2009" s="143">
        <f t="shared" si="383"/>
        <v>46</v>
      </c>
      <c r="F2009" s="143">
        <f t="shared" si="383"/>
        <v>0</v>
      </c>
      <c r="G2009" s="143">
        <f t="shared" si="383"/>
        <v>0</v>
      </c>
      <c r="H2009" s="143">
        <f t="shared" si="383"/>
        <v>0</v>
      </c>
      <c r="I2009" s="143">
        <f t="shared" si="383"/>
        <v>0</v>
      </c>
    </row>
    <row r="2010" spans="1:9" s="147" customFormat="1" ht="24.9" x14ac:dyDescent="0.3">
      <c r="A2010" s="315" t="s">
        <v>780</v>
      </c>
      <c r="B2010" s="431" t="s">
        <v>32</v>
      </c>
      <c r="C2010" s="143">
        <f t="shared" si="372"/>
        <v>32</v>
      </c>
      <c r="D2010" s="143">
        <v>0</v>
      </c>
      <c r="E2010" s="143">
        <v>32</v>
      </c>
      <c r="F2010" s="143">
        <v>0</v>
      </c>
      <c r="G2010" s="143">
        <v>0</v>
      </c>
      <c r="H2010" s="143">
        <v>0</v>
      </c>
      <c r="I2010" s="143">
        <v>0</v>
      </c>
    </row>
    <row r="2011" spans="1:9" s="145" customFormat="1" x14ac:dyDescent="0.3">
      <c r="A2011" s="120"/>
      <c r="B2011" s="433" t="s">
        <v>33</v>
      </c>
      <c r="C2011" s="143">
        <f t="shared" si="372"/>
        <v>32</v>
      </c>
      <c r="D2011" s="143">
        <v>0</v>
      </c>
      <c r="E2011" s="143">
        <v>32</v>
      </c>
      <c r="F2011" s="143">
        <v>0</v>
      </c>
      <c r="G2011" s="143">
        <v>0</v>
      </c>
      <c r="H2011" s="143">
        <v>0</v>
      </c>
      <c r="I2011" s="143">
        <v>0</v>
      </c>
    </row>
    <row r="2012" spans="1:9" s="147" customFormat="1" ht="24.9" x14ac:dyDescent="0.3">
      <c r="A2012" s="315" t="s">
        <v>781</v>
      </c>
      <c r="B2012" s="431" t="s">
        <v>32</v>
      </c>
      <c r="C2012" s="143">
        <f t="shared" si="372"/>
        <v>14</v>
      </c>
      <c r="D2012" s="143">
        <v>0</v>
      </c>
      <c r="E2012" s="143">
        <v>14</v>
      </c>
      <c r="F2012" s="143">
        <v>0</v>
      </c>
      <c r="G2012" s="143">
        <v>0</v>
      </c>
      <c r="H2012" s="143">
        <v>0</v>
      </c>
      <c r="I2012" s="143">
        <v>0</v>
      </c>
    </row>
    <row r="2013" spans="1:9" s="145" customFormat="1" x14ac:dyDescent="0.3">
      <c r="A2013" s="120"/>
      <c r="B2013" s="433" t="s">
        <v>33</v>
      </c>
      <c r="C2013" s="143">
        <f t="shared" si="372"/>
        <v>14</v>
      </c>
      <c r="D2013" s="143">
        <v>0</v>
      </c>
      <c r="E2013" s="143">
        <v>14</v>
      </c>
      <c r="F2013" s="143">
        <v>0</v>
      </c>
      <c r="G2013" s="143">
        <v>0</v>
      </c>
      <c r="H2013" s="143">
        <v>0</v>
      </c>
      <c r="I2013" s="143">
        <v>0</v>
      </c>
    </row>
    <row r="2014" spans="1:9" x14ac:dyDescent="0.3">
      <c r="A2014" s="61" t="s">
        <v>50</v>
      </c>
      <c r="B2014" s="47" t="s">
        <v>32</v>
      </c>
      <c r="C2014" s="48">
        <f t="shared" si="372"/>
        <v>387.79999999999995</v>
      </c>
      <c r="D2014" s="48">
        <f t="shared" ref="D2014:I2019" si="384">D2016</f>
        <v>247.9</v>
      </c>
      <c r="E2014" s="48">
        <f t="shared" si="384"/>
        <v>87</v>
      </c>
      <c r="F2014" s="48">
        <f t="shared" si="384"/>
        <v>0</v>
      </c>
      <c r="G2014" s="48">
        <f t="shared" si="384"/>
        <v>0</v>
      </c>
      <c r="H2014" s="48">
        <f t="shared" si="384"/>
        <v>0</v>
      </c>
      <c r="I2014" s="48">
        <f t="shared" si="384"/>
        <v>52.9</v>
      </c>
    </row>
    <row r="2015" spans="1:9" x14ac:dyDescent="0.3">
      <c r="A2015" s="63" t="s">
        <v>51</v>
      </c>
      <c r="B2015" s="53" t="s">
        <v>33</v>
      </c>
      <c r="C2015" s="48">
        <f t="shared" si="372"/>
        <v>387.79999999999995</v>
      </c>
      <c r="D2015" s="48">
        <f t="shared" si="384"/>
        <v>247.9</v>
      </c>
      <c r="E2015" s="48">
        <f t="shared" si="384"/>
        <v>87</v>
      </c>
      <c r="F2015" s="48">
        <f t="shared" si="384"/>
        <v>0</v>
      </c>
      <c r="G2015" s="48">
        <f t="shared" si="384"/>
        <v>0</v>
      </c>
      <c r="H2015" s="48">
        <f t="shared" si="384"/>
        <v>0</v>
      </c>
      <c r="I2015" s="48">
        <f t="shared" si="384"/>
        <v>52.9</v>
      </c>
    </row>
    <row r="2016" spans="1:9" ht="12.9" x14ac:dyDescent="0.35">
      <c r="A2016" s="54" t="s">
        <v>40</v>
      </c>
      <c r="B2016" s="35" t="s">
        <v>32</v>
      </c>
      <c r="C2016" s="48">
        <f t="shared" si="372"/>
        <v>387.79999999999995</v>
      </c>
      <c r="D2016" s="48">
        <f t="shared" si="384"/>
        <v>247.9</v>
      </c>
      <c r="E2016" s="48">
        <f t="shared" si="384"/>
        <v>87</v>
      </c>
      <c r="F2016" s="48">
        <f t="shared" si="384"/>
        <v>0</v>
      </c>
      <c r="G2016" s="48">
        <f t="shared" si="384"/>
        <v>0</v>
      </c>
      <c r="H2016" s="48">
        <f t="shared" si="384"/>
        <v>0</v>
      </c>
      <c r="I2016" s="48">
        <f t="shared" si="384"/>
        <v>52.9</v>
      </c>
    </row>
    <row r="2017" spans="1:10" ht="12.9" x14ac:dyDescent="0.35">
      <c r="A2017" s="43"/>
      <c r="B2017" s="38" t="s">
        <v>33</v>
      </c>
      <c r="C2017" s="48">
        <f t="shared" si="372"/>
        <v>387.79999999999995</v>
      </c>
      <c r="D2017" s="48">
        <f t="shared" si="384"/>
        <v>247.9</v>
      </c>
      <c r="E2017" s="48">
        <f t="shared" si="384"/>
        <v>87</v>
      </c>
      <c r="F2017" s="48">
        <f t="shared" si="384"/>
        <v>0</v>
      </c>
      <c r="G2017" s="48">
        <f t="shared" si="384"/>
        <v>0</v>
      </c>
      <c r="H2017" s="48">
        <f t="shared" si="384"/>
        <v>0</v>
      </c>
      <c r="I2017" s="48">
        <f t="shared" si="384"/>
        <v>52.9</v>
      </c>
    </row>
    <row r="2018" spans="1:10" x14ac:dyDescent="0.3">
      <c r="A2018" s="58" t="s">
        <v>53</v>
      </c>
      <c r="B2018" s="47" t="s">
        <v>32</v>
      </c>
      <c r="C2018" s="48">
        <f t="shared" si="372"/>
        <v>387.79999999999995</v>
      </c>
      <c r="D2018" s="48">
        <f t="shared" si="384"/>
        <v>247.9</v>
      </c>
      <c r="E2018" s="41">
        <f t="shared" si="384"/>
        <v>87</v>
      </c>
      <c r="F2018" s="48">
        <f t="shared" si="384"/>
        <v>0</v>
      </c>
      <c r="G2018" s="48">
        <f t="shared" si="384"/>
        <v>0</v>
      </c>
      <c r="H2018" s="48">
        <f t="shared" si="384"/>
        <v>0</v>
      </c>
      <c r="I2018" s="48">
        <f t="shared" si="384"/>
        <v>52.9</v>
      </c>
    </row>
    <row r="2019" spans="1:10" x14ac:dyDescent="0.3">
      <c r="A2019" s="63"/>
      <c r="B2019" s="53" t="s">
        <v>33</v>
      </c>
      <c r="C2019" s="48">
        <f t="shared" si="372"/>
        <v>387.79999999999995</v>
      </c>
      <c r="D2019" s="48">
        <f t="shared" si="384"/>
        <v>247.9</v>
      </c>
      <c r="E2019" s="41">
        <f t="shared" si="384"/>
        <v>87</v>
      </c>
      <c r="F2019" s="48">
        <f t="shared" si="384"/>
        <v>0</v>
      </c>
      <c r="G2019" s="48">
        <f t="shared" si="384"/>
        <v>0</v>
      </c>
      <c r="H2019" s="48">
        <f t="shared" si="384"/>
        <v>0</v>
      </c>
      <c r="I2019" s="48">
        <f t="shared" si="384"/>
        <v>52.9</v>
      </c>
    </row>
    <row r="2020" spans="1:10" s="14" customFormat="1" x14ac:dyDescent="0.3">
      <c r="A2020" s="149" t="s">
        <v>45</v>
      </c>
      <c r="B2020" s="12" t="s">
        <v>32</v>
      </c>
      <c r="C2020" s="36">
        <f t="shared" si="372"/>
        <v>387.79999999999995</v>
      </c>
      <c r="D2020" s="36">
        <f>D2022+D2034+D2042+D2046</f>
        <v>247.9</v>
      </c>
      <c r="E2020" s="36">
        <f t="shared" ref="E2020:I2021" si="385">E2022+E2034+E2042+E2046</f>
        <v>87</v>
      </c>
      <c r="F2020" s="36">
        <f t="shared" si="385"/>
        <v>0</v>
      </c>
      <c r="G2020" s="36">
        <f t="shared" si="385"/>
        <v>0</v>
      </c>
      <c r="H2020" s="36">
        <f t="shared" si="385"/>
        <v>0</v>
      </c>
      <c r="I2020" s="36">
        <f t="shared" si="385"/>
        <v>52.9</v>
      </c>
    </row>
    <row r="2021" spans="1:10" s="14" customFormat="1" x14ac:dyDescent="0.3">
      <c r="A2021" s="19"/>
      <c r="B2021" s="23" t="s">
        <v>33</v>
      </c>
      <c r="C2021" s="36">
        <f t="shared" si="372"/>
        <v>387.79999999999995</v>
      </c>
      <c r="D2021" s="36">
        <f>D2023+D2035+D2043+D2047</f>
        <v>247.9</v>
      </c>
      <c r="E2021" s="36">
        <f t="shared" si="385"/>
        <v>87</v>
      </c>
      <c r="F2021" s="36">
        <f t="shared" si="385"/>
        <v>0</v>
      </c>
      <c r="G2021" s="36">
        <f t="shared" si="385"/>
        <v>0</v>
      </c>
      <c r="H2021" s="36">
        <f t="shared" si="385"/>
        <v>0</v>
      </c>
      <c r="I2021" s="36">
        <f t="shared" si="385"/>
        <v>52.9</v>
      </c>
    </row>
    <row r="2022" spans="1:10" s="126" customFormat="1" x14ac:dyDescent="0.3">
      <c r="A2022" s="133" t="s">
        <v>782</v>
      </c>
      <c r="B2022" s="318" t="s">
        <v>32</v>
      </c>
      <c r="C2022" s="122">
        <f t="shared" si="372"/>
        <v>171.8</v>
      </c>
      <c r="D2022" s="122">
        <f>D2024+D2026+D2028+D2030+D2032</f>
        <v>61.900000000000006</v>
      </c>
      <c r="E2022" s="122">
        <f t="shared" ref="E2022:I2023" si="386">E2024+E2026+E2028+E2030+E2032</f>
        <v>57</v>
      </c>
      <c r="F2022" s="122">
        <f t="shared" si="386"/>
        <v>0</v>
      </c>
      <c r="G2022" s="122">
        <f t="shared" si="386"/>
        <v>0</v>
      </c>
      <c r="H2022" s="122">
        <f t="shared" si="386"/>
        <v>0</v>
      </c>
      <c r="I2022" s="122">
        <f t="shared" si="386"/>
        <v>52.9</v>
      </c>
    </row>
    <row r="2023" spans="1:10" s="126" customFormat="1" x14ac:dyDescent="0.3">
      <c r="A2023" s="434"/>
      <c r="B2023" s="128" t="s">
        <v>33</v>
      </c>
      <c r="C2023" s="122">
        <f t="shared" si="372"/>
        <v>171.8</v>
      </c>
      <c r="D2023" s="122">
        <f>D2025+D2027+D2029+D2031+D2033</f>
        <v>61.900000000000006</v>
      </c>
      <c r="E2023" s="122">
        <f t="shared" si="386"/>
        <v>57</v>
      </c>
      <c r="F2023" s="122">
        <f t="shared" si="386"/>
        <v>0</v>
      </c>
      <c r="G2023" s="122">
        <f t="shared" si="386"/>
        <v>0</v>
      </c>
      <c r="H2023" s="122">
        <f t="shared" si="386"/>
        <v>0</v>
      </c>
      <c r="I2023" s="122">
        <f t="shared" si="386"/>
        <v>52.9</v>
      </c>
    </row>
    <row r="2024" spans="1:10" s="145" customFormat="1" ht="24.9" x14ac:dyDescent="0.3">
      <c r="A2024" s="393" t="s">
        <v>783</v>
      </c>
      <c r="B2024" s="431" t="s">
        <v>32</v>
      </c>
      <c r="C2024" s="143">
        <f t="shared" si="372"/>
        <v>40</v>
      </c>
      <c r="D2024" s="143">
        <f>D2025</f>
        <v>9.1</v>
      </c>
      <c r="E2024" s="143">
        <f>28-28</f>
        <v>0</v>
      </c>
      <c r="F2024" s="143">
        <v>0</v>
      </c>
      <c r="G2024" s="143">
        <v>0</v>
      </c>
      <c r="H2024" s="143">
        <v>0</v>
      </c>
      <c r="I2024" s="143">
        <f>2.9+28</f>
        <v>30.9</v>
      </c>
    </row>
    <row r="2025" spans="1:10" s="145" customFormat="1" ht="12.9" x14ac:dyDescent="0.35">
      <c r="A2025" s="432"/>
      <c r="B2025" s="433" t="s">
        <v>33</v>
      </c>
      <c r="C2025" s="143">
        <f t="shared" si="372"/>
        <v>40</v>
      </c>
      <c r="D2025" s="143">
        <v>9.1</v>
      </c>
      <c r="E2025" s="143">
        <f>28-28</f>
        <v>0</v>
      </c>
      <c r="F2025" s="143">
        <v>0</v>
      </c>
      <c r="G2025" s="143">
        <v>0</v>
      </c>
      <c r="H2025" s="143">
        <v>0</v>
      </c>
      <c r="I2025" s="143">
        <f>2.9+28</f>
        <v>30.9</v>
      </c>
    </row>
    <row r="2026" spans="1:10" s="42" customFormat="1" x14ac:dyDescent="0.3">
      <c r="A2026" s="389" t="s">
        <v>784</v>
      </c>
      <c r="B2026" s="475" t="s">
        <v>32</v>
      </c>
      <c r="C2026" s="41">
        <f t="shared" ref="C2026:C2049" si="387">D2026+E2026+F2026+G2026+H2026+I2026</f>
        <v>60</v>
      </c>
      <c r="D2026" s="41">
        <v>38</v>
      </c>
      <c r="E2026" s="41">
        <v>0</v>
      </c>
      <c r="F2026" s="41">
        <v>0</v>
      </c>
      <c r="G2026" s="41">
        <v>0</v>
      </c>
      <c r="H2026" s="41">
        <v>0</v>
      </c>
      <c r="I2026" s="41">
        <f>60-38</f>
        <v>22</v>
      </c>
      <c r="J2026" s="78"/>
    </row>
    <row r="2027" spans="1:10" s="42" customFormat="1" x14ac:dyDescent="0.3">
      <c r="A2027" s="63"/>
      <c r="B2027" s="476" t="s">
        <v>33</v>
      </c>
      <c r="C2027" s="41">
        <f t="shared" si="387"/>
        <v>60</v>
      </c>
      <c r="D2027" s="41">
        <v>38</v>
      </c>
      <c r="E2027" s="41">
        <v>0</v>
      </c>
      <c r="F2027" s="41">
        <v>0</v>
      </c>
      <c r="G2027" s="41">
        <v>0</v>
      </c>
      <c r="H2027" s="41">
        <v>0</v>
      </c>
      <c r="I2027" s="41">
        <f>60-38</f>
        <v>22</v>
      </c>
      <c r="J2027" s="78"/>
    </row>
    <row r="2028" spans="1:10" s="65" customFormat="1" ht="14.15" x14ac:dyDescent="0.35">
      <c r="A2028" s="477" t="s">
        <v>785</v>
      </c>
      <c r="B2028" s="475" t="s">
        <v>32</v>
      </c>
      <c r="C2028" s="41">
        <f t="shared" si="387"/>
        <v>14.8</v>
      </c>
      <c r="D2028" s="41">
        <v>14.8</v>
      </c>
      <c r="E2028" s="41">
        <v>0</v>
      </c>
      <c r="F2028" s="41">
        <v>0</v>
      </c>
      <c r="G2028" s="41">
        <v>0</v>
      </c>
      <c r="H2028" s="41">
        <v>0</v>
      </c>
      <c r="I2028" s="41">
        <v>0</v>
      </c>
      <c r="J2028" s="105"/>
    </row>
    <row r="2029" spans="1:10" s="42" customFormat="1" x14ac:dyDescent="0.3">
      <c r="A2029" s="63"/>
      <c r="B2029" s="476" t="s">
        <v>33</v>
      </c>
      <c r="C2029" s="41">
        <f t="shared" si="387"/>
        <v>14.8</v>
      </c>
      <c r="D2029" s="41">
        <v>14.8</v>
      </c>
      <c r="E2029" s="41">
        <v>0</v>
      </c>
      <c r="F2029" s="41">
        <v>0</v>
      </c>
      <c r="G2029" s="41">
        <v>0</v>
      </c>
      <c r="H2029" s="41">
        <v>0</v>
      </c>
      <c r="I2029" s="41">
        <v>0</v>
      </c>
      <c r="J2029" s="78"/>
    </row>
    <row r="2030" spans="1:10" s="65" customFormat="1" ht="28.3" x14ac:dyDescent="0.35">
      <c r="A2030" s="317" t="s">
        <v>786</v>
      </c>
      <c r="B2030" s="475" t="s">
        <v>32</v>
      </c>
      <c r="C2030" s="41">
        <f t="shared" si="387"/>
        <v>5</v>
      </c>
      <c r="D2030" s="41">
        <v>0</v>
      </c>
      <c r="E2030" s="41">
        <v>5</v>
      </c>
      <c r="F2030" s="41">
        <v>0</v>
      </c>
      <c r="G2030" s="41">
        <v>0</v>
      </c>
      <c r="H2030" s="41">
        <v>0</v>
      </c>
      <c r="I2030" s="41">
        <v>0</v>
      </c>
      <c r="J2030" s="105"/>
    </row>
    <row r="2031" spans="1:10" s="42" customFormat="1" x14ac:dyDescent="0.3">
      <c r="A2031" s="63"/>
      <c r="B2031" s="476" t="s">
        <v>33</v>
      </c>
      <c r="C2031" s="41">
        <f t="shared" si="387"/>
        <v>5</v>
      </c>
      <c r="D2031" s="41">
        <v>0</v>
      </c>
      <c r="E2031" s="41">
        <v>5</v>
      </c>
      <c r="F2031" s="41">
        <v>0</v>
      </c>
      <c r="G2031" s="41">
        <v>0</v>
      </c>
      <c r="H2031" s="41">
        <v>0</v>
      </c>
      <c r="I2031" s="41">
        <v>0</v>
      </c>
      <c r="J2031" s="78"/>
    </row>
    <row r="2032" spans="1:10" s="65" customFormat="1" ht="28.3" x14ac:dyDescent="0.3">
      <c r="A2032" s="478" t="s">
        <v>787</v>
      </c>
      <c r="B2032" s="475" t="s">
        <v>32</v>
      </c>
      <c r="C2032" s="41">
        <f t="shared" si="387"/>
        <v>52</v>
      </c>
      <c r="D2032" s="41">
        <v>0</v>
      </c>
      <c r="E2032" s="41">
        <f>40+2+10</f>
        <v>52</v>
      </c>
      <c r="F2032" s="41">
        <v>0</v>
      </c>
      <c r="G2032" s="41">
        <v>0</v>
      </c>
      <c r="H2032" s="41">
        <v>0</v>
      </c>
      <c r="I2032" s="41">
        <v>0</v>
      </c>
      <c r="J2032" s="105"/>
    </row>
    <row r="2033" spans="1:10" s="42" customFormat="1" x14ac:dyDescent="0.3">
      <c r="A2033" s="63"/>
      <c r="B2033" s="476" t="s">
        <v>33</v>
      </c>
      <c r="C2033" s="41">
        <f t="shared" si="387"/>
        <v>52</v>
      </c>
      <c r="D2033" s="41">
        <v>0</v>
      </c>
      <c r="E2033" s="41">
        <f>40+2+10</f>
        <v>52</v>
      </c>
      <c r="F2033" s="41">
        <v>0</v>
      </c>
      <c r="G2033" s="41">
        <v>0</v>
      </c>
      <c r="H2033" s="41">
        <v>0</v>
      </c>
      <c r="I2033" s="41">
        <v>0</v>
      </c>
      <c r="J2033" s="78"/>
    </row>
    <row r="2034" spans="1:10" s="126" customFormat="1" x14ac:dyDescent="0.3">
      <c r="A2034" s="133" t="s">
        <v>788</v>
      </c>
      <c r="B2034" s="318" t="s">
        <v>32</v>
      </c>
      <c r="C2034" s="122">
        <f t="shared" si="387"/>
        <v>146</v>
      </c>
      <c r="D2034" s="122">
        <f>D2036+D2038+D2040</f>
        <v>146</v>
      </c>
      <c r="E2034" s="122">
        <f t="shared" ref="E2034:I2035" si="388">E2036+E2038+E2040</f>
        <v>0</v>
      </c>
      <c r="F2034" s="122">
        <f t="shared" si="388"/>
        <v>0</v>
      </c>
      <c r="G2034" s="122">
        <f t="shared" si="388"/>
        <v>0</v>
      </c>
      <c r="H2034" s="122">
        <f t="shared" si="388"/>
        <v>0</v>
      </c>
      <c r="I2034" s="122">
        <f t="shared" si="388"/>
        <v>0</v>
      </c>
    </row>
    <row r="2035" spans="1:10" s="126" customFormat="1" x14ac:dyDescent="0.3">
      <c r="A2035" s="434"/>
      <c r="B2035" s="128" t="s">
        <v>33</v>
      </c>
      <c r="C2035" s="122">
        <f t="shared" si="387"/>
        <v>146</v>
      </c>
      <c r="D2035" s="122">
        <f>D2037+D2039+D2041</f>
        <v>146</v>
      </c>
      <c r="E2035" s="122">
        <f t="shared" si="388"/>
        <v>0</v>
      </c>
      <c r="F2035" s="122">
        <f t="shared" si="388"/>
        <v>0</v>
      </c>
      <c r="G2035" s="122">
        <f t="shared" si="388"/>
        <v>0</v>
      </c>
      <c r="H2035" s="122">
        <f t="shared" si="388"/>
        <v>0</v>
      </c>
      <c r="I2035" s="122">
        <f t="shared" si="388"/>
        <v>0</v>
      </c>
    </row>
    <row r="2036" spans="1:10" s="78" customFormat="1" ht="28.3" x14ac:dyDescent="0.35">
      <c r="A2036" s="328" t="s">
        <v>789</v>
      </c>
      <c r="B2036" s="479" t="s">
        <v>32</v>
      </c>
      <c r="C2036" s="108">
        <f t="shared" si="387"/>
        <v>8</v>
      </c>
      <c r="D2036" s="108">
        <v>8</v>
      </c>
      <c r="E2036" s="108">
        <v>0</v>
      </c>
      <c r="F2036" s="108">
        <v>0</v>
      </c>
      <c r="G2036" s="108">
        <v>0</v>
      </c>
      <c r="H2036" s="108">
        <v>0</v>
      </c>
      <c r="I2036" s="108">
        <v>0</v>
      </c>
    </row>
    <row r="2037" spans="1:10" s="145" customFormat="1" ht="12.9" x14ac:dyDescent="0.35">
      <c r="A2037" s="432"/>
      <c r="B2037" s="433" t="s">
        <v>33</v>
      </c>
      <c r="C2037" s="143">
        <f t="shared" si="387"/>
        <v>8</v>
      </c>
      <c r="D2037" s="143">
        <v>8</v>
      </c>
      <c r="E2037" s="143">
        <v>0</v>
      </c>
      <c r="F2037" s="143">
        <v>0</v>
      </c>
      <c r="G2037" s="143">
        <v>0</v>
      </c>
      <c r="H2037" s="143">
        <v>0</v>
      </c>
      <c r="I2037" s="143">
        <v>0</v>
      </c>
    </row>
    <row r="2038" spans="1:10" s="147" customFormat="1" ht="24.9" x14ac:dyDescent="0.3">
      <c r="A2038" s="480" t="s">
        <v>790</v>
      </c>
      <c r="B2038" s="431" t="s">
        <v>32</v>
      </c>
      <c r="C2038" s="143">
        <f t="shared" si="387"/>
        <v>54</v>
      </c>
      <c r="D2038" s="143">
        <v>54</v>
      </c>
      <c r="E2038" s="143">
        <v>0</v>
      </c>
      <c r="F2038" s="143">
        <v>0</v>
      </c>
      <c r="G2038" s="143">
        <v>0</v>
      </c>
      <c r="H2038" s="143">
        <v>0</v>
      </c>
      <c r="I2038" s="143">
        <v>0</v>
      </c>
    </row>
    <row r="2039" spans="1:10" s="147" customFormat="1" ht="12.9" x14ac:dyDescent="0.35">
      <c r="A2039" s="432"/>
      <c r="B2039" s="433" t="s">
        <v>33</v>
      </c>
      <c r="C2039" s="143">
        <f t="shared" si="387"/>
        <v>54</v>
      </c>
      <c r="D2039" s="143">
        <v>54</v>
      </c>
      <c r="E2039" s="143">
        <v>0</v>
      </c>
      <c r="F2039" s="143">
        <v>0</v>
      </c>
      <c r="G2039" s="143">
        <v>0</v>
      </c>
      <c r="H2039" s="143">
        <v>0</v>
      </c>
      <c r="I2039" s="143">
        <v>0</v>
      </c>
    </row>
    <row r="2040" spans="1:10" s="147" customFormat="1" ht="15" customHeight="1" x14ac:dyDescent="0.35">
      <c r="A2040" s="271" t="s">
        <v>791</v>
      </c>
      <c r="B2040" s="431" t="s">
        <v>32</v>
      </c>
      <c r="C2040" s="143">
        <f t="shared" si="387"/>
        <v>84</v>
      </c>
      <c r="D2040" s="143">
        <v>84</v>
      </c>
      <c r="E2040" s="143">
        <v>0</v>
      </c>
      <c r="F2040" s="143">
        <v>0</v>
      </c>
      <c r="G2040" s="143">
        <v>0</v>
      </c>
      <c r="H2040" s="143">
        <v>0</v>
      </c>
      <c r="I2040" s="143">
        <v>0</v>
      </c>
    </row>
    <row r="2041" spans="1:10" s="147" customFormat="1" ht="12.9" x14ac:dyDescent="0.35">
      <c r="A2041" s="432"/>
      <c r="B2041" s="433" t="s">
        <v>33</v>
      </c>
      <c r="C2041" s="143">
        <f t="shared" si="387"/>
        <v>84</v>
      </c>
      <c r="D2041" s="143">
        <v>84</v>
      </c>
      <c r="E2041" s="143">
        <v>0</v>
      </c>
      <c r="F2041" s="143">
        <v>0</v>
      </c>
      <c r="G2041" s="143">
        <v>0</v>
      </c>
      <c r="H2041" s="143">
        <v>0</v>
      </c>
      <c r="I2041" s="143">
        <v>0</v>
      </c>
    </row>
    <row r="2042" spans="1:10" s="126" customFormat="1" x14ac:dyDescent="0.3">
      <c r="A2042" s="133" t="s">
        <v>792</v>
      </c>
      <c r="B2042" s="318" t="s">
        <v>32</v>
      </c>
      <c r="C2042" s="122">
        <f t="shared" si="387"/>
        <v>40</v>
      </c>
      <c r="D2042" s="122">
        <f>D2044</f>
        <v>40</v>
      </c>
      <c r="E2042" s="122">
        <f t="shared" ref="E2042:I2043" si="389">E2044</f>
        <v>0</v>
      </c>
      <c r="F2042" s="122">
        <f t="shared" si="389"/>
        <v>0</v>
      </c>
      <c r="G2042" s="122">
        <f t="shared" si="389"/>
        <v>0</v>
      </c>
      <c r="H2042" s="122">
        <f t="shared" si="389"/>
        <v>0</v>
      </c>
      <c r="I2042" s="122">
        <f t="shared" si="389"/>
        <v>0</v>
      </c>
    </row>
    <row r="2043" spans="1:10" s="126" customFormat="1" x14ac:dyDescent="0.3">
      <c r="A2043" s="434"/>
      <c r="B2043" s="128" t="s">
        <v>33</v>
      </c>
      <c r="C2043" s="122">
        <f t="shared" si="387"/>
        <v>40</v>
      </c>
      <c r="D2043" s="122">
        <f>D2045</f>
        <v>40</v>
      </c>
      <c r="E2043" s="122">
        <f t="shared" si="389"/>
        <v>0</v>
      </c>
      <c r="F2043" s="122">
        <f t="shared" si="389"/>
        <v>0</v>
      </c>
      <c r="G2043" s="122">
        <f t="shared" si="389"/>
        <v>0</v>
      </c>
      <c r="H2043" s="122">
        <f t="shared" si="389"/>
        <v>0</v>
      </c>
      <c r="I2043" s="122">
        <f t="shared" si="389"/>
        <v>0</v>
      </c>
    </row>
    <row r="2044" spans="1:10" s="105" customFormat="1" ht="14.15" x14ac:dyDescent="0.35">
      <c r="A2044" s="220" t="s">
        <v>627</v>
      </c>
      <c r="B2044" s="479" t="s">
        <v>32</v>
      </c>
      <c r="C2044" s="108">
        <f t="shared" si="387"/>
        <v>40</v>
      </c>
      <c r="D2044" s="108">
        <v>40</v>
      </c>
      <c r="E2044" s="108">
        <v>0</v>
      </c>
      <c r="F2044" s="108">
        <v>0</v>
      </c>
      <c r="G2044" s="108">
        <v>0</v>
      </c>
      <c r="H2044" s="108">
        <v>0</v>
      </c>
      <c r="I2044" s="108">
        <v>0</v>
      </c>
    </row>
    <row r="2045" spans="1:10" s="145" customFormat="1" ht="12.9" x14ac:dyDescent="0.35">
      <c r="A2045" s="432"/>
      <c r="B2045" s="433" t="s">
        <v>33</v>
      </c>
      <c r="C2045" s="143">
        <f t="shared" si="387"/>
        <v>40</v>
      </c>
      <c r="D2045" s="143">
        <v>40</v>
      </c>
      <c r="E2045" s="143">
        <v>0</v>
      </c>
      <c r="F2045" s="143">
        <v>0</v>
      </c>
      <c r="G2045" s="143">
        <v>0</v>
      </c>
      <c r="H2045" s="143">
        <v>0</v>
      </c>
      <c r="I2045" s="143">
        <v>0</v>
      </c>
    </row>
    <row r="2046" spans="1:10" s="126" customFormat="1" x14ac:dyDescent="0.3">
      <c r="A2046" s="133" t="s">
        <v>793</v>
      </c>
      <c r="B2046" s="318" t="s">
        <v>32</v>
      </c>
      <c r="C2046" s="122">
        <f t="shared" si="387"/>
        <v>30</v>
      </c>
      <c r="D2046" s="122">
        <f>D2048</f>
        <v>0</v>
      </c>
      <c r="E2046" s="122">
        <f t="shared" ref="E2046:I2047" si="390">E2048</f>
        <v>30</v>
      </c>
      <c r="F2046" s="122">
        <f t="shared" si="390"/>
        <v>0</v>
      </c>
      <c r="G2046" s="122">
        <f t="shared" si="390"/>
        <v>0</v>
      </c>
      <c r="H2046" s="122">
        <f t="shared" si="390"/>
        <v>0</v>
      </c>
      <c r="I2046" s="122">
        <f t="shared" si="390"/>
        <v>0</v>
      </c>
    </row>
    <row r="2047" spans="1:10" s="126" customFormat="1" x14ac:dyDescent="0.3">
      <c r="A2047" s="434"/>
      <c r="B2047" s="128" t="s">
        <v>33</v>
      </c>
      <c r="C2047" s="122">
        <f t="shared" si="387"/>
        <v>30</v>
      </c>
      <c r="D2047" s="122">
        <f>D2049</f>
        <v>0</v>
      </c>
      <c r="E2047" s="122">
        <f t="shared" si="390"/>
        <v>30</v>
      </c>
      <c r="F2047" s="122">
        <f t="shared" si="390"/>
        <v>0</v>
      </c>
      <c r="G2047" s="122">
        <f t="shared" si="390"/>
        <v>0</v>
      </c>
      <c r="H2047" s="122">
        <f t="shared" si="390"/>
        <v>0</v>
      </c>
      <c r="I2047" s="122">
        <f t="shared" si="390"/>
        <v>0</v>
      </c>
    </row>
    <row r="2048" spans="1:10" s="105" customFormat="1" ht="28.3" x14ac:dyDescent="0.3">
      <c r="A2048" s="427" t="s">
        <v>794</v>
      </c>
      <c r="B2048" s="479" t="s">
        <v>32</v>
      </c>
      <c r="C2048" s="108">
        <f t="shared" si="387"/>
        <v>30</v>
      </c>
      <c r="D2048" s="108">
        <v>0</v>
      </c>
      <c r="E2048" s="108">
        <v>30</v>
      </c>
      <c r="F2048" s="108">
        <v>0</v>
      </c>
      <c r="G2048" s="108">
        <v>0</v>
      </c>
      <c r="H2048" s="108">
        <v>0</v>
      </c>
      <c r="I2048" s="108">
        <v>0</v>
      </c>
    </row>
    <row r="2049" spans="1:13" s="145" customFormat="1" ht="12.9" x14ac:dyDescent="0.35">
      <c r="A2049" s="432"/>
      <c r="B2049" s="433" t="s">
        <v>33</v>
      </c>
      <c r="C2049" s="143">
        <f t="shared" si="387"/>
        <v>30</v>
      </c>
      <c r="D2049" s="143">
        <v>0</v>
      </c>
      <c r="E2049" s="143">
        <v>30</v>
      </c>
      <c r="F2049" s="143">
        <v>0</v>
      </c>
      <c r="G2049" s="143">
        <v>0</v>
      </c>
      <c r="H2049" s="143">
        <v>0</v>
      </c>
      <c r="I2049" s="143">
        <v>0</v>
      </c>
    </row>
    <row r="2050" spans="1:13" x14ac:dyDescent="0.3">
      <c r="A2050" s="1066" t="s">
        <v>125</v>
      </c>
      <c r="B2050" s="1063"/>
      <c r="C2050" s="1064"/>
      <c r="D2050" s="1064"/>
      <c r="E2050" s="1064"/>
      <c r="F2050" s="1064"/>
      <c r="G2050" s="1064"/>
      <c r="H2050" s="1064"/>
      <c r="I2050" s="1065"/>
    </row>
    <row r="2051" spans="1:13" x14ac:dyDescent="0.3">
      <c r="A2051" s="72" t="s">
        <v>57</v>
      </c>
      <c r="B2051" s="16" t="s">
        <v>32</v>
      </c>
      <c r="C2051" s="36">
        <f t="shared" ref="C2051:C2114" si="391">D2051+E2051+F2051+G2051+H2051+I2051</f>
        <v>12637.63</v>
      </c>
      <c r="D2051" s="36">
        <f t="shared" ref="D2051:I2064" si="392">D2053</f>
        <v>3486.25</v>
      </c>
      <c r="E2051" s="36">
        <f t="shared" si="392"/>
        <v>6721</v>
      </c>
      <c r="F2051" s="36">
        <f t="shared" si="392"/>
        <v>249</v>
      </c>
      <c r="G2051" s="36">
        <f t="shared" si="392"/>
        <v>1550</v>
      </c>
      <c r="H2051" s="36">
        <f t="shared" si="392"/>
        <v>0</v>
      </c>
      <c r="I2051" s="36">
        <f t="shared" si="392"/>
        <v>631.38</v>
      </c>
    </row>
    <row r="2052" spans="1:13" x14ac:dyDescent="0.3">
      <c r="A2052" s="60" t="s">
        <v>87</v>
      </c>
      <c r="B2052" s="23" t="s">
        <v>33</v>
      </c>
      <c r="C2052" s="36">
        <f t="shared" si="391"/>
        <v>12637.63</v>
      </c>
      <c r="D2052" s="36">
        <f t="shared" si="392"/>
        <v>3486.25</v>
      </c>
      <c r="E2052" s="36">
        <f t="shared" si="392"/>
        <v>6721</v>
      </c>
      <c r="F2052" s="36">
        <f t="shared" si="392"/>
        <v>249</v>
      </c>
      <c r="G2052" s="36">
        <f t="shared" si="392"/>
        <v>1550</v>
      </c>
      <c r="H2052" s="36">
        <f t="shared" si="392"/>
        <v>0</v>
      </c>
      <c r="I2052" s="36">
        <f t="shared" si="392"/>
        <v>631.38</v>
      </c>
    </row>
    <row r="2053" spans="1:13" x14ac:dyDescent="0.3">
      <c r="A2053" s="61" t="s">
        <v>63</v>
      </c>
      <c r="B2053" s="47" t="s">
        <v>32</v>
      </c>
      <c r="C2053" s="48">
        <f t="shared" si="391"/>
        <v>12637.63</v>
      </c>
      <c r="D2053" s="48">
        <f t="shared" ref="D2053:I2054" si="393">D2055+D2059</f>
        <v>3486.25</v>
      </c>
      <c r="E2053" s="48">
        <f t="shared" si="393"/>
        <v>6721</v>
      </c>
      <c r="F2053" s="48">
        <f t="shared" si="393"/>
        <v>249</v>
      </c>
      <c r="G2053" s="48">
        <f t="shared" si="393"/>
        <v>1550</v>
      </c>
      <c r="H2053" s="48">
        <f t="shared" si="393"/>
        <v>0</v>
      </c>
      <c r="I2053" s="48">
        <f t="shared" si="393"/>
        <v>631.38</v>
      </c>
    </row>
    <row r="2054" spans="1:13" x14ac:dyDescent="0.3">
      <c r="A2054" s="63" t="s">
        <v>51</v>
      </c>
      <c r="B2054" s="53" t="s">
        <v>33</v>
      </c>
      <c r="C2054" s="48">
        <f t="shared" si="391"/>
        <v>12637.63</v>
      </c>
      <c r="D2054" s="48">
        <f t="shared" si="393"/>
        <v>3486.25</v>
      </c>
      <c r="E2054" s="48">
        <f t="shared" si="393"/>
        <v>6721</v>
      </c>
      <c r="F2054" s="48">
        <f t="shared" si="393"/>
        <v>249</v>
      </c>
      <c r="G2054" s="48">
        <f t="shared" si="393"/>
        <v>1550</v>
      </c>
      <c r="H2054" s="48">
        <f t="shared" si="393"/>
        <v>0</v>
      </c>
      <c r="I2054" s="48">
        <f t="shared" si="393"/>
        <v>631.38</v>
      </c>
    </row>
    <row r="2055" spans="1:13" ht="25.75" x14ac:dyDescent="0.35">
      <c r="A2055" s="64" t="s">
        <v>52</v>
      </c>
      <c r="B2055" s="40" t="s">
        <v>32</v>
      </c>
      <c r="C2055" s="48">
        <f>D2055+E2055+F2055+G2055+H2055+I2055</f>
        <v>4557</v>
      </c>
      <c r="D2055" s="48">
        <f>D2057</f>
        <v>2509</v>
      </c>
      <c r="E2055" s="48">
        <f t="shared" ref="E2055:I2056" si="394">E2057</f>
        <v>249</v>
      </c>
      <c r="F2055" s="48">
        <f t="shared" si="394"/>
        <v>249</v>
      </c>
      <c r="G2055" s="48">
        <f t="shared" si="394"/>
        <v>1550</v>
      </c>
      <c r="H2055" s="48">
        <f t="shared" si="394"/>
        <v>0</v>
      </c>
      <c r="I2055" s="48">
        <f t="shared" si="394"/>
        <v>0</v>
      </c>
    </row>
    <row r="2056" spans="1:13" ht="12.9" x14ac:dyDescent="0.35">
      <c r="A2056" s="43"/>
      <c r="B2056" s="44" t="s">
        <v>33</v>
      </c>
      <c r="C2056" s="48">
        <f>D2056+E2056+F2056+G2056+H2056+I2056</f>
        <v>4557</v>
      </c>
      <c r="D2056" s="48">
        <f>D2058</f>
        <v>2509</v>
      </c>
      <c r="E2056" s="48">
        <f t="shared" si="394"/>
        <v>249</v>
      </c>
      <c r="F2056" s="48">
        <f t="shared" si="394"/>
        <v>249</v>
      </c>
      <c r="G2056" s="48">
        <f t="shared" si="394"/>
        <v>1550</v>
      </c>
      <c r="H2056" s="48">
        <f t="shared" si="394"/>
        <v>0</v>
      </c>
      <c r="I2056" s="48">
        <f t="shared" si="394"/>
        <v>0</v>
      </c>
    </row>
    <row r="2057" spans="1:13" s="236" customFormat="1" ht="94.5" customHeight="1" x14ac:dyDescent="0.3">
      <c r="A2057" s="481" t="s">
        <v>795</v>
      </c>
      <c r="B2057" s="482" t="s">
        <v>32</v>
      </c>
      <c r="C2057" s="206">
        <f t="shared" ref="C2057:C2058" si="395">D2057+E2057+F2057+G2057+H2057+I2057</f>
        <v>4557</v>
      </c>
      <c r="D2057" s="206">
        <v>2509</v>
      </c>
      <c r="E2057" s="483">
        <v>249</v>
      </c>
      <c r="F2057" s="206">
        <v>249</v>
      </c>
      <c r="G2057" s="206">
        <v>1550</v>
      </c>
      <c r="H2057" s="206">
        <v>0</v>
      </c>
      <c r="I2057" s="206">
        <v>0</v>
      </c>
      <c r="J2057" s="1022" t="s">
        <v>796</v>
      </c>
      <c r="K2057" s="1067"/>
      <c r="L2057" s="1067"/>
      <c r="M2057" s="1067"/>
    </row>
    <row r="2058" spans="1:13" s="105" customFormat="1" x14ac:dyDescent="0.3">
      <c r="A2058" s="484"/>
      <c r="B2058" s="70" t="s">
        <v>33</v>
      </c>
      <c r="C2058" s="108">
        <f t="shared" si="395"/>
        <v>4557</v>
      </c>
      <c r="D2058" s="108">
        <v>2509</v>
      </c>
      <c r="E2058" s="485">
        <v>249</v>
      </c>
      <c r="F2058" s="108">
        <v>249</v>
      </c>
      <c r="G2058" s="108">
        <v>1550</v>
      </c>
      <c r="H2058" s="108">
        <v>0</v>
      </c>
      <c r="I2058" s="108">
        <v>0</v>
      </c>
      <c r="J2058" s="1068"/>
      <c r="K2058" s="1067"/>
      <c r="L2058" s="1067"/>
      <c r="M2058" s="1067"/>
    </row>
    <row r="2059" spans="1:13" ht="12.9" x14ac:dyDescent="0.35">
      <c r="A2059" s="54" t="s">
        <v>40</v>
      </c>
      <c r="B2059" s="35" t="s">
        <v>32</v>
      </c>
      <c r="C2059" s="48">
        <f t="shared" si="391"/>
        <v>8080.63</v>
      </c>
      <c r="D2059" s="48">
        <f t="shared" si="392"/>
        <v>977.25</v>
      </c>
      <c r="E2059" s="48">
        <f t="shared" si="392"/>
        <v>6472</v>
      </c>
      <c r="F2059" s="48">
        <f t="shared" si="392"/>
        <v>0</v>
      </c>
      <c r="G2059" s="48">
        <f t="shared" si="392"/>
        <v>0</v>
      </c>
      <c r="H2059" s="48">
        <f t="shared" si="392"/>
        <v>0</v>
      </c>
      <c r="I2059" s="48">
        <f t="shared" si="392"/>
        <v>631.38</v>
      </c>
    </row>
    <row r="2060" spans="1:13" ht="12.9" x14ac:dyDescent="0.35">
      <c r="A2060" s="43"/>
      <c r="B2060" s="38" t="s">
        <v>33</v>
      </c>
      <c r="C2060" s="48">
        <f t="shared" si="391"/>
        <v>8080.63</v>
      </c>
      <c r="D2060" s="48">
        <f t="shared" si="392"/>
        <v>977.25</v>
      </c>
      <c r="E2060" s="48">
        <f t="shared" si="392"/>
        <v>6472</v>
      </c>
      <c r="F2060" s="48">
        <f t="shared" si="392"/>
        <v>0</v>
      </c>
      <c r="G2060" s="48">
        <f t="shared" si="392"/>
        <v>0</v>
      </c>
      <c r="H2060" s="48">
        <f t="shared" si="392"/>
        <v>0</v>
      </c>
      <c r="I2060" s="48">
        <f t="shared" si="392"/>
        <v>631.38</v>
      </c>
    </row>
    <row r="2061" spans="1:13" x14ac:dyDescent="0.3">
      <c r="A2061" s="58" t="s">
        <v>53</v>
      </c>
      <c r="B2061" s="47" t="s">
        <v>32</v>
      </c>
      <c r="C2061" s="48">
        <f t="shared" si="391"/>
        <v>8080.63</v>
      </c>
      <c r="D2061" s="48">
        <f t="shared" si="392"/>
        <v>977.25</v>
      </c>
      <c r="E2061" s="41">
        <f t="shared" si="392"/>
        <v>6472</v>
      </c>
      <c r="F2061" s="48">
        <f t="shared" si="392"/>
        <v>0</v>
      </c>
      <c r="G2061" s="48">
        <f t="shared" si="392"/>
        <v>0</v>
      </c>
      <c r="H2061" s="48">
        <f t="shared" si="392"/>
        <v>0</v>
      </c>
      <c r="I2061" s="48">
        <f t="shared" si="392"/>
        <v>631.38</v>
      </c>
    </row>
    <row r="2062" spans="1:13" x14ac:dyDescent="0.3">
      <c r="A2062" s="63"/>
      <c r="B2062" s="53" t="s">
        <v>33</v>
      </c>
      <c r="C2062" s="48">
        <f t="shared" si="391"/>
        <v>8080.63</v>
      </c>
      <c r="D2062" s="48">
        <f t="shared" si="392"/>
        <v>977.25</v>
      </c>
      <c r="E2062" s="41">
        <f t="shared" si="392"/>
        <v>6472</v>
      </c>
      <c r="F2062" s="48">
        <f t="shared" si="392"/>
        <v>0</v>
      </c>
      <c r="G2062" s="48">
        <f t="shared" si="392"/>
        <v>0</v>
      </c>
      <c r="H2062" s="48">
        <f t="shared" si="392"/>
        <v>0</v>
      </c>
      <c r="I2062" s="48">
        <f t="shared" si="392"/>
        <v>631.38</v>
      </c>
    </row>
    <row r="2063" spans="1:13" s="14" customFormat="1" x14ac:dyDescent="0.3">
      <c r="A2063" s="149" t="s">
        <v>45</v>
      </c>
      <c r="B2063" s="12" t="s">
        <v>32</v>
      </c>
      <c r="C2063" s="36">
        <f t="shared" si="391"/>
        <v>8080.63</v>
      </c>
      <c r="D2063" s="36">
        <f t="shared" si="392"/>
        <v>977.25</v>
      </c>
      <c r="E2063" s="36">
        <f t="shared" si="392"/>
        <v>6472</v>
      </c>
      <c r="F2063" s="36">
        <f t="shared" si="392"/>
        <v>0</v>
      </c>
      <c r="G2063" s="36">
        <f t="shared" si="392"/>
        <v>0</v>
      </c>
      <c r="H2063" s="36">
        <f t="shared" si="392"/>
        <v>0</v>
      </c>
      <c r="I2063" s="36">
        <f t="shared" si="392"/>
        <v>631.38</v>
      </c>
    </row>
    <row r="2064" spans="1:13" s="14" customFormat="1" x14ac:dyDescent="0.3">
      <c r="A2064" s="19"/>
      <c r="B2064" s="23" t="s">
        <v>33</v>
      </c>
      <c r="C2064" s="36">
        <f t="shared" si="391"/>
        <v>8080.63</v>
      </c>
      <c r="D2064" s="36">
        <f t="shared" si="392"/>
        <v>977.25</v>
      </c>
      <c r="E2064" s="36">
        <f t="shared" si="392"/>
        <v>6472</v>
      </c>
      <c r="F2064" s="36">
        <f t="shared" si="392"/>
        <v>0</v>
      </c>
      <c r="G2064" s="36">
        <f t="shared" si="392"/>
        <v>0</v>
      </c>
      <c r="H2064" s="36">
        <f t="shared" si="392"/>
        <v>0</v>
      </c>
      <c r="I2064" s="36">
        <f t="shared" si="392"/>
        <v>631.38</v>
      </c>
    </row>
    <row r="2065" spans="1:10" x14ac:dyDescent="0.3">
      <c r="A2065" s="113" t="s">
        <v>226</v>
      </c>
      <c r="B2065" s="74" t="s">
        <v>32</v>
      </c>
      <c r="C2065" s="48">
        <f t="shared" si="391"/>
        <v>8080.63</v>
      </c>
      <c r="D2065" s="48">
        <f>D2067+D2069+D2071+D2073+D2075+D2077+D2079+D2081+D2083+D2085+D2087+D2089+D2091+D2093+D2095+D2097+D2099+D2101+D2103+D2105+D2107+D2109+D2111+D2113+D2115+D2117+D2119+D2121+D2123+D2125+D2127+D2129+D2131+D2133+D2135</f>
        <v>977.25</v>
      </c>
      <c r="E2065" s="48">
        <f t="shared" ref="E2065:I2066" si="396">E2067+E2069+E2071+E2073+E2075+E2077+E2079+E2081+E2083+E2085+E2087+E2089+E2091+E2093+E2095+E2097+E2099+E2101+E2103+E2105+E2107+E2109+E2111+E2113+E2115+E2117+E2119+E2121+E2123+E2125+E2127+E2129+E2131+E2133+E2135</f>
        <v>6472</v>
      </c>
      <c r="F2065" s="48">
        <f t="shared" si="396"/>
        <v>0</v>
      </c>
      <c r="G2065" s="48">
        <f t="shared" si="396"/>
        <v>0</v>
      </c>
      <c r="H2065" s="48">
        <f t="shared" si="396"/>
        <v>0</v>
      </c>
      <c r="I2065" s="48">
        <f t="shared" si="396"/>
        <v>631.38</v>
      </c>
    </row>
    <row r="2066" spans="1:10" x14ac:dyDescent="0.3">
      <c r="A2066" s="63"/>
      <c r="B2066" s="53" t="s">
        <v>33</v>
      </c>
      <c r="C2066" s="48">
        <f t="shared" si="391"/>
        <v>8080.63</v>
      </c>
      <c r="D2066" s="48">
        <f>D2068+D2070+D2072+D2074+D2076+D2078+D2080+D2082+D2084+D2086+D2088+D2090+D2092+D2094+D2096+D2098+D2100+D2102+D2104+D2106+D2108+D2110+D2112+D2114+D2116+D2118+D2120+D2122+D2124+D2126+D2128+D2130+D2132+D2134+D2136</f>
        <v>977.25</v>
      </c>
      <c r="E2066" s="48">
        <f t="shared" si="396"/>
        <v>6472</v>
      </c>
      <c r="F2066" s="48">
        <f t="shared" si="396"/>
        <v>0</v>
      </c>
      <c r="G2066" s="48">
        <f t="shared" si="396"/>
        <v>0</v>
      </c>
      <c r="H2066" s="48">
        <f t="shared" si="396"/>
        <v>0</v>
      </c>
      <c r="I2066" s="48">
        <f t="shared" si="396"/>
        <v>631.38</v>
      </c>
    </row>
    <row r="2067" spans="1:10" s="100" customFormat="1" ht="37.299999999999997" x14ac:dyDescent="0.3">
      <c r="A2067" s="182" t="s">
        <v>797</v>
      </c>
      <c r="B2067" s="150" t="s">
        <v>32</v>
      </c>
      <c r="C2067" s="97">
        <f t="shared" si="391"/>
        <v>26</v>
      </c>
      <c r="D2067" s="97">
        <f>D2068</f>
        <v>26</v>
      </c>
      <c r="E2067" s="97">
        <v>0</v>
      </c>
      <c r="F2067" s="97">
        <v>0</v>
      </c>
      <c r="G2067" s="97">
        <v>0</v>
      </c>
      <c r="H2067" s="97">
        <v>0</v>
      </c>
      <c r="I2067" s="97">
        <v>0</v>
      </c>
      <c r="J2067" s="96"/>
    </row>
    <row r="2068" spans="1:10" s="100" customFormat="1" x14ac:dyDescent="0.3">
      <c r="A2068" s="180"/>
      <c r="B2068" s="99" t="s">
        <v>33</v>
      </c>
      <c r="C2068" s="97">
        <f t="shared" si="391"/>
        <v>26</v>
      </c>
      <c r="D2068" s="97">
        <v>26</v>
      </c>
      <c r="E2068" s="97">
        <v>0</v>
      </c>
      <c r="F2068" s="97">
        <v>0</v>
      </c>
      <c r="G2068" s="97">
        <v>0</v>
      </c>
      <c r="H2068" s="97">
        <v>0</v>
      </c>
      <c r="I2068" s="97">
        <v>0</v>
      </c>
      <c r="J2068" s="96"/>
    </row>
    <row r="2069" spans="1:10" s="260" customFormat="1" ht="37.299999999999997" x14ac:dyDescent="0.3">
      <c r="A2069" s="182" t="s">
        <v>798</v>
      </c>
      <c r="B2069" s="150" t="s">
        <v>32</v>
      </c>
      <c r="C2069" s="179">
        <f t="shared" si="391"/>
        <v>74</v>
      </c>
      <c r="D2069" s="97">
        <f>D2070</f>
        <v>74</v>
      </c>
      <c r="E2069" s="97">
        <v>0</v>
      </c>
      <c r="F2069" s="97">
        <v>0</v>
      </c>
      <c r="G2069" s="97">
        <v>0</v>
      </c>
      <c r="H2069" s="97">
        <v>0</v>
      </c>
      <c r="I2069" s="97">
        <v>0</v>
      </c>
      <c r="J2069" s="68"/>
    </row>
    <row r="2070" spans="1:10" s="260" customFormat="1" x14ac:dyDescent="0.3">
      <c r="A2070" s="180"/>
      <c r="B2070" s="99" t="s">
        <v>33</v>
      </c>
      <c r="C2070" s="179">
        <f t="shared" si="391"/>
        <v>74</v>
      </c>
      <c r="D2070" s="97">
        <v>74</v>
      </c>
      <c r="E2070" s="97">
        <v>0</v>
      </c>
      <c r="F2070" s="97">
        <v>0</v>
      </c>
      <c r="G2070" s="97">
        <v>0</v>
      </c>
      <c r="H2070" s="97">
        <v>0</v>
      </c>
      <c r="I2070" s="97">
        <v>0</v>
      </c>
      <c r="J2070" s="78"/>
    </row>
    <row r="2071" spans="1:10" s="100" customFormat="1" ht="37.299999999999997" x14ac:dyDescent="0.3">
      <c r="A2071" s="182" t="s">
        <v>799</v>
      </c>
      <c r="B2071" s="150" t="s">
        <v>32</v>
      </c>
      <c r="C2071" s="97">
        <f t="shared" si="391"/>
        <v>120</v>
      </c>
      <c r="D2071" s="97">
        <f>D2072</f>
        <v>38</v>
      </c>
      <c r="E2071" s="183">
        <v>0</v>
      </c>
      <c r="F2071" s="183">
        <v>0</v>
      </c>
      <c r="G2071" s="183">
        <v>0</v>
      </c>
      <c r="H2071" s="183">
        <v>0</v>
      </c>
      <c r="I2071" s="183">
        <f>I2072</f>
        <v>82</v>
      </c>
      <c r="J2071" s="96"/>
    </row>
    <row r="2072" spans="1:10" s="100" customFormat="1" x14ac:dyDescent="0.3">
      <c r="A2072" s="180"/>
      <c r="B2072" s="99" t="s">
        <v>33</v>
      </c>
      <c r="C2072" s="97">
        <f t="shared" si="391"/>
        <v>120</v>
      </c>
      <c r="D2072" s="97">
        <v>38</v>
      </c>
      <c r="E2072" s="97">
        <v>0</v>
      </c>
      <c r="F2072" s="97">
        <v>0</v>
      </c>
      <c r="G2072" s="97">
        <v>0</v>
      </c>
      <c r="H2072" s="97">
        <v>0</v>
      </c>
      <c r="I2072" s="97">
        <f>120-38</f>
        <v>82</v>
      </c>
      <c r="J2072" s="96"/>
    </row>
    <row r="2073" spans="1:10" s="100" customFormat="1" ht="37.299999999999997" x14ac:dyDescent="0.3">
      <c r="A2073" s="182" t="s">
        <v>800</v>
      </c>
      <c r="B2073" s="150" t="s">
        <v>32</v>
      </c>
      <c r="C2073" s="97">
        <f t="shared" si="391"/>
        <v>400</v>
      </c>
      <c r="D2073" s="97">
        <f>D2074</f>
        <v>37</v>
      </c>
      <c r="E2073" s="97">
        <f>E2074</f>
        <v>0</v>
      </c>
      <c r="F2073" s="97">
        <v>0</v>
      </c>
      <c r="G2073" s="97">
        <v>0</v>
      </c>
      <c r="H2073" s="97">
        <v>0</v>
      </c>
      <c r="I2073" s="97">
        <f>I2074</f>
        <v>363</v>
      </c>
      <c r="J2073" s="96"/>
    </row>
    <row r="2074" spans="1:10" s="100" customFormat="1" x14ac:dyDescent="0.3">
      <c r="A2074" s="180"/>
      <c r="B2074" s="99" t="s">
        <v>33</v>
      </c>
      <c r="C2074" s="97">
        <f t="shared" si="391"/>
        <v>400</v>
      </c>
      <c r="D2074" s="97">
        <v>37</v>
      </c>
      <c r="E2074" s="97">
        <v>0</v>
      </c>
      <c r="F2074" s="97">
        <v>0</v>
      </c>
      <c r="G2074" s="97">
        <v>0</v>
      </c>
      <c r="H2074" s="97">
        <v>0</v>
      </c>
      <c r="I2074" s="97">
        <f>400-37</f>
        <v>363</v>
      </c>
      <c r="J2074" s="96"/>
    </row>
    <row r="2075" spans="1:10" s="486" customFormat="1" ht="51.75" customHeight="1" x14ac:dyDescent="0.3">
      <c r="A2075" s="182" t="s">
        <v>801</v>
      </c>
      <c r="B2075" s="150" t="s">
        <v>32</v>
      </c>
      <c r="C2075" s="97">
        <f>D2075+E2075+F2075+G2075+H2075+I2075</f>
        <v>60</v>
      </c>
      <c r="D2075" s="97">
        <f>20+40</f>
        <v>60</v>
      </c>
      <c r="E2075" s="97">
        <v>0</v>
      </c>
      <c r="F2075" s="97">
        <v>0</v>
      </c>
      <c r="G2075" s="97">
        <v>0</v>
      </c>
      <c r="H2075" s="97">
        <v>0</v>
      </c>
      <c r="I2075" s="97">
        <v>0</v>
      </c>
      <c r="J2075" s="100"/>
    </row>
    <row r="2076" spans="1:10" s="486" customFormat="1" x14ac:dyDescent="0.3">
      <c r="A2076" s="487"/>
      <c r="B2076" s="99" t="s">
        <v>33</v>
      </c>
      <c r="C2076" s="97">
        <f t="shared" si="391"/>
        <v>60</v>
      </c>
      <c r="D2076" s="97">
        <f>20+40</f>
        <v>60</v>
      </c>
      <c r="E2076" s="97">
        <v>0</v>
      </c>
      <c r="F2076" s="97">
        <v>0</v>
      </c>
      <c r="G2076" s="97">
        <v>0</v>
      </c>
      <c r="H2076" s="97">
        <v>0</v>
      </c>
      <c r="I2076" s="97">
        <v>0</v>
      </c>
      <c r="J2076" s="100"/>
    </row>
    <row r="2077" spans="1:10" s="93" customFormat="1" ht="49.75" x14ac:dyDescent="0.3">
      <c r="A2077" s="91" t="s">
        <v>802</v>
      </c>
      <c r="B2077" s="488" t="s">
        <v>32</v>
      </c>
      <c r="C2077" s="81">
        <f t="shared" si="391"/>
        <v>14</v>
      </c>
      <c r="D2077" s="81">
        <v>10</v>
      </c>
      <c r="E2077" s="81">
        <v>0</v>
      </c>
      <c r="F2077" s="81">
        <v>0</v>
      </c>
      <c r="G2077" s="81">
        <v>0</v>
      </c>
      <c r="H2077" s="81">
        <v>0</v>
      </c>
      <c r="I2077" s="81">
        <f>14-10</f>
        <v>4</v>
      </c>
    </row>
    <row r="2078" spans="1:10" s="131" customFormat="1" ht="12.9" x14ac:dyDescent="0.35">
      <c r="A2078" s="94"/>
      <c r="B2078" s="95" t="s">
        <v>33</v>
      </c>
      <c r="C2078" s="97">
        <f t="shared" si="391"/>
        <v>14</v>
      </c>
      <c r="D2078" s="97">
        <v>10</v>
      </c>
      <c r="E2078" s="97">
        <v>0</v>
      </c>
      <c r="F2078" s="97">
        <v>0</v>
      </c>
      <c r="G2078" s="97">
        <v>0</v>
      </c>
      <c r="H2078" s="97">
        <v>0</v>
      </c>
      <c r="I2078" s="97">
        <f>14-10</f>
        <v>4</v>
      </c>
    </row>
    <row r="2079" spans="1:10" s="105" customFormat="1" ht="49.75" x14ac:dyDescent="0.3">
      <c r="A2079" s="489" t="s">
        <v>803</v>
      </c>
      <c r="B2079" s="488" t="s">
        <v>32</v>
      </c>
      <c r="C2079" s="81">
        <f t="shared" si="391"/>
        <v>27</v>
      </c>
      <c r="D2079" s="81">
        <v>13.1</v>
      </c>
      <c r="E2079" s="81">
        <v>0</v>
      </c>
      <c r="F2079" s="81">
        <v>0</v>
      </c>
      <c r="G2079" s="81">
        <v>0</v>
      </c>
      <c r="H2079" s="81">
        <v>0</v>
      </c>
      <c r="I2079" s="81">
        <f>27-13.1</f>
        <v>13.9</v>
      </c>
    </row>
    <row r="2080" spans="1:10" s="105" customFormat="1" x14ac:dyDescent="0.3">
      <c r="A2080" s="490"/>
      <c r="B2080" s="95" t="s">
        <v>33</v>
      </c>
      <c r="C2080" s="81">
        <f t="shared" si="391"/>
        <v>27</v>
      </c>
      <c r="D2080" s="81">
        <v>13.1</v>
      </c>
      <c r="E2080" s="81">
        <v>0</v>
      </c>
      <c r="F2080" s="81">
        <v>0</v>
      </c>
      <c r="G2080" s="81">
        <v>0</v>
      </c>
      <c r="H2080" s="81">
        <v>0</v>
      </c>
      <c r="I2080" s="81">
        <f>27-13.1</f>
        <v>13.9</v>
      </c>
    </row>
    <row r="2081" spans="1:9" s="105" customFormat="1" ht="49.75" x14ac:dyDescent="0.3">
      <c r="A2081" s="491" t="s">
        <v>804</v>
      </c>
      <c r="B2081" s="421" t="s">
        <v>32</v>
      </c>
      <c r="C2081" s="108">
        <f t="shared" si="391"/>
        <v>114</v>
      </c>
      <c r="D2081" s="108">
        <v>46.5</v>
      </c>
      <c r="E2081" s="108">
        <v>0</v>
      </c>
      <c r="F2081" s="108">
        <v>0</v>
      </c>
      <c r="G2081" s="108">
        <v>0</v>
      </c>
      <c r="H2081" s="108">
        <v>0</v>
      </c>
      <c r="I2081" s="108">
        <f>114-46.5</f>
        <v>67.5</v>
      </c>
    </row>
    <row r="2082" spans="1:9" s="105" customFormat="1" x14ac:dyDescent="0.3">
      <c r="A2082" s="484"/>
      <c r="B2082" s="70" t="s">
        <v>33</v>
      </c>
      <c r="C2082" s="108">
        <f t="shared" si="391"/>
        <v>114</v>
      </c>
      <c r="D2082" s="108">
        <v>46.5</v>
      </c>
      <c r="E2082" s="108">
        <v>0</v>
      </c>
      <c r="F2082" s="108">
        <v>0</v>
      </c>
      <c r="G2082" s="108">
        <v>0</v>
      </c>
      <c r="H2082" s="108">
        <v>0</v>
      </c>
      <c r="I2082" s="108">
        <f>114-46.5</f>
        <v>67.5</v>
      </c>
    </row>
    <row r="2083" spans="1:9" s="105" customFormat="1" ht="49.75" x14ac:dyDescent="0.3">
      <c r="A2083" s="491" t="s">
        <v>805</v>
      </c>
      <c r="B2083" s="421" t="s">
        <v>32</v>
      </c>
      <c r="C2083" s="108">
        <f t="shared" si="391"/>
        <v>77</v>
      </c>
      <c r="D2083" s="108">
        <v>35.5</v>
      </c>
      <c r="E2083" s="485">
        <v>0</v>
      </c>
      <c r="F2083" s="108">
        <v>0</v>
      </c>
      <c r="G2083" s="108">
        <v>0</v>
      </c>
      <c r="H2083" s="108">
        <v>0</v>
      </c>
      <c r="I2083" s="108">
        <f>77-35.5</f>
        <v>41.5</v>
      </c>
    </row>
    <row r="2084" spans="1:9" s="147" customFormat="1" x14ac:dyDescent="0.3">
      <c r="A2084" s="396"/>
      <c r="B2084" s="44" t="s">
        <v>33</v>
      </c>
      <c r="C2084" s="143">
        <f t="shared" si="391"/>
        <v>77</v>
      </c>
      <c r="D2084" s="143">
        <v>35.5</v>
      </c>
      <c r="E2084" s="492">
        <v>0</v>
      </c>
      <c r="F2084" s="143">
        <v>0</v>
      </c>
      <c r="G2084" s="143">
        <v>0</v>
      </c>
      <c r="H2084" s="143">
        <v>0</v>
      </c>
      <c r="I2084" s="143">
        <f>77-35.5</f>
        <v>41.5</v>
      </c>
    </row>
    <row r="2085" spans="1:9" s="78" customFormat="1" ht="51" customHeight="1" x14ac:dyDescent="0.3">
      <c r="A2085" s="322" t="s">
        <v>806</v>
      </c>
      <c r="B2085" s="421" t="s">
        <v>32</v>
      </c>
      <c r="C2085" s="108">
        <f t="shared" si="391"/>
        <v>65</v>
      </c>
      <c r="D2085" s="108">
        <v>59</v>
      </c>
      <c r="E2085" s="485">
        <v>0</v>
      </c>
      <c r="F2085" s="108">
        <v>0</v>
      </c>
      <c r="G2085" s="108">
        <v>0</v>
      </c>
      <c r="H2085" s="108">
        <v>0</v>
      </c>
      <c r="I2085" s="108">
        <f>65-59</f>
        <v>6</v>
      </c>
    </row>
    <row r="2086" spans="1:9" s="147" customFormat="1" x14ac:dyDescent="0.3">
      <c r="A2086" s="396"/>
      <c r="B2086" s="44" t="s">
        <v>33</v>
      </c>
      <c r="C2086" s="143">
        <f t="shared" si="391"/>
        <v>65</v>
      </c>
      <c r="D2086" s="143">
        <v>59</v>
      </c>
      <c r="E2086" s="492">
        <v>0</v>
      </c>
      <c r="F2086" s="143">
        <v>0</v>
      </c>
      <c r="G2086" s="143">
        <v>0</v>
      </c>
      <c r="H2086" s="143">
        <v>0</v>
      </c>
      <c r="I2086" s="143">
        <f>65-59</f>
        <v>6</v>
      </c>
    </row>
    <row r="2087" spans="1:9" s="147" customFormat="1" ht="37.299999999999997" x14ac:dyDescent="0.3">
      <c r="A2087" s="493" t="s">
        <v>807</v>
      </c>
      <c r="B2087" s="110" t="s">
        <v>32</v>
      </c>
      <c r="C2087" s="108">
        <f t="shared" si="391"/>
        <v>6.5</v>
      </c>
      <c r="D2087" s="108">
        <v>6.5</v>
      </c>
      <c r="E2087" s="108">
        <v>0</v>
      </c>
      <c r="F2087" s="108">
        <v>0</v>
      </c>
      <c r="G2087" s="108">
        <v>0</v>
      </c>
      <c r="H2087" s="108">
        <v>0</v>
      </c>
      <c r="I2087" s="108">
        <v>0</v>
      </c>
    </row>
    <row r="2088" spans="1:9" s="100" customFormat="1" x14ac:dyDescent="0.3">
      <c r="A2088" s="172"/>
      <c r="B2088" s="70" t="s">
        <v>33</v>
      </c>
      <c r="C2088" s="108">
        <f t="shared" si="391"/>
        <v>6.5</v>
      </c>
      <c r="D2088" s="108">
        <v>6.5</v>
      </c>
      <c r="E2088" s="108">
        <v>0</v>
      </c>
      <c r="F2088" s="108">
        <v>0</v>
      </c>
      <c r="G2088" s="108">
        <v>0</v>
      </c>
      <c r="H2088" s="108">
        <v>0</v>
      </c>
      <c r="I2088" s="108">
        <v>0</v>
      </c>
    </row>
    <row r="2089" spans="1:9" s="105" customFormat="1" ht="49.75" x14ac:dyDescent="0.3">
      <c r="A2089" s="494" t="s">
        <v>808</v>
      </c>
      <c r="B2089" s="110" t="s">
        <v>32</v>
      </c>
      <c r="C2089" s="108">
        <f t="shared" si="391"/>
        <v>42.25</v>
      </c>
      <c r="D2089" s="108">
        <v>42.25</v>
      </c>
      <c r="E2089" s="108">
        <v>0</v>
      </c>
      <c r="F2089" s="108">
        <v>0</v>
      </c>
      <c r="G2089" s="108">
        <v>0</v>
      </c>
      <c r="H2089" s="108">
        <v>0</v>
      </c>
      <c r="I2089" s="108">
        <v>0</v>
      </c>
    </row>
    <row r="2090" spans="1:9" s="96" customFormat="1" x14ac:dyDescent="0.3">
      <c r="A2090" s="172"/>
      <c r="B2090" s="70" t="s">
        <v>33</v>
      </c>
      <c r="C2090" s="108">
        <f t="shared" si="391"/>
        <v>42.25</v>
      </c>
      <c r="D2090" s="108">
        <v>42.25</v>
      </c>
      <c r="E2090" s="108">
        <v>0</v>
      </c>
      <c r="F2090" s="108">
        <v>0</v>
      </c>
      <c r="G2090" s="108">
        <v>0</v>
      </c>
      <c r="H2090" s="108">
        <v>0</v>
      </c>
      <c r="I2090" s="108">
        <v>0</v>
      </c>
    </row>
    <row r="2091" spans="1:9" s="105" customFormat="1" ht="74.599999999999994" x14ac:dyDescent="0.3">
      <c r="A2091" s="494" t="s">
        <v>809</v>
      </c>
      <c r="B2091" s="110" t="s">
        <v>32</v>
      </c>
      <c r="C2091" s="108">
        <f t="shared" si="391"/>
        <v>33.92</v>
      </c>
      <c r="D2091" s="108">
        <v>33.92</v>
      </c>
      <c r="E2091" s="108">
        <v>0</v>
      </c>
      <c r="F2091" s="108">
        <v>0</v>
      </c>
      <c r="G2091" s="108">
        <v>0</v>
      </c>
      <c r="H2091" s="108">
        <v>0</v>
      </c>
      <c r="I2091" s="108">
        <v>0</v>
      </c>
    </row>
    <row r="2092" spans="1:9" s="96" customFormat="1" x14ac:dyDescent="0.3">
      <c r="A2092" s="186"/>
      <c r="B2092" s="95" t="s">
        <v>33</v>
      </c>
      <c r="C2092" s="81">
        <f t="shared" si="391"/>
        <v>33.92</v>
      </c>
      <c r="D2092" s="81">
        <v>33.92</v>
      </c>
      <c r="E2092" s="81">
        <v>0</v>
      </c>
      <c r="F2092" s="81">
        <v>0</v>
      </c>
      <c r="G2092" s="81">
        <v>0</v>
      </c>
      <c r="H2092" s="81">
        <v>0</v>
      </c>
      <c r="I2092" s="81">
        <v>0</v>
      </c>
    </row>
    <row r="2093" spans="1:9" s="105" customFormat="1" ht="49.75" x14ac:dyDescent="0.3">
      <c r="A2093" s="494" t="s">
        <v>810</v>
      </c>
      <c r="B2093" s="110" t="s">
        <v>32</v>
      </c>
      <c r="C2093" s="108">
        <f t="shared" si="391"/>
        <v>16.66</v>
      </c>
      <c r="D2093" s="108">
        <v>16.66</v>
      </c>
      <c r="E2093" s="108">
        <v>0</v>
      </c>
      <c r="F2093" s="108">
        <v>0</v>
      </c>
      <c r="G2093" s="108">
        <v>0</v>
      </c>
      <c r="H2093" s="108">
        <v>0</v>
      </c>
      <c r="I2093" s="108">
        <v>0</v>
      </c>
    </row>
    <row r="2094" spans="1:9" s="96" customFormat="1" x14ac:dyDescent="0.3">
      <c r="A2094" s="186"/>
      <c r="B2094" s="95" t="s">
        <v>33</v>
      </c>
      <c r="C2094" s="81">
        <f t="shared" si="391"/>
        <v>16.66</v>
      </c>
      <c r="D2094" s="81">
        <v>16.66</v>
      </c>
      <c r="E2094" s="81">
        <v>0</v>
      </c>
      <c r="F2094" s="81">
        <v>0</v>
      </c>
      <c r="G2094" s="81">
        <v>0</v>
      </c>
      <c r="H2094" s="81">
        <v>0</v>
      </c>
      <c r="I2094" s="81">
        <v>0</v>
      </c>
    </row>
    <row r="2095" spans="1:9" s="105" customFormat="1" ht="49.75" x14ac:dyDescent="0.3">
      <c r="A2095" s="494" t="s">
        <v>811</v>
      </c>
      <c r="B2095" s="110" t="s">
        <v>32</v>
      </c>
      <c r="C2095" s="108">
        <f t="shared" si="391"/>
        <v>31</v>
      </c>
      <c r="D2095" s="108">
        <v>31</v>
      </c>
      <c r="E2095" s="108">
        <v>0</v>
      </c>
      <c r="F2095" s="108">
        <v>0</v>
      </c>
      <c r="G2095" s="108">
        <v>0</v>
      </c>
      <c r="H2095" s="108">
        <v>0</v>
      </c>
      <c r="I2095" s="108">
        <v>0</v>
      </c>
    </row>
    <row r="2096" spans="1:9" s="96" customFormat="1" x14ac:dyDescent="0.3">
      <c r="A2096" s="186"/>
      <c r="B2096" s="95" t="s">
        <v>33</v>
      </c>
      <c r="C2096" s="81">
        <f t="shared" si="391"/>
        <v>31</v>
      </c>
      <c r="D2096" s="81">
        <v>31</v>
      </c>
      <c r="E2096" s="81">
        <v>0</v>
      </c>
      <c r="F2096" s="81">
        <v>0</v>
      </c>
      <c r="G2096" s="81">
        <v>0</v>
      </c>
      <c r="H2096" s="81">
        <v>0</v>
      </c>
      <c r="I2096" s="81">
        <v>0</v>
      </c>
    </row>
    <row r="2097" spans="1:9" s="93" customFormat="1" ht="37.299999999999997" x14ac:dyDescent="0.3">
      <c r="A2097" s="494" t="s">
        <v>812</v>
      </c>
      <c r="B2097" s="92" t="s">
        <v>32</v>
      </c>
      <c r="C2097" s="81">
        <f t="shared" si="391"/>
        <v>95.3</v>
      </c>
      <c r="D2097" s="81">
        <v>83.3</v>
      </c>
      <c r="E2097" s="81">
        <v>12</v>
      </c>
      <c r="F2097" s="81">
        <v>0</v>
      </c>
      <c r="G2097" s="81">
        <v>0</v>
      </c>
      <c r="H2097" s="81">
        <v>0</v>
      </c>
      <c r="I2097" s="81">
        <v>0</v>
      </c>
    </row>
    <row r="2098" spans="1:9" s="96" customFormat="1" x14ac:dyDescent="0.3">
      <c r="A2098" s="186"/>
      <c r="B2098" s="95" t="s">
        <v>33</v>
      </c>
      <c r="C2098" s="81">
        <f t="shared" si="391"/>
        <v>95.3</v>
      </c>
      <c r="D2098" s="81">
        <v>83.3</v>
      </c>
      <c r="E2098" s="81">
        <v>12</v>
      </c>
      <c r="F2098" s="81">
        <v>0</v>
      </c>
      <c r="G2098" s="81">
        <v>0</v>
      </c>
      <c r="H2098" s="81">
        <v>0</v>
      </c>
      <c r="I2098" s="81">
        <v>0</v>
      </c>
    </row>
    <row r="2099" spans="1:9" s="105" customFormat="1" ht="74.599999999999994" x14ac:dyDescent="0.3">
      <c r="A2099" s="493" t="s">
        <v>813</v>
      </c>
      <c r="B2099" s="110" t="s">
        <v>32</v>
      </c>
      <c r="C2099" s="108">
        <f t="shared" si="391"/>
        <v>2.6</v>
      </c>
      <c r="D2099" s="108">
        <v>2.6</v>
      </c>
      <c r="E2099" s="108">
        <v>0</v>
      </c>
      <c r="F2099" s="108">
        <v>0</v>
      </c>
      <c r="G2099" s="108">
        <v>0</v>
      </c>
      <c r="H2099" s="108">
        <v>0</v>
      </c>
      <c r="I2099" s="108">
        <v>0</v>
      </c>
    </row>
    <row r="2100" spans="1:9" s="100" customFormat="1" x14ac:dyDescent="0.3">
      <c r="A2100" s="186"/>
      <c r="B2100" s="95" t="s">
        <v>33</v>
      </c>
      <c r="C2100" s="81">
        <f t="shared" si="391"/>
        <v>2.6</v>
      </c>
      <c r="D2100" s="81">
        <v>2.6</v>
      </c>
      <c r="E2100" s="81">
        <v>0</v>
      </c>
      <c r="F2100" s="81">
        <v>0</v>
      </c>
      <c r="G2100" s="81">
        <v>0</v>
      </c>
      <c r="H2100" s="81">
        <v>0</v>
      </c>
      <c r="I2100" s="81">
        <v>0</v>
      </c>
    </row>
    <row r="2101" spans="1:9" s="93" customFormat="1" ht="37.299999999999997" x14ac:dyDescent="0.3">
      <c r="A2101" s="494" t="s">
        <v>814</v>
      </c>
      <c r="B2101" s="92" t="s">
        <v>32</v>
      </c>
      <c r="C2101" s="81">
        <f t="shared" si="391"/>
        <v>152.34</v>
      </c>
      <c r="D2101" s="81">
        <v>152.34</v>
      </c>
      <c r="E2101" s="81">
        <v>0</v>
      </c>
      <c r="F2101" s="81">
        <v>0</v>
      </c>
      <c r="G2101" s="81">
        <v>0</v>
      </c>
      <c r="H2101" s="81">
        <v>0</v>
      </c>
      <c r="I2101" s="81">
        <v>0</v>
      </c>
    </row>
    <row r="2102" spans="1:9" s="96" customFormat="1" x14ac:dyDescent="0.3">
      <c r="A2102" s="186"/>
      <c r="B2102" s="95" t="s">
        <v>33</v>
      </c>
      <c r="C2102" s="81">
        <f t="shared" si="391"/>
        <v>152.34</v>
      </c>
      <c r="D2102" s="81">
        <v>152.34</v>
      </c>
      <c r="E2102" s="81">
        <v>0</v>
      </c>
      <c r="F2102" s="81">
        <v>0</v>
      </c>
      <c r="G2102" s="81">
        <v>0</v>
      </c>
      <c r="H2102" s="81">
        <v>0</v>
      </c>
      <c r="I2102" s="81">
        <v>0</v>
      </c>
    </row>
    <row r="2103" spans="1:9" s="93" customFormat="1" ht="53.25" customHeight="1" x14ac:dyDescent="0.3">
      <c r="A2103" s="494" t="s">
        <v>815</v>
      </c>
      <c r="B2103" s="92" t="s">
        <v>32</v>
      </c>
      <c r="C2103" s="81">
        <f t="shared" si="391"/>
        <v>48.79</v>
      </c>
      <c r="D2103" s="81">
        <v>48.79</v>
      </c>
      <c r="E2103" s="81">
        <v>0</v>
      </c>
      <c r="F2103" s="81">
        <v>0</v>
      </c>
      <c r="G2103" s="81">
        <v>0</v>
      </c>
      <c r="H2103" s="81">
        <v>0</v>
      </c>
      <c r="I2103" s="81">
        <v>0</v>
      </c>
    </row>
    <row r="2104" spans="1:9" s="100" customFormat="1" x14ac:dyDescent="0.3">
      <c r="A2104" s="141"/>
      <c r="B2104" s="99" t="s">
        <v>33</v>
      </c>
      <c r="C2104" s="97">
        <f t="shared" si="391"/>
        <v>48.79</v>
      </c>
      <c r="D2104" s="97">
        <v>48.79</v>
      </c>
      <c r="E2104" s="97">
        <v>0</v>
      </c>
      <c r="F2104" s="97">
        <v>0</v>
      </c>
      <c r="G2104" s="97">
        <v>0</v>
      </c>
      <c r="H2104" s="97">
        <v>0</v>
      </c>
      <c r="I2104" s="97">
        <v>0</v>
      </c>
    </row>
    <row r="2105" spans="1:9" s="147" customFormat="1" ht="51.75" customHeight="1" x14ac:dyDescent="0.3">
      <c r="A2105" s="495" t="s">
        <v>816</v>
      </c>
      <c r="B2105" s="146" t="s">
        <v>32</v>
      </c>
      <c r="C2105" s="143">
        <f t="shared" si="391"/>
        <v>102</v>
      </c>
      <c r="D2105" s="143">
        <v>0</v>
      </c>
      <c r="E2105" s="143">
        <v>102</v>
      </c>
      <c r="F2105" s="143">
        <v>0</v>
      </c>
      <c r="G2105" s="143">
        <v>0</v>
      </c>
      <c r="H2105" s="143">
        <v>0</v>
      </c>
      <c r="I2105" s="143">
        <v>0</v>
      </c>
    </row>
    <row r="2106" spans="1:9" s="100" customFormat="1" x14ac:dyDescent="0.3">
      <c r="A2106" s="141"/>
      <c r="B2106" s="99" t="s">
        <v>33</v>
      </c>
      <c r="C2106" s="97">
        <f t="shared" si="391"/>
        <v>102</v>
      </c>
      <c r="D2106" s="97">
        <v>0</v>
      </c>
      <c r="E2106" s="97">
        <v>102</v>
      </c>
      <c r="F2106" s="97">
        <v>0</v>
      </c>
      <c r="G2106" s="97">
        <v>0</v>
      </c>
      <c r="H2106" s="97">
        <v>0</v>
      </c>
      <c r="I2106" s="97">
        <v>0</v>
      </c>
    </row>
    <row r="2107" spans="1:9" s="105" customFormat="1" ht="89.25" customHeight="1" x14ac:dyDescent="0.3">
      <c r="A2107" s="494" t="s">
        <v>817</v>
      </c>
      <c r="B2107" s="110" t="s">
        <v>32</v>
      </c>
      <c r="C2107" s="108">
        <f t="shared" si="391"/>
        <v>1.1200000000000001</v>
      </c>
      <c r="D2107" s="108">
        <v>1.1200000000000001</v>
      </c>
      <c r="E2107" s="108">
        <v>0</v>
      </c>
      <c r="F2107" s="108">
        <v>0</v>
      </c>
      <c r="G2107" s="108">
        <v>0</v>
      </c>
      <c r="H2107" s="108">
        <v>0</v>
      </c>
      <c r="I2107" s="108">
        <v>0</v>
      </c>
    </row>
    <row r="2108" spans="1:9" s="100" customFormat="1" x14ac:dyDescent="0.3">
      <c r="A2108" s="141"/>
      <c r="B2108" s="142" t="s">
        <v>33</v>
      </c>
      <c r="C2108" s="143">
        <f t="shared" si="391"/>
        <v>1.1200000000000001</v>
      </c>
      <c r="D2108" s="143">
        <v>1.1200000000000001</v>
      </c>
      <c r="E2108" s="143">
        <v>0</v>
      </c>
      <c r="F2108" s="143">
        <v>0</v>
      </c>
      <c r="G2108" s="143">
        <v>0</v>
      </c>
      <c r="H2108" s="143">
        <v>0</v>
      </c>
      <c r="I2108" s="143">
        <v>0</v>
      </c>
    </row>
    <row r="2109" spans="1:9" s="147" customFormat="1" ht="129.75" customHeight="1" x14ac:dyDescent="0.3">
      <c r="A2109" s="495" t="s">
        <v>818</v>
      </c>
      <c r="B2109" s="146" t="s">
        <v>32</v>
      </c>
      <c r="C2109" s="143">
        <f t="shared" si="391"/>
        <v>1157</v>
      </c>
      <c r="D2109" s="143">
        <v>0</v>
      </c>
      <c r="E2109" s="143">
        <v>1157</v>
      </c>
      <c r="F2109" s="143">
        <v>0</v>
      </c>
      <c r="G2109" s="143">
        <v>0</v>
      </c>
      <c r="H2109" s="143">
        <v>0</v>
      </c>
      <c r="I2109" s="143">
        <v>0</v>
      </c>
    </row>
    <row r="2110" spans="1:9" s="100" customFormat="1" x14ac:dyDescent="0.3">
      <c r="A2110" s="180"/>
      <c r="B2110" s="99" t="s">
        <v>33</v>
      </c>
      <c r="C2110" s="97">
        <f t="shared" si="391"/>
        <v>1157</v>
      </c>
      <c r="D2110" s="97">
        <v>0</v>
      </c>
      <c r="E2110" s="97">
        <v>1157</v>
      </c>
      <c r="F2110" s="97">
        <v>0</v>
      </c>
      <c r="G2110" s="97">
        <v>0</v>
      </c>
      <c r="H2110" s="97">
        <v>0</v>
      </c>
      <c r="I2110" s="97">
        <v>0</v>
      </c>
    </row>
    <row r="2111" spans="1:9" s="147" customFormat="1" ht="55.5" customHeight="1" x14ac:dyDescent="0.3">
      <c r="A2111" s="491" t="s">
        <v>819</v>
      </c>
      <c r="B2111" s="146" t="s">
        <v>32</v>
      </c>
      <c r="C2111" s="143">
        <f t="shared" si="391"/>
        <v>351.40999999999997</v>
      </c>
      <c r="D2111" s="143">
        <v>43.41</v>
      </c>
      <c r="E2111" s="97">
        <f>290+18</f>
        <v>308</v>
      </c>
      <c r="F2111" s="143">
        <v>0</v>
      </c>
      <c r="G2111" s="143">
        <v>0</v>
      </c>
      <c r="H2111" s="143">
        <v>0</v>
      </c>
      <c r="I2111" s="143">
        <v>0</v>
      </c>
    </row>
    <row r="2112" spans="1:9" s="100" customFormat="1" x14ac:dyDescent="0.3">
      <c r="A2112" s="180"/>
      <c r="B2112" s="99" t="s">
        <v>33</v>
      </c>
      <c r="C2112" s="97">
        <f t="shared" si="391"/>
        <v>351.40999999999997</v>
      </c>
      <c r="D2112" s="97">
        <v>43.41</v>
      </c>
      <c r="E2112" s="97">
        <f>290+18</f>
        <v>308</v>
      </c>
      <c r="F2112" s="97">
        <v>0</v>
      </c>
      <c r="G2112" s="97">
        <v>0</v>
      </c>
      <c r="H2112" s="97">
        <v>0</v>
      </c>
      <c r="I2112" s="97">
        <v>0</v>
      </c>
    </row>
    <row r="2113" spans="1:10" s="131" customFormat="1" ht="27.75" customHeight="1" x14ac:dyDescent="0.3">
      <c r="A2113" s="115" t="s">
        <v>820</v>
      </c>
      <c r="B2113" s="150" t="s">
        <v>32</v>
      </c>
      <c r="C2113" s="97">
        <f t="shared" si="391"/>
        <v>98</v>
      </c>
      <c r="D2113" s="97">
        <v>58</v>
      </c>
      <c r="E2113" s="97">
        <v>0</v>
      </c>
      <c r="F2113" s="97">
        <v>0</v>
      </c>
      <c r="G2113" s="97">
        <v>0</v>
      </c>
      <c r="H2113" s="97">
        <v>0</v>
      </c>
      <c r="I2113" s="97">
        <f>98-58</f>
        <v>40</v>
      </c>
    </row>
    <row r="2114" spans="1:10" s="100" customFormat="1" x14ac:dyDescent="0.3">
      <c r="A2114" s="180"/>
      <c r="B2114" s="99" t="s">
        <v>33</v>
      </c>
      <c r="C2114" s="97">
        <f t="shared" si="391"/>
        <v>98</v>
      </c>
      <c r="D2114" s="97">
        <v>58</v>
      </c>
      <c r="E2114" s="97">
        <v>0</v>
      </c>
      <c r="F2114" s="97">
        <v>0</v>
      </c>
      <c r="G2114" s="97">
        <v>0</v>
      </c>
      <c r="H2114" s="97">
        <v>0</v>
      </c>
      <c r="I2114" s="97">
        <f>98-58</f>
        <v>40</v>
      </c>
    </row>
    <row r="2115" spans="1:10" s="105" customFormat="1" ht="38.25" customHeight="1" x14ac:dyDescent="0.3">
      <c r="A2115" s="496" t="s">
        <v>821</v>
      </c>
      <c r="B2115" s="92" t="s">
        <v>32</v>
      </c>
      <c r="C2115" s="81">
        <f t="shared" ref="C2115:C2120" si="397">D2115+E2115+F2115+G2115+H2115+I2115</f>
        <v>70</v>
      </c>
      <c r="D2115" s="81">
        <v>56.52</v>
      </c>
      <c r="E2115" s="81">
        <v>0</v>
      </c>
      <c r="F2115" s="81">
        <v>0</v>
      </c>
      <c r="G2115" s="81">
        <v>0</v>
      </c>
      <c r="H2115" s="81">
        <v>0</v>
      </c>
      <c r="I2115" s="81">
        <f>70-56.52</f>
        <v>13.479999999999997</v>
      </c>
    </row>
    <row r="2116" spans="1:10" s="100" customFormat="1" x14ac:dyDescent="0.3">
      <c r="A2116" s="180"/>
      <c r="B2116" s="99" t="s">
        <v>33</v>
      </c>
      <c r="C2116" s="97">
        <f t="shared" si="397"/>
        <v>70</v>
      </c>
      <c r="D2116" s="97">
        <v>56.52</v>
      </c>
      <c r="E2116" s="97">
        <v>0</v>
      </c>
      <c r="F2116" s="97">
        <v>0</v>
      </c>
      <c r="G2116" s="97">
        <v>0</v>
      </c>
      <c r="H2116" s="97">
        <v>0</v>
      </c>
      <c r="I2116" s="97">
        <f>70-56.52</f>
        <v>13.479999999999997</v>
      </c>
    </row>
    <row r="2117" spans="1:10" s="105" customFormat="1" ht="27" customHeight="1" x14ac:dyDescent="0.3">
      <c r="A2117" s="496" t="s">
        <v>822</v>
      </c>
      <c r="B2117" s="92" t="s">
        <v>32</v>
      </c>
      <c r="C2117" s="81">
        <f t="shared" si="397"/>
        <v>3340</v>
      </c>
      <c r="D2117" s="81">
        <v>0</v>
      </c>
      <c r="E2117" s="81">
        <v>3340</v>
      </c>
      <c r="F2117" s="81">
        <v>0</v>
      </c>
      <c r="G2117" s="81">
        <v>0</v>
      </c>
      <c r="H2117" s="81">
        <v>0</v>
      </c>
      <c r="I2117" s="81">
        <v>0</v>
      </c>
    </row>
    <row r="2118" spans="1:10" s="96" customFormat="1" x14ac:dyDescent="0.3">
      <c r="A2118" s="186"/>
      <c r="B2118" s="95" t="s">
        <v>33</v>
      </c>
      <c r="C2118" s="81">
        <f t="shared" si="397"/>
        <v>3340</v>
      </c>
      <c r="D2118" s="81">
        <v>0</v>
      </c>
      <c r="E2118" s="81">
        <v>3340</v>
      </c>
      <c r="F2118" s="81">
        <v>0</v>
      </c>
      <c r="G2118" s="81">
        <v>0</v>
      </c>
      <c r="H2118" s="81">
        <v>0</v>
      </c>
      <c r="I2118" s="81">
        <v>0</v>
      </c>
    </row>
    <row r="2119" spans="1:10" s="147" customFormat="1" ht="53.25" customHeight="1" x14ac:dyDescent="0.3">
      <c r="A2119" s="491" t="s">
        <v>823</v>
      </c>
      <c r="B2119" s="146" t="s">
        <v>32</v>
      </c>
      <c r="C2119" s="143">
        <f t="shared" si="397"/>
        <v>1.74</v>
      </c>
      <c r="D2119" s="143">
        <v>1.74</v>
      </c>
      <c r="E2119" s="143">
        <v>0</v>
      </c>
      <c r="F2119" s="143">
        <v>0</v>
      </c>
      <c r="G2119" s="143">
        <v>0</v>
      </c>
      <c r="H2119" s="143">
        <v>0</v>
      </c>
      <c r="I2119" s="143">
        <v>0</v>
      </c>
    </row>
    <row r="2120" spans="1:10" s="100" customFormat="1" x14ac:dyDescent="0.3">
      <c r="A2120" s="180"/>
      <c r="B2120" s="99" t="s">
        <v>33</v>
      </c>
      <c r="C2120" s="97">
        <f t="shared" si="397"/>
        <v>1.74</v>
      </c>
      <c r="D2120" s="97">
        <v>1.74</v>
      </c>
      <c r="E2120" s="97">
        <v>0</v>
      </c>
      <c r="F2120" s="97">
        <v>0</v>
      </c>
      <c r="G2120" s="97">
        <v>0</v>
      </c>
      <c r="H2120" s="97">
        <v>0</v>
      </c>
      <c r="I2120" s="97">
        <v>0</v>
      </c>
    </row>
    <row r="2121" spans="1:10" s="131" customFormat="1" ht="74.599999999999994" x14ac:dyDescent="0.3">
      <c r="A2121" s="109" t="s">
        <v>824</v>
      </c>
      <c r="B2121" s="497" t="s">
        <v>32</v>
      </c>
      <c r="C2121" s="97">
        <f>D2121+E2121+F2121+G2121+H2121+I2121</f>
        <v>853</v>
      </c>
      <c r="D2121" s="97">
        <v>0</v>
      </c>
      <c r="E2121" s="183">
        <v>853</v>
      </c>
      <c r="F2121" s="183">
        <v>0</v>
      </c>
      <c r="G2121" s="183">
        <v>0</v>
      </c>
      <c r="H2121" s="183">
        <v>0</v>
      </c>
      <c r="I2121" s="183">
        <v>0</v>
      </c>
    </row>
    <row r="2122" spans="1:10" s="260" customFormat="1" x14ac:dyDescent="0.3">
      <c r="A2122" s="180"/>
      <c r="B2122" s="381" t="s">
        <v>33</v>
      </c>
      <c r="C2122" s="179">
        <f t="shared" ref="C2122:C2136" si="398">D2122+E2122+F2122+G2122+H2122+I2122</f>
        <v>853</v>
      </c>
      <c r="D2122" s="179">
        <v>0</v>
      </c>
      <c r="E2122" s="498">
        <v>853</v>
      </c>
      <c r="F2122" s="499">
        <v>0</v>
      </c>
      <c r="G2122" s="499">
        <v>0</v>
      </c>
      <c r="H2122" s="499">
        <v>0</v>
      </c>
      <c r="I2122" s="499">
        <v>0</v>
      </c>
    </row>
    <row r="2123" spans="1:10" s="147" customFormat="1" ht="49.75" x14ac:dyDescent="0.3">
      <c r="A2123" s="109" t="s">
        <v>825</v>
      </c>
      <c r="B2123" s="380" t="s">
        <v>32</v>
      </c>
      <c r="C2123" s="143">
        <f t="shared" si="398"/>
        <v>12</v>
      </c>
      <c r="D2123" s="143">
        <v>0</v>
      </c>
      <c r="E2123" s="498">
        <v>12</v>
      </c>
      <c r="F2123" s="498">
        <v>0</v>
      </c>
      <c r="G2123" s="498">
        <v>0</v>
      </c>
      <c r="H2123" s="498">
        <v>0</v>
      </c>
      <c r="I2123" s="498">
        <v>0</v>
      </c>
      <c r="J2123" s="105"/>
    </row>
    <row r="2124" spans="1:10" s="502" customFormat="1" x14ac:dyDescent="0.3">
      <c r="A2124" s="141"/>
      <c r="B2124" s="500" t="s">
        <v>33</v>
      </c>
      <c r="C2124" s="143">
        <f t="shared" si="398"/>
        <v>12</v>
      </c>
      <c r="D2124" s="143">
        <v>0</v>
      </c>
      <c r="E2124" s="498">
        <v>12</v>
      </c>
      <c r="F2124" s="498">
        <v>0</v>
      </c>
      <c r="G2124" s="498">
        <v>0</v>
      </c>
      <c r="H2124" s="498">
        <v>0</v>
      </c>
      <c r="I2124" s="498">
        <v>0</v>
      </c>
      <c r="J2124" s="501"/>
    </row>
    <row r="2125" spans="1:10" s="147" customFormat="1" ht="39" customHeight="1" x14ac:dyDescent="0.3">
      <c r="A2125" s="109" t="s">
        <v>826</v>
      </c>
      <c r="B2125" s="146" t="s">
        <v>32</v>
      </c>
      <c r="C2125" s="143">
        <f t="shared" si="398"/>
        <v>12</v>
      </c>
      <c r="D2125" s="143">
        <v>0</v>
      </c>
      <c r="E2125" s="143">
        <v>12</v>
      </c>
      <c r="F2125" s="143">
        <v>0</v>
      </c>
      <c r="G2125" s="143">
        <v>0</v>
      </c>
      <c r="H2125" s="143">
        <v>0</v>
      </c>
      <c r="I2125" s="143">
        <v>0</v>
      </c>
      <c r="J2125" s="105"/>
    </row>
    <row r="2126" spans="1:10" s="502" customFormat="1" x14ac:dyDescent="0.3">
      <c r="A2126" s="503"/>
      <c r="B2126" s="99" t="s">
        <v>33</v>
      </c>
      <c r="C2126" s="97">
        <f t="shared" si="398"/>
        <v>12</v>
      </c>
      <c r="D2126" s="97">
        <v>0</v>
      </c>
      <c r="E2126" s="97">
        <v>12</v>
      </c>
      <c r="F2126" s="97">
        <v>0</v>
      </c>
      <c r="G2126" s="97">
        <v>0</v>
      </c>
      <c r="H2126" s="97">
        <v>0</v>
      </c>
      <c r="I2126" s="97">
        <v>0</v>
      </c>
      <c r="J2126" s="501"/>
    </row>
    <row r="2127" spans="1:10" s="105" customFormat="1" ht="54" customHeight="1" x14ac:dyDescent="0.3">
      <c r="A2127" s="315" t="s">
        <v>827</v>
      </c>
      <c r="B2127" s="110" t="s">
        <v>32</v>
      </c>
      <c r="C2127" s="108">
        <f t="shared" si="398"/>
        <v>300</v>
      </c>
      <c r="D2127" s="108">
        <v>0</v>
      </c>
      <c r="E2127" s="108">
        <v>300</v>
      </c>
      <c r="F2127" s="108">
        <v>0</v>
      </c>
      <c r="G2127" s="108">
        <v>0</v>
      </c>
      <c r="H2127" s="108">
        <v>0</v>
      </c>
      <c r="I2127" s="108">
        <v>0</v>
      </c>
    </row>
    <row r="2128" spans="1:10" s="502" customFormat="1" x14ac:dyDescent="0.3">
      <c r="A2128" s="503"/>
      <c r="B2128" s="99" t="s">
        <v>33</v>
      </c>
      <c r="C2128" s="97">
        <f t="shared" si="398"/>
        <v>300</v>
      </c>
      <c r="D2128" s="97">
        <v>0</v>
      </c>
      <c r="E2128" s="97">
        <v>300</v>
      </c>
      <c r="F2128" s="97">
        <v>0</v>
      </c>
      <c r="G2128" s="97">
        <v>0</v>
      </c>
      <c r="H2128" s="97">
        <v>0</v>
      </c>
      <c r="I2128" s="97">
        <v>0</v>
      </c>
      <c r="J2128" s="501"/>
    </row>
    <row r="2129" spans="1:10" s="105" customFormat="1" ht="53.25" customHeight="1" x14ac:dyDescent="0.3">
      <c r="A2129" s="227" t="s">
        <v>828</v>
      </c>
      <c r="B2129" s="110" t="s">
        <v>32</v>
      </c>
      <c r="C2129" s="108">
        <f t="shared" si="398"/>
        <v>100</v>
      </c>
      <c r="D2129" s="108">
        <v>0</v>
      </c>
      <c r="E2129" s="108">
        <v>100</v>
      </c>
      <c r="F2129" s="108">
        <v>0</v>
      </c>
      <c r="G2129" s="108">
        <v>0</v>
      </c>
      <c r="H2129" s="108">
        <v>0</v>
      </c>
      <c r="I2129" s="108">
        <v>0</v>
      </c>
    </row>
    <row r="2130" spans="1:10" s="502" customFormat="1" x14ac:dyDescent="0.3">
      <c r="A2130" s="503"/>
      <c r="B2130" s="99" t="s">
        <v>33</v>
      </c>
      <c r="C2130" s="97">
        <f t="shared" si="398"/>
        <v>100</v>
      </c>
      <c r="D2130" s="97">
        <v>0</v>
      </c>
      <c r="E2130" s="97">
        <v>100</v>
      </c>
      <c r="F2130" s="97">
        <v>0</v>
      </c>
      <c r="G2130" s="97">
        <v>0</v>
      </c>
      <c r="H2130" s="97">
        <v>0</v>
      </c>
      <c r="I2130" s="97">
        <v>0</v>
      </c>
      <c r="J2130" s="501"/>
    </row>
    <row r="2131" spans="1:10" s="147" customFormat="1" ht="53.25" customHeight="1" x14ac:dyDescent="0.3">
      <c r="A2131" s="227" t="s">
        <v>829</v>
      </c>
      <c r="B2131" s="146" t="s">
        <v>32</v>
      </c>
      <c r="C2131" s="143">
        <f t="shared" si="398"/>
        <v>60</v>
      </c>
      <c r="D2131" s="143">
        <v>0</v>
      </c>
      <c r="E2131" s="143">
        <v>60</v>
      </c>
      <c r="F2131" s="143">
        <v>0</v>
      </c>
      <c r="G2131" s="143">
        <v>0</v>
      </c>
      <c r="H2131" s="143">
        <v>0</v>
      </c>
      <c r="I2131" s="143">
        <v>0</v>
      </c>
      <c r="J2131" s="105"/>
    </row>
    <row r="2132" spans="1:10" s="502" customFormat="1" x14ac:dyDescent="0.3">
      <c r="A2132" s="503"/>
      <c r="B2132" s="99" t="s">
        <v>33</v>
      </c>
      <c r="C2132" s="97">
        <f t="shared" si="398"/>
        <v>60</v>
      </c>
      <c r="D2132" s="97">
        <v>0</v>
      </c>
      <c r="E2132" s="97">
        <v>60</v>
      </c>
      <c r="F2132" s="97">
        <v>0</v>
      </c>
      <c r="G2132" s="97">
        <v>0</v>
      </c>
      <c r="H2132" s="97">
        <v>0</v>
      </c>
      <c r="I2132" s="97">
        <v>0</v>
      </c>
      <c r="J2132" s="501"/>
    </row>
    <row r="2133" spans="1:10" s="147" customFormat="1" ht="54" customHeight="1" x14ac:dyDescent="0.3">
      <c r="A2133" s="504" t="s">
        <v>830</v>
      </c>
      <c r="B2133" s="146" t="s">
        <v>32</v>
      </c>
      <c r="C2133" s="143">
        <f t="shared" si="398"/>
        <v>99</v>
      </c>
      <c r="D2133" s="143">
        <v>0</v>
      </c>
      <c r="E2133" s="143">
        <v>99</v>
      </c>
      <c r="F2133" s="143">
        <v>0</v>
      </c>
      <c r="G2133" s="143">
        <v>0</v>
      </c>
      <c r="H2133" s="143">
        <v>0</v>
      </c>
      <c r="I2133" s="143">
        <v>0</v>
      </c>
      <c r="J2133" s="105"/>
    </row>
    <row r="2134" spans="1:10" s="502" customFormat="1" x14ac:dyDescent="0.3">
      <c r="A2134" s="503"/>
      <c r="B2134" s="99" t="s">
        <v>33</v>
      </c>
      <c r="C2134" s="97">
        <f t="shared" si="398"/>
        <v>99</v>
      </c>
      <c r="D2134" s="97">
        <v>0</v>
      </c>
      <c r="E2134" s="97">
        <v>99</v>
      </c>
      <c r="F2134" s="97">
        <v>0</v>
      </c>
      <c r="G2134" s="97">
        <v>0</v>
      </c>
      <c r="H2134" s="97">
        <v>0</v>
      </c>
      <c r="I2134" s="97">
        <v>0</v>
      </c>
      <c r="J2134" s="501"/>
    </row>
    <row r="2135" spans="1:10" s="147" customFormat="1" ht="51.75" customHeight="1" x14ac:dyDescent="0.3">
      <c r="A2135" s="504" t="s">
        <v>831</v>
      </c>
      <c r="B2135" s="146" t="s">
        <v>32</v>
      </c>
      <c r="C2135" s="143">
        <f t="shared" si="398"/>
        <v>117</v>
      </c>
      <c r="D2135" s="143">
        <v>0</v>
      </c>
      <c r="E2135" s="143">
        <v>117</v>
      </c>
      <c r="F2135" s="143">
        <v>0</v>
      </c>
      <c r="G2135" s="143">
        <v>0</v>
      </c>
      <c r="H2135" s="143">
        <v>0</v>
      </c>
      <c r="I2135" s="143">
        <v>0</v>
      </c>
      <c r="J2135" s="105"/>
    </row>
    <row r="2136" spans="1:10" s="502" customFormat="1" ht="14.25" customHeight="1" x14ac:dyDescent="0.3">
      <c r="A2136" s="503"/>
      <c r="B2136" s="99" t="s">
        <v>33</v>
      </c>
      <c r="C2136" s="97">
        <f t="shared" si="398"/>
        <v>117</v>
      </c>
      <c r="D2136" s="97">
        <v>0</v>
      </c>
      <c r="E2136" s="97">
        <v>117</v>
      </c>
      <c r="F2136" s="97">
        <v>0</v>
      </c>
      <c r="G2136" s="97">
        <v>0</v>
      </c>
      <c r="H2136" s="97">
        <v>0</v>
      </c>
      <c r="I2136" s="97">
        <v>0</v>
      </c>
      <c r="J2136" s="501"/>
    </row>
    <row r="2137" spans="1:10" x14ac:dyDescent="0.3">
      <c r="A2137" s="1069" t="s">
        <v>832</v>
      </c>
      <c r="B2137" s="1070"/>
      <c r="C2137" s="1070"/>
      <c r="D2137" s="1070"/>
      <c r="E2137" s="1070"/>
      <c r="F2137" s="1070"/>
      <c r="G2137" s="1070"/>
      <c r="H2137" s="1070"/>
      <c r="I2137" s="1071"/>
    </row>
    <row r="2138" spans="1:10" x14ac:dyDescent="0.3">
      <c r="A2138" s="1010" t="s">
        <v>57</v>
      </c>
      <c r="B2138" s="1011"/>
      <c r="C2138" s="1011"/>
      <c r="D2138" s="1011"/>
      <c r="E2138" s="1011"/>
      <c r="F2138" s="1011"/>
      <c r="G2138" s="1011"/>
      <c r="H2138" s="1011"/>
      <c r="I2138" s="1012"/>
    </row>
    <row r="2139" spans="1:10" x14ac:dyDescent="0.3">
      <c r="A2139" s="257" t="s">
        <v>31</v>
      </c>
      <c r="B2139" s="151" t="s">
        <v>32</v>
      </c>
      <c r="C2139" s="36">
        <f>D2139+E2139+F2139+G2139+H2139+I2139</f>
        <v>257369.13</v>
      </c>
      <c r="D2139" s="36">
        <f t="shared" ref="D2139:I2144" si="399">D2141</f>
        <v>654.95000000000005</v>
      </c>
      <c r="E2139" s="36">
        <f t="shared" si="399"/>
        <v>77165</v>
      </c>
      <c r="F2139" s="36">
        <f t="shared" si="399"/>
        <v>19151.870000000003</v>
      </c>
      <c r="G2139" s="36">
        <f t="shared" si="399"/>
        <v>27111.34</v>
      </c>
      <c r="H2139" s="36">
        <f t="shared" si="399"/>
        <v>0</v>
      </c>
      <c r="I2139" s="36">
        <f t="shared" si="399"/>
        <v>133285.97</v>
      </c>
    </row>
    <row r="2140" spans="1:10" ht="12.9" thickBot="1" x14ac:dyDescent="0.35">
      <c r="A2140" s="505"/>
      <c r="B2140" s="506" t="s">
        <v>33</v>
      </c>
      <c r="C2140" s="36">
        <f>D2140+E2140+F2140+G2140+H2140+I2140</f>
        <v>257369.13</v>
      </c>
      <c r="D2140" s="36">
        <f t="shared" si="399"/>
        <v>654.95000000000005</v>
      </c>
      <c r="E2140" s="36">
        <f t="shared" si="399"/>
        <v>77165</v>
      </c>
      <c r="F2140" s="36">
        <f t="shared" si="399"/>
        <v>19151.870000000003</v>
      </c>
      <c r="G2140" s="36">
        <f t="shared" si="399"/>
        <v>27111.34</v>
      </c>
      <c r="H2140" s="36">
        <f t="shared" si="399"/>
        <v>0</v>
      </c>
      <c r="I2140" s="36">
        <f t="shared" si="399"/>
        <v>133285.97</v>
      </c>
    </row>
    <row r="2141" spans="1:10" x14ac:dyDescent="0.3">
      <c r="A2141" s="34" t="s">
        <v>34</v>
      </c>
      <c r="B2141" s="507" t="s">
        <v>32</v>
      </c>
      <c r="C2141" s="48">
        <f t="shared" ref="C2141:C2146" si="400">D2141+E2141+F2141+G2141+H2141+I2141</f>
        <v>257369.13</v>
      </c>
      <c r="D2141" s="41">
        <f t="shared" si="399"/>
        <v>654.95000000000005</v>
      </c>
      <c r="E2141" s="41">
        <f t="shared" si="399"/>
        <v>77165</v>
      </c>
      <c r="F2141" s="41">
        <f t="shared" si="399"/>
        <v>19151.870000000003</v>
      </c>
      <c r="G2141" s="41">
        <f t="shared" si="399"/>
        <v>27111.34</v>
      </c>
      <c r="H2141" s="41">
        <f t="shared" si="399"/>
        <v>0</v>
      </c>
      <c r="I2141" s="41">
        <f t="shared" si="399"/>
        <v>133285.97</v>
      </c>
    </row>
    <row r="2142" spans="1:10" x14ac:dyDescent="0.3">
      <c r="A2142" s="63" t="s">
        <v>35</v>
      </c>
      <c r="B2142" s="86" t="s">
        <v>33</v>
      </c>
      <c r="C2142" s="48">
        <f t="shared" si="400"/>
        <v>257369.13</v>
      </c>
      <c r="D2142" s="41">
        <f t="shared" si="399"/>
        <v>654.95000000000005</v>
      </c>
      <c r="E2142" s="41">
        <f t="shared" si="399"/>
        <v>77165</v>
      </c>
      <c r="F2142" s="41">
        <f t="shared" si="399"/>
        <v>19151.870000000003</v>
      </c>
      <c r="G2142" s="41">
        <f t="shared" si="399"/>
        <v>27111.34</v>
      </c>
      <c r="H2142" s="41">
        <f t="shared" si="399"/>
        <v>0</v>
      </c>
      <c r="I2142" s="41">
        <f t="shared" si="399"/>
        <v>133285.97</v>
      </c>
    </row>
    <row r="2143" spans="1:10" ht="12.9" x14ac:dyDescent="0.35">
      <c r="A2143" s="54" t="s">
        <v>40</v>
      </c>
      <c r="B2143" s="35" t="s">
        <v>32</v>
      </c>
      <c r="C2143" s="48">
        <f t="shared" si="400"/>
        <v>257369.13</v>
      </c>
      <c r="D2143" s="41">
        <f t="shared" si="399"/>
        <v>654.95000000000005</v>
      </c>
      <c r="E2143" s="41">
        <f t="shared" si="399"/>
        <v>77165</v>
      </c>
      <c r="F2143" s="41">
        <f t="shared" si="399"/>
        <v>19151.870000000003</v>
      </c>
      <c r="G2143" s="41">
        <f t="shared" si="399"/>
        <v>27111.34</v>
      </c>
      <c r="H2143" s="41">
        <f t="shared" si="399"/>
        <v>0</v>
      </c>
      <c r="I2143" s="41">
        <f t="shared" si="399"/>
        <v>133285.97</v>
      </c>
    </row>
    <row r="2144" spans="1:10" ht="12.9" x14ac:dyDescent="0.35">
      <c r="A2144" s="43"/>
      <c r="B2144" s="38" t="s">
        <v>33</v>
      </c>
      <c r="C2144" s="48">
        <f t="shared" si="400"/>
        <v>257369.13</v>
      </c>
      <c r="D2144" s="41">
        <f t="shared" si="399"/>
        <v>654.95000000000005</v>
      </c>
      <c r="E2144" s="41">
        <f t="shared" si="399"/>
        <v>77165</v>
      </c>
      <c r="F2144" s="41">
        <f t="shared" si="399"/>
        <v>19151.870000000003</v>
      </c>
      <c r="G2144" s="41">
        <f t="shared" si="399"/>
        <v>27111.34</v>
      </c>
      <c r="H2144" s="41">
        <f t="shared" si="399"/>
        <v>0</v>
      </c>
      <c r="I2144" s="41">
        <f t="shared" si="399"/>
        <v>133285.97</v>
      </c>
    </row>
    <row r="2145" spans="1:19" ht="12.9" x14ac:dyDescent="0.35">
      <c r="A2145" s="54" t="s">
        <v>55</v>
      </c>
      <c r="B2145" s="507" t="s">
        <v>32</v>
      </c>
      <c r="C2145" s="48">
        <f t="shared" si="400"/>
        <v>257369.13</v>
      </c>
      <c r="D2145" s="41">
        <f>D2154</f>
        <v>654.95000000000005</v>
      </c>
      <c r="E2145" s="41">
        <f t="shared" ref="E2145:I2146" si="401">E2154</f>
        <v>77165</v>
      </c>
      <c r="F2145" s="41">
        <f t="shared" si="401"/>
        <v>19151.870000000003</v>
      </c>
      <c r="G2145" s="41">
        <f t="shared" si="401"/>
        <v>27111.34</v>
      </c>
      <c r="H2145" s="41">
        <f t="shared" si="401"/>
        <v>0</v>
      </c>
      <c r="I2145" s="41">
        <f t="shared" si="401"/>
        <v>133285.97</v>
      </c>
    </row>
    <row r="2146" spans="1:19" ht="12.9" x14ac:dyDescent="0.35">
      <c r="A2146" s="43"/>
      <c r="B2146" s="86" t="s">
        <v>33</v>
      </c>
      <c r="C2146" s="48">
        <f t="shared" si="400"/>
        <v>257369.13</v>
      </c>
      <c r="D2146" s="41">
        <f>D2155</f>
        <v>654.95000000000005</v>
      </c>
      <c r="E2146" s="41">
        <f t="shared" si="401"/>
        <v>77165</v>
      </c>
      <c r="F2146" s="41">
        <f t="shared" si="401"/>
        <v>19151.870000000003</v>
      </c>
      <c r="G2146" s="41">
        <f t="shared" si="401"/>
        <v>27111.34</v>
      </c>
      <c r="H2146" s="41">
        <f t="shared" si="401"/>
        <v>0</v>
      </c>
      <c r="I2146" s="41">
        <f t="shared" si="401"/>
        <v>133285.97</v>
      </c>
    </row>
    <row r="2147" spans="1:19" x14ac:dyDescent="0.3">
      <c r="A2147" s="1041" t="s">
        <v>62</v>
      </c>
      <c r="B2147" s="1042"/>
      <c r="C2147" s="1042"/>
      <c r="D2147" s="1043"/>
      <c r="E2147" s="1043"/>
      <c r="F2147" s="1043"/>
      <c r="G2147" s="1043"/>
      <c r="H2147" s="1043"/>
      <c r="I2147" s="1044"/>
    </row>
    <row r="2148" spans="1:19" x14ac:dyDescent="0.3">
      <c r="A2148" s="508" t="s">
        <v>57</v>
      </c>
      <c r="B2148" s="40" t="s">
        <v>32</v>
      </c>
      <c r="C2148" s="48">
        <f t="shared" ref="C2148:C2159" si="402">D2148+E2148+F2148+G2148+H2148+I2148</f>
        <v>257369.13</v>
      </c>
      <c r="D2148" s="49">
        <f t="shared" ref="D2148:I2153" si="403">D2150</f>
        <v>654.95000000000005</v>
      </c>
      <c r="E2148" s="49">
        <f t="shared" si="403"/>
        <v>77165</v>
      </c>
      <c r="F2148" s="49">
        <f t="shared" si="403"/>
        <v>19151.870000000003</v>
      </c>
      <c r="G2148" s="49">
        <f t="shared" si="403"/>
        <v>27111.34</v>
      </c>
      <c r="H2148" s="49">
        <f t="shared" si="403"/>
        <v>0</v>
      </c>
      <c r="I2148" s="49">
        <f t="shared" si="403"/>
        <v>133285.97</v>
      </c>
      <c r="J2148" s="68"/>
    </row>
    <row r="2149" spans="1:19" x14ac:dyDescent="0.3">
      <c r="A2149" s="130" t="s">
        <v>87</v>
      </c>
      <c r="B2149" s="44" t="s">
        <v>33</v>
      </c>
      <c r="C2149" s="48">
        <f t="shared" si="402"/>
        <v>257369.13</v>
      </c>
      <c r="D2149" s="49">
        <f t="shared" si="403"/>
        <v>654.95000000000005</v>
      </c>
      <c r="E2149" s="49">
        <f t="shared" si="403"/>
        <v>77165</v>
      </c>
      <c r="F2149" s="49">
        <f t="shared" si="403"/>
        <v>19151.870000000003</v>
      </c>
      <c r="G2149" s="49">
        <f t="shared" si="403"/>
        <v>27111.34</v>
      </c>
      <c r="H2149" s="49">
        <f t="shared" si="403"/>
        <v>0</v>
      </c>
      <c r="I2149" s="49">
        <f t="shared" si="403"/>
        <v>133285.97</v>
      </c>
      <c r="J2149" s="68"/>
    </row>
    <row r="2150" spans="1:19" x14ac:dyDescent="0.3">
      <c r="A2150" s="269" t="s">
        <v>34</v>
      </c>
      <c r="B2150" s="44" t="s">
        <v>32</v>
      </c>
      <c r="C2150" s="48">
        <f t="shared" si="402"/>
        <v>257369.13</v>
      </c>
      <c r="D2150" s="49">
        <f t="shared" si="403"/>
        <v>654.95000000000005</v>
      </c>
      <c r="E2150" s="49">
        <f t="shared" si="403"/>
        <v>77165</v>
      </c>
      <c r="F2150" s="49">
        <f t="shared" si="403"/>
        <v>19151.870000000003</v>
      </c>
      <c r="G2150" s="49">
        <f t="shared" si="403"/>
        <v>27111.34</v>
      </c>
      <c r="H2150" s="49">
        <f t="shared" si="403"/>
        <v>0</v>
      </c>
      <c r="I2150" s="49">
        <f t="shared" si="403"/>
        <v>133285.97</v>
      </c>
      <c r="J2150" s="68"/>
    </row>
    <row r="2151" spans="1:19" x14ac:dyDescent="0.3">
      <c r="A2151" s="202" t="s">
        <v>35</v>
      </c>
      <c r="B2151" s="47" t="s">
        <v>33</v>
      </c>
      <c r="C2151" s="48">
        <f t="shared" si="402"/>
        <v>257369.13</v>
      </c>
      <c r="D2151" s="49">
        <f t="shared" si="403"/>
        <v>654.95000000000005</v>
      </c>
      <c r="E2151" s="49">
        <f t="shared" si="403"/>
        <v>77165</v>
      </c>
      <c r="F2151" s="49">
        <f t="shared" si="403"/>
        <v>19151.870000000003</v>
      </c>
      <c r="G2151" s="49">
        <f t="shared" si="403"/>
        <v>27111.34</v>
      </c>
      <c r="H2151" s="49">
        <f t="shared" si="403"/>
        <v>0</v>
      </c>
      <c r="I2151" s="49">
        <f t="shared" si="403"/>
        <v>133285.97</v>
      </c>
      <c r="J2151" s="68"/>
      <c r="Q2151" s="31"/>
    </row>
    <row r="2152" spans="1:19" ht="12.9" x14ac:dyDescent="0.35">
      <c r="A2152" s="54" t="s">
        <v>40</v>
      </c>
      <c r="B2152" s="47" t="s">
        <v>32</v>
      </c>
      <c r="C2152" s="48">
        <f t="shared" si="402"/>
        <v>257369.13</v>
      </c>
      <c r="D2152" s="49">
        <f t="shared" si="403"/>
        <v>654.95000000000005</v>
      </c>
      <c r="E2152" s="48">
        <f t="shared" si="403"/>
        <v>77165</v>
      </c>
      <c r="F2152" s="49">
        <f t="shared" si="403"/>
        <v>19151.870000000003</v>
      </c>
      <c r="G2152" s="49">
        <f t="shared" si="403"/>
        <v>27111.34</v>
      </c>
      <c r="H2152" s="49">
        <f t="shared" si="403"/>
        <v>0</v>
      </c>
      <c r="I2152" s="49">
        <f t="shared" si="403"/>
        <v>133285.97</v>
      </c>
      <c r="J2152" s="68"/>
    </row>
    <row r="2153" spans="1:19" ht="12.9" x14ac:dyDescent="0.35">
      <c r="A2153" s="43"/>
      <c r="B2153" s="53" t="s">
        <v>33</v>
      </c>
      <c r="C2153" s="48">
        <f t="shared" si="402"/>
        <v>257369.13</v>
      </c>
      <c r="D2153" s="49">
        <f t="shared" si="403"/>
        <v>654.95000000000005</v>
      </c>
      <c r="E2153" s="48">
        <f t="shared" si="403"/>
        <v>77165</v>
      </c>
      <c r="F2153" s="49">
        <f t="shared" si="403"/>
        <v>19151.870000000003</v>
      </c>
      <c r="G2153" s="49">
        <f t="shared" si="403"/>
        <v>27111.34</v>
      </c>
      <c r="H2153" s="49">
        <f t="shared" si="403"/>
        <v>0</v>
      </c>
      <c r="I2153" s="49">
        <f t="shared" si="403"/>
        <v>133285.97</v>
      </c>
      <c r="J2153" s="68"/>
    </row>
    <row r="2154" spans="1:19" ht="12.9" x14ac:dyDescent="0.35">
      <c r="A2154" s="54" t="s">
        <v>55</v>
      </c>
      <c r="B2154" s="47" t="s">
        <v>32</v>
      </c>
      <c r="C2154" s="48">
        <f t="shared" si="402"/>
        <v>257369.13</v>
      </c>
      <c r="D2154" s="49">
        <f>D2156+D2158</f>
        <v>654.95000000000005</v>
      </c>
      <c r="E2154" s="49">
        <f t="shared" ref="E2154:I2155" si="404">E2156+E2158</f>
        <v>77165</v>
      </c>
      <c r="F2154" s="49">
        <f t="shared" si="404"/>
        <v>19151.870000000003</v>
      </c>
      <c r="G2154" s="49">
        <f t="shared" si="404"/>
        <v>27111.34</v>
      </c>
      <c r="H2154" s="49">
        <f t="shared" si="404"/>
        <v>0</v>
      </c>
      <c r="I2154" s="49">
        <f t="shared" si="404"/>
        <v>133285.97</v>
      </c>
      <c r="J2154" s="68"/>
      <c r="M2154" s="31"/>
      <c r="N2154" s="31"/>
      <c r="O2154" s="31"/>
      <c r="P2154" s="31"/>
      <c r="Q2154" s="31"/>
    </row>
    <row r="2155" spans="1:19" x14ac:dyDescent="0.3">
      <c r="A2155" s="37"/>
      <c r="B2155" s="53" t="s">
        <v>33</v>
      </c>
      <c r="C2155" s="48">
        <f t="shared" si="402"/>
        <v>257369.13</v>
      </c>
      <c r="D2155" s="49">
        <f>D2157+D2159</f>
        <v>654.95000000000005</v>
      </c>
      <c r="E2155" s="49">
        <f t="shared" si="404"/>
        <v>77165</v>
      </c>
      <c r="F2155" s="49">
        <f t="shared" si="404"/>
        <v>19151.870000000003</v>
      </c>
      <c r="G2155" s="49">
        <f t="shared" si="404"/>
        <v>27111.34</v>
      </c>
      <c r="H2155" s="49">
        <f t="shared" si="404"/>
        <v>0</v>
      </c>
      <c r="I2155" s="49">
        <f t="shared" si="404"/>
        <v>133285.97</v>
      </c>
      <c r="J2155" s="68"/>
    </row>
    <row r="2156" spans="1:19" s="105" customFormat="1" x14ac:dyDescent="0.3">
      <c r="A2156" s="509" t="s">
        <v>833</v>
      </c>
      <c r="B2156" s="110" t="s">
        <v>32</v>
      </c>
      <c r="C2156" s="108">
        <f t="shared" si="402"/>
        <v>212009.08000000002</v>
      </c>
      <c r="D2156" s="108">
        <f>D2157</f>
        <v>654.95000000000005</v>
      </c>
      <c r="E2156" s="108">
        <v>76665</v>
      </c>
      <c r="F2156" s="108">
        <v>701.58</v>
      </c>
      <c r="G2156" s="108">
        <v>701.58</v>
      </c>
      <c r="H2156" s="108">
        <v>0</v>
      </c>
      <c r="I2156" s="108">
        <v>133285.97</v>
      </c>
      <c r="J2156" s="1034" t="s">
        <v>834</v>
      </c>
      <c r="K2156" s="1035"/>
      <c r="L2156" s="1035"/>
      <c r="M2156" s="1035"/>
      <c r="N2156" s="1035"/>
      <c r="O2156" s="1035"/>
      <c r="P2156" s="1035"/>
      <c r="Q2156" s="1035"/>
      <c r="R2156" s="1035"/>
      <c r="S2156" s="1035"/>
    </row>
    <row r="2157" spans="1:19" s="105" customFormat="1" x14ac:dyDescent="0.3">
      <c r="A2157" s="510"/>
      <c r="B2157" s="70" t="s">
        <v>33</v>
      </c>
      <c r="C2157" s="108">
        <f t="shared" si="402"/>
        <v>212009.08000000002</v>
      </c>
      <c r="D2157" s="108">
        <f>264.63+390.32</f>
        <v>654.95000000000005</v>
      </c>
      <c r="E2157" s="108">
        <v>76665</v>
      </c>
      <c r="F2157" s="108">
        <v>701.58</v>
      </c>
      <c r="G2157" s="108">
        <v>701.58</v>
      </c>
      <c r="H2157" s="108">
        <v>0</v>
      </c>
      <c r="I2157" s="108">
        <v>133285.97</v>
      </c>
      <c r="J2157" s="1034"/>
      <c r="K2157" s="1035"/>
      <c r="L2157" s="1035"/>
      <c r="M2157" s="1035"/>
      <c r="N2157" s="1035"/>
      <c r="O2157" s="1035"/>
      <c r="P2157" s="1035"/>
      <c r="Q2157" s="1035"/>
      <c r="R2157" s="1035"/>
      <c r="S2157" s="1035"/>
    </row>
    <row r="2158" spans="1:19" s="105" customFormat="1" ht="42.45" x14ac:dyDescent="0.3">
      <c r="A2158" s="129" t="s">
        <v>835</v>
      </c>
      <c r="B2158" s="110" t="s">
        <v>32</v>
      </c>
      <c r="C2158" s="108">
        <f t="shared" si="402"/>
        <v>45360.05</v>
      </c>
      <c r="D2158" s="108">
        <v>0</v>
      </c>
      <c r="E2158" s="108">
        <v>500</v>
      </c>
      <c r="F2158" s="108">
        <v>18450.29</v>
      </c>
      <c r="G2158" s="108">
        <v>26409.759999999998</v>
      </c>
      <c r="H2158" s="108">
        <v>0</v>
      </c>
      <c r="I2158" s="108">
        <v>0</v>
      </c>
      <c r="J2158" s="1052" t="s">
        <v>836</v>
      </c>
      <c r="K2158" s="1053"/>
      <c r="L2158" s="1053"/>
      <c r="M2158" s="1053"/>
      <c r="N2158" s="1053"/>
      <c r="O2158" s="1053"/>
      <c r="P2158" s="1053"/>
      <c r="Q2158" s="1053"/>
      <c r="R2158" s="1053"/>
      <c r="S2158" s="1053"/>
    </row>
    <row r="2159" spans="1:19" s="105" customFormat="1" x14ac:dyDescent="0.3">
      <c r="A2159" s="510"/>
      <c r="B2159" s="70" t="s">
        <v>33</v>
      </c>
      <c r="C2159" s="108">
        <f t="shared" si="402"/>
        <v>45360.05</v>
      </c>
      <c r="D2159" s="108">
        <v>0</v>
      </c>
      <c r="E2159" s="108">
        <v>500</v>
      </c>
      <c r="F2159" s="108">
        <v>18450.29</v>
      </c>
      <c r="G2159" s="108">
        <v>26409.759999999998</v>
      </c>
      <c r="H2159" s="108">
        <v>0</v>
      </c>
      <c r="I2159" s="108">
        <v>0</v>
      </c>
      <c r="J2159" s="1052"/>
      <c r="K2159" s="1053"/>
      <c r="L2159" s="1053"/>
      <c r="M2159" s="1053"/>
      <c r="N2159" s="1053"/>
      <c r="O2159" s="1053"/>
      <c r="P2159" s="1053"/>
      <c r="Q2159" s="1053"/>
      <c r="R2159" s="1053"/>
      <c r="S2159" s="1053"/>
    </row>
    <row r="2160" spans="1:19" x14ac:dyDescent="0.3">
      <c r="A2160" s="1054" t="s">
        <v>837</v>
      </c>
      <c r="B2160" s="1055"/>
      <c r="C2160" s="1056"/>
      <c r="D2160" s="1055"/>
      <c r="E2160" s="1055"/>
      <c r="F2160" s="1055"/>
      <c r="G2160" s="1055"/>
      <c r="H2160" s="1055"/>
      <c r="I2160" s="1057"/>
    </row>
    <row r="2161" spans="1:9" x14ac:dyDescent="0.3">
      <c r="A2161" s="1058" t="s">
        <v>57</v>
      </c>
      <c r="B2161" s="1059"/>
      <c r="C2161" s="1060"/>
      <c r="D2161" s="1060"/>
      <c r="E2161" s="1060"/>
      <c r="F2161" s="1060"/>
      <c r="G2161" s="1060"/>
      <c r="H2161" s="1060"/>
      <c r="I2161" s="1061"/>
    </row>
    <row r="2162" spans="1:9" x14ac:dyDescent="0.3">
      <c r="A2162" s="257" t="s">
        <v>31</v>
      </c>
      <c r="B2162" s="507" t="s">
        <v>32</v>
      </c>
      <c r="C2162" s="36">
        <f t="shared" ref="C2162:C2183" si="405">D2162+E2162+F2162+G2162+H2162+I2162</f>
        <v>26869.599999999999</v>
      </c>
      <c r="D2162" s="36">
        <f>D2164+D2174</f>
        <v>3245.8900000000003</v>
      </c>
      <c r="E2162" s="36">
        <f t="shared" ref="E2162:I2163" si="406">E2164+E2174</f>
        <v>19732</v>
      </c>
      <c r="F2162" s="36">
        <f t="shared" si="406"/>
        <v>3845.71</v>
      </c>
      <c r="G2162" s="36">
        <f t="shared" si="406"/>
        <v>0</v>
      </c>
      <c r="H2162" s="36">
        <f t="shared" si="406"/>
        <v>0</v>
      </c>
      <c r="I2162" s="36">
        <f t="shared" si="406"/>
        <v>46</v>
      </c>
    </row>
    <row r="2163" spans="1:9" ht="12.9" thickBot="1" x14ac:dyDescent="0.35">
      <c r="A2163" s="505"/>
      <c r="B2163" s="511" t="s">
        <v>33</v>
      </c>
      <c r="C2163" s="36">
        <f t="shared" si="405"/>
        <v>26869.599999999999</v>
      </c>
      <c r="D2163" s="36">
        <f>D2165+D2175</f>
        <v>3245.8900000000003</v>
      </c>
      <c r="E2163" s="36">
        <f t="shared" si="406"/>
        <v>19732</v>
      </c>
      <c r="F2163" s="36">
        <f t="shared" si="406"/>
        <v>3845.71</v>
      </c>
      <c r="G2163" s="36">
        <f t="shared" si="406"/>
        <v>0</v>
      </c>
      <c r="H2163" s="36">
        <f t="shared" si="406"/>
        <v>0</v>
      </c>
      <c r="I2163" s="36">
        <f t="shared" si="406"/>
        <v>46</v>
      </c>
    </row>
    <row r="2164" spans="1:9" x14ac:dyDescent="0.3">
      <c r="A2164" s="34" t="s">
        <v>34</v>
      </c>
      <c r="B2164" s="507" t="s">
        <v>32</v>
      </c>
      <c r="C2164" s="48">
        <f t="shared" si="405"/>
        <v>10415.549999999999</v>
      </c>
      <c r="D2164" s="41">
        <f>D2166</f>
        <v>721.83999999999992</v>
      </c>
      <c r="E2164" s="41">
        <f t="shared" ref="E2164:I2165" si="407">E2166</f>
        <v>6478</v>
      </c>
      <c r="F2164" s="41">
        <f t="shared" si="407"/>
        <v>3215.71</v>
      </c>
      <c r="G2164" s="41">
        <f t="shared" si="407"/>
        <v>0</v>
      </c>
      <c r="H2164" s="41">
        <f t="shared" si="407"/>
        <v>0</v>
      </c>
      <c r="I2164" s="41">
        <f t="shared" si="407"/>
        <v>0</v>
      </c>
    </row>
    <row r="2165" spans="1:9" x14ac:dyDescent="0.3">
      <c r="A2165" s="63" t="s">
        <v>35</v>
      </c>
      <c r="B2165" s="86" t="s">
        <v>33</v>
      </c>
      <c r="C2165" s="48">
        <f t="shared" si="405"/>
        <v>10415.549999999999</v>
      </c>
      <c r="D2165" s="41">
        <f>D2167</f>
        <v>721.83999999999992</v>
      </c>
      <c r="E2165" s="41">
        <f t="shared" si="407"/>
        <v>6478</v>
      </c>
      <c r="F2165" s="41">
        <f t="shared" si="407"/>
        <v>3215.71</v>
      </c>
      <c r="G2165" s="41">
        <f t="shared" si="407"/>
        <v>0</v>
      </c>
      <c r="H2165" s="41">
        <f t="shared" si="407"/>
        <v>0</v>
      </c>
      <c r="I2165" s="41">
        <f t="shared" si="407"/>
        <v>0</v>
      </c>
    </row>
    <row r="2166" spans="1:9" ht="12.9" x14ac:dyDescent="0.35">
      <c r="A2166" s="54" t="s">
        <v>40</v>
      </c>
      <c r="B2166" s="35" t="s">
        <v>32</v>
      </c>
      <c r="C2166" s="48">
        <f t="shared" si="405"/>
        <v>10415.549999999999</v>
      </c>
      <c r="D2166" s="41">
        <f>D2168+D2172</f>
        <v>721.83999999999992</v>
      </c>
      <c r="E2166" s="41">
        <f t="shared" ref="E2166:I2167" si="408">E2168+E2172</f>
        <v>6478</v>
      </c>
      <c r="F2166" s="41">
        <f t="shared" si="408"/>
        <v>3215.71</v>
      </c>
      <c r="G2166" s="41">
        <f t="shared" si="408"/>
        <v>0</v>
      </c>
      <c r="H2166" s="41">
        <f t="shared" si="408"/>
        <v>0</v>
      </c>
      <c r="I2166" s="41">
        <f t="shared" si="408"/>
        <v>0</v>
      </c>
    </row>
    <row r="2167" spans="1:9" ht="12.9" x14ac:dyDescent="0.35">
      <c r="A2167" s="43"/>
      <c r="B2167" s="38" t="s">
        <v>33</v>
      </c>
      <c r="C2167" s="48">
        <f t="shared" si="405"/>
        <v>10415.549999999999</v>
      </c>
      <c r="D2167" s="41">
        <f>D2169+D2173</f>
        <v>721.83999999999992</v>
      </c>
      <c r="E2167" s="41">
        <f t="shared" si="408"/>
        <v>6478</v>
      </c>
      <c r="F2167" s="41">
        <f t="shared" si="408"/>
        <v>3215.71</v>
      </c>
      <c r="G2167" s="41">
        <f t="shared" si="408"/>
        <v>0</v>
      </c>
      <c r="H2167" s="41">
        <f t="shared" si="408"/>
        <v>0</v>
      </c>
      <c r="I2167" s="41">
        <f t="shared" si="408"/>
        <v>0</v>
      </c>
    </row>
    <row r="2168" spans="1:9" x14ac:dyDescent="0.3">
      <c r="A2168" s="389" t="s">
        <v>53</v>
      </c>
      <c r="B2168" s="84" t="s">
        <v>32</v>
      </c>
      <c r="C2168" s="48">
        <f t="shared" si="405"/>
        <v>3211</v>
      </c>
      <c r="D2168" s="41">
        <f>D2170</f>
        <v>155</v>
      </c>
      <c r="E2168" s="41">
        <f t="shared" ref="E2168:I2169" si="409">E2170</f>
        <v>3056</v>
      </c>
      <c r="F2168" s="41">
        <f t="shared" si="409"/>
        <v>0</v>
      </c>
      <c r="G2168" s="41">
        <f t="shared" si="409"/>
        <v>0</v>
      </c>
      <c r="H2168" s="41">
        <f t="shared" si="409"/>
        <v>0</v>
      </c>
      <c r="I2168" s="41">
        <f t="shared" si="409"/>
        <v>0</v>
      </c>
    </row>
    <row r="2169" spans="1:9" x14ac:dyDescent="0.3">
      <c r="A2169" s="63"/>
      <c r="B2169" s="86" t="s">
        <v>33</v>
      </c>
      <c r="C2169" s="48">
        <f t="shared" si="405"/>
        <v>3211</v>
      </c>
      <c r="D2169" s="41">
        <f>D2171</f>
        <v>155</v>
      </c>
      <c r="E2169" s="41">
        <f t="shared" si="409"/>
        <v>3056</v>
      </c>
      <c r="F2169" s="41">
        <f t="shared" si="409"/>
        <v>0</v>
      </c>
      <c r="G2169" s="41">
        <f t="shared" si="409"/>
        <v>0</v>
      </c>
      <c r="H2169" s="41">
        <f t="shared" si="409"/>
        <v>0</v>
      </c>
      <c r="I2169" s="41">
        <f t="shared" si="409"/>
        <v>0</v>
      </c>
    </row>
    <row r="2170" spans="1:9" ht="12.9" x14ac:dyDescent="0.35">
      <c r="A2170" s="54" t="s">
        <v>838</v>
      </c>
      <c r="B2170" s="507" t="s">
        <v>32</v>
      </c>
      <c r="C2170" s="48">
        <f t="shared" si="405"/>
        <v>3211</v>
      </c>
      <c r="D2170" s="41">
        <f>D2191+D2228+D2247+D2270+D2435+D2602</f>
        <v>155</v>
      </c>
      <c r="E2170" s="41">
        <f t="shared" ref="E2170:I2171" si="410">E2191+E2228+E2247+E2270+E2435+E2602</f>
        <v>3056</v>
      </c>
      <c r="F2170" s="41">
        <f t="shared" si="410"/>
        <v>0</v>
      </c>
      <c r="G2170" s="41">
        <f t="shared" si="410"/>
        <v>0</v>
      </c>
      <c r="H2170" s="41">
        <f t="shared" si="410"/>
        <v>0</v>
      </c>
      <c r="I2170" s="41">
        <f t="shared" si="410"/>
        <v>0</v>
      </c>
    </row>
    <row r="2171" spans="1:9" ht="12.9" x14ac:dyDescent="0.35">
      <c r="A2171" s="43"/>
      <c r="B2171" s="86" t="s">
        <v>33</v>
      </c>
      <c r="C2171" s="48">
        <f t="shared" si="405"/>
        <v>3211</v>
      </c>
      <c r="D2171" s="41">
        <f>D2192+D2229+D2248+D2271+D2436+D2603</f>
        <v>155</v>
      </c>
      <c r="E2171" s="41">
        <f t="shared" si="410"/>
        <v>3056</v>
      </c>
      <c r="F2171" s="41">
        <f t="shared" si="410"/>
        <v>0</v>
      </c>
      <c r="G2171" s="41">
        <f t="shared" si="410"/>
        <v>0</v>
      </c>
      <c r="H2171" s="41">
        <f t="shared" si="410"/>
        <v>0</v>
      </c>
      <c r="I2171" s="41">
        <f t="shared" si="410"/>
        <v>0</v>
      </c>
    </row>
    <row r="2172" spans="1:9" ht="12.9" x14ac:dyDescent="0.35">
      <c r="A2172" s="54" t="s">
        <v>55</v>
      </c>
      <c r="B2172" s="507" t="s">
        <v>32</v>
      </c>
      <c r="C2172" s="48">
        <f t="shared" si="405"/>
        <v>7204.55</v>
      </c>
      <c r="D2172" s="41">
        <f t="shared" ref="D2172:I2173" si="411">D2217+D2234+D2253+D2549</f>
        <v>566.83999999999992</v>
      </c>
      <c r="E2172" s="41">
        <f t="shared" si="411"/>
        <v>3422</v>
      </c>
      <c r="F2172" s="41">
        <f t="shared" si="411"/>
        <v>3215.71</v>
      </c>
      <c r="G2172" s="41">
        <f t="shared" si="411"/>
        <v>0</v>
      </c>
      <c r="H2172" s="41">
        <f t="shared" si="411"/>
        <v>0</v>
      </c>
      <c r="I2172" s="41">
        <f t="shared" si="411"/>
        <v>0</v>
      </c>
    </row>
    <row r="2173" spans="1:9" ht="12.9" x14ac:dyDescent="0.35">
      <c r="A2173" s="43"/>
      <c r="B2173" s="86" t="s">
        <v>33</v>
      </c>
      <c r="C2173" s="48">
        <f t="shared" si="405"/>
        <v>7204.55</v>
      </c>
      <c r="D2173" s="41">
        <f t="shared" si="411"/>
        <v>566.83999999999992</v>
      </c>
      <c r="E2173" s="41">
        <f t="shared" si="411"/>
        <v>3422</v>
      </c>
      <c r="F2173" s="41">
        <f t="shared" si="411"/>
        <v>3215.71</v>
      </c>
      <c r="G2173" s="41">
        <f t="shared" si="411"/>
        <v>0</v>
      </c>
      <c r="H2173" s="41">
        <f t="shared" si="411"/>
        <v>0</v>
      </c>
      <c r="I2173" s="41">
        <f t="shared" si="411"/>
        <v>0</v>
      </c>
    </row>
    <row r="2174" spans="1:9" x14ac:dyDescent="0.3">
      <c r="A2174" s="61" t="s">
        <v>50</v>
      </c>
      <c r="B2174" s="507" t="s">
        <v>32</v>
      </c>
      <c r="C2174" s="36">
        <f t="shared" si="405"/>
        <v>16454.05</v>
      </c>
      <c r="D2174" s="36">
        <f>D2176</f>
        <v>2524.0500000000002</v>
      </c>
      <c r="E2174" s="36">
        <f t="shared" ref="E2174:I2175" si="412">E2176</f>
        <v>13254</v>
      </c>
      <c r="F2174" s="36">
        <f t="shared" si="412"/>
        <v>630</v>
      </c>
      <c r="G2174" s="36">
        <f t="shared" si="412"/>
        <v>0</v>
      </c>
      <c r="H2174" s="36">
        <f t="shared" si="412"/>
        <v>0</v>
      </c>
      <c r="I2174" s="36">
        <f t="shared" si="412"/>
        <v>46</v>
      </c>
    </row>
    <row r="2175" spans="1:9" x14ac:dyDescent="0.3">
      <c r="A2175" s="63" t="s">
        <v>51</v>
      </c>
      <c r="B2175" s="86" t="s">
        <v>33</v>
      </c>
      <c r="C2175" s="36">
        <f t="shared" si="405"/>
        <v>16454.05</v>
      </c>
      <c r="D2175" s="36">
        <f>D2177</f>
        <v>2524.0500000000002</v>
      </c>
      <c r="E2175" s="36">
        <f>E2177</f>
        <v>13254</v>
      </c>
      <c r="F2175" s="36">
        <f t="shared" si="412"/>
        <v>630</v>
      </c>
      <c r="G2175" s="36">
        <f t="shared" si="412"/>
        <v>0</v>
      </c>
      <c r="H2175" s="36">
        <f t="shared" si="412"/>
        <v>0</v>
      </c>
      <c r="I2175" s="36">
        <f t="shared" si="412"/>
        <v>46</v>
      </c>
    </row>
    <row r="2176" spans="1:9" ht="12.9" x14ac:dyDescent="0.35">
      <c r="A2176" s="54" t="s">
        <v>40</v>
      </c>
      <c r="B2176" s="35" t="s">
        <v>32</v>
      </c>
      <c r="C2176" s="48">
        <f t="shared" si="405"/>
        <v>16454.05</v>
      </c>
      <c r="D2176" s="41">
        <f>D2178+D2182</f>
        <v>2524.0500000000002</v>
      </c>
      <c r="E2176" s="41">
        <f t="shared" ref="E2176:I2177" si="413">E2178+E2182</f>
        <v>13254</v>
      </c>
      <c r="F2176" s="41">
        <f t="shared" si="413"/>
        <v>630</v>
      </c>
      <c r="G2176" s="41">
        <f t="shared" si="413"/>
        <v>0</v>
      </c>
      <c r="H2176" s="41">
        <f t="shared" si="413"/>
        <v>0</v>
      </c>
      <c r="I2176" s="41">
        <f t="shared" si="413"/>
        <v>46</v>
      </c>
    </row>
    <row r="2177" spans="1:17" ht="12.9" x14ac:dyDescent="0.35">
      <c r="A2177" s="43"/>
      <c r="B2177" s="38" t="s">
        <v>33</v>
      </c>
      <c r="C2177" s="48">
        <f t="shared" si="405"/>
        <v>16454.05</v>
      </c>
      <c r="D2177" s="41">
        <f>D2179+D2183</f>
        <v>2524.0500000000002</v>
      </c>
      <c r="E2177" s="41">
        <f t="shared" si="413"/>
        <v>13254</v>
      </c>
      <c r="F2177" s="41">
        <f t="shared" si="413"/>
        <v>630</v>
      </c>
      <c r="G2177" s="41">
        <f t="shared" si="413"/>
        <v>0</v>
      </c>
      <c r="H2177" s="41">
        <f t="shared" si="413"/>
        <v>0</v>
      </c>
      <c r="I2177" s="41">
        <f t="shared" si="413"/>
        <v>46</v>
      </c>
    </row>
    <row r="2178" spans="1:17" x14ac:dyDescent="0.3">
      <c r="A2178" s="389" t="s">
        <v>53</v>
      </c>
      <c r="B2178" s="84" t="s">
        <v>32</v>
      </c>
      <c r="C2178" s="48">
        <f t="shared" si="405"/>
        <v>7418.6399999999994</v>
      </c>
      <c r="D2178" s="41">
        <f>D2180</f>
        <v>1700.6399999999999</v>
      </c>
      <c r="E2178" s="41">
        <f t="shared" ref="E2178:I2179" si="414">E2180</f>
        <v>5088</v>
      </c>
      <c r="F2178" s="41">
        <f t="shared" si="414"/>
        <v>630</v>
      </c>
      <c r="G2178" s="41">
        <f t="shared" si="414"/>
        <v>0</v>
      </c>
      <c r="H2178" s="41">
        <f t="shared" si="414"/>
        <v>0</v>
      </c>
      <c r="I2178" s="41">
        <f t="shared" si="414"/>
        <v>0</v>
      </c>
    </row>
    <row r="2179" spans="1:17" x14ac:dyDescent="0.3">
      <c r="A2179" s="63"/>
      <c r="B2179" s="86" t="s">
        <v>33</v>
      </c>
      <c r="C2179" s="48">
        <f t="shared" si="405"/>
        <v>7418.6399999999994</v>
      </c>
      <c r="D2179" s="41">
        <f>D2181</f>
        <v>1700.6399999999999</v>
      </c>
      <c r="E2179" s="41">
        <f t="shared" si="414"/>
        <v>5088</v>
      </c>
      <c r="F2179" s="41">
        <f t="shared" si="414"/>
        <v>630</v>
      </c>
      <c r="G2179" s="41">
        <f t="shared" si="414"/>
        <v>0</v>
      </c>
      <c r="H2179" s="41">
        <f t="shared" si="414"/>
        <v>0</v>
      </c>
      <c r="I2179" s="41">
        <f t="shared" si="414"/>
        <v>0</v>
      </c>
    </row>
    <row r="2180" spans="1:17" ht="12.9" x14ac:dyDescent="0.35">
      <c r="A2180" s="54" t="s">
        <v>838</v>
      </c>
      <c r="B2180" s="84" t="s">
        <v>32</v>
      </c>
      <c r="C2180" s="48">
        <f t="shared" si="405"/>
        <v>7418.6399999999994</v>
      </c>
      <c r="D2180" s="41">
        <f t="shared" ref="D2180:I2181" si="415">D2565+D2289+D2404</f>
        <v>1700.6399999999999</v>
      </c>
      <c r="E2180" s="41">
        <f t="shared" si="415"/>
        <v>5088</v>
      </c>
      <c r="F2180" s="41">
        <f t="shared" si="415"/>
        <v>630</v>
      </c>
      <c r="G2180" s="41">
        <f t="shared" si="415"/>
        <v>0</v>
      </c>
      <c r="H2180" s="41">
        <f t="shared" si="415"/>
        <v>0</v>
      </c>
      <c r="I2180" s="41">
        <f t="shared" si="415"/>
        <v>0</v>
      </c>
    </row>
    <row r="2181" spans="1:17" ht="12.9" x14ac:dyDescent="0.35">
      <c r="A2181" s="43"/>
      <c r="B2181" s="86" t="s">
        <v>33</v>
      </c>
      <c r="C2181" s="48">
        <f t="shared" si="405"/>
        <v>7418.6399999999994</v>
      </c>
      <c r="D2181" s="41">
        <f t="shared" si="415"/>
        <v>1700.6399999999999</v>
      </c>
      <c r="E2181" s="41">
        <f t="shared" si="415"/>
        <v>5088</v>
      </c>
      <c r="F2181" s="41">
        <f t="shared" si="415"/>
        <v>630</v>
      </c>
      <c r="G2181" s="41">
        <f t="shared" si="415"/>
        <v>0</v>
      </c>
      <c r="H2181" s="41">
        <f t="shared" si="415"/>
        <v>0</v>
      </c>
      <c r="I2181" s="41">
        <f t="shared" si="415"/>
        <v>0</v>
      </c>
    </row>
    <row r="2182" spans="1:17" ht="12.9" x14ac:dyDescent="0.35">
      <c r="A2182" s="54" t="s">
        <v>55</v>
      </c>
      <c r="B2182" s="507" t="s">
        <v>32</v>
      </c>
      <c r="C2182" s="48">
        <f t="shared" si="405"/>
        <v>9035.41</v>
      </c>
      <c r="D2182" s="41">
        <f>D2369</f>
        <v>823.41000000000008</v>
      </c>
      <c r="E2182" s="41">
        <f t="shared" ref="E2182:I2183" si="416">E2369</f>
        <v>8166</v>
      </c>
      <c r="F2182" s="41">
        <f t="shared" si="416"/>
        <v>0</v>
      </c>
      <c r="G2182" s="41">
        <f t="shared" si="416"/>
        <v>0</v>
      </c>
      <c r="H2182" s="41">
        <f t="shared" si="416"/>
        <v>0</v>
      </c>
      <c r="I2182" s="41">
        <f t="shared" si="416"/>
        <v>46</v>
      </c>
    </row>
    <row r="2183" spans="1:17" ht="12.9" x14ac:dyDescent="0.35">
      <c r="A2183" s="43"/>
      <c r="B2183" s="86" t="s">
        <v>33</v>
      </c>
      <c r="C2183" s="48">
        <f t="shared" si="405"/>
        <v>9035.41</v>
      </c>
      <c r="D2183" s="41">
        <f>D2370</f>
        <v>823.41000000000008</v>
      </c>
      <c r="E2183" s="41">
        <f t="shared" si="416"/>
        <v>8166</v>
      </c>
      <c r="F2183" s="41">
        <f t="shared" si="416"/>
        <v>0</v>
      </c>
      <c r="G2183" s="41">
        <f t="shared" si="416"/>
        <v>0</v>
      </c>
      <c r="H2183" s="41">
        <f t="shared" si="416"/>
        <v>0</v>
      </c>
      <c r="I2183" s="41">
        <f t="shared" si="416"/>
        <v>46</v>
      </c>
    </row>
    <row r="2184" spans="1:17" x14ac:dyDescent="0.3">
      <c r="A2184" s="1041" t="s">
        <v>62</v>
      </c>
      <c r="B2184" s="1042"/>
      <c r="C2184" s="1042"/>
      <c r="D2184" s="1043"/>
      <c r="E2184" s="1043"/>
      <c r="F2184" s="1043"/>
      <c r="G2184" s="1043"/>
      <c r="H2184" s="1043"/>
      <c r="I2184" s="1044"/>
    </row>
    <row r="2185" spans="1:17" x14ac:dyDescent="0.3">
      <c r="A2185" s="508" t="s">
        <v>57</v>
      </c>
      <c r="B2185" s="40" t="s">
        <v>32</v>
      </c>
      <c r="C2185" s="48">
        <f t="shared" ref="C2185:C2220" si="417">D2185+E2185+F2185+G2185+H2185+I2185</f>
        <v>1828.4</v>
      </c>
      <c r="D2185" s="49">
        <f t="shared" ref="D2185:I2188" si="418">D2187</f>
        <v>262.39999999999998</v>
      </c>
      <c r="E2185" s="49">
        <f t="shared" si="418"/>
        <v>1566</v>
      </c>
      <c r="F2185" s="49">
        <f t="shared" si="418"/>
        <v>0</v>
      </c>
      <c r="G2185" s="49">
        <f t="shared" si="418"/>
        <v>0</v>
      </c>
      <c r="H2185" s="49">
        <f t="shared" si="418"/>
        <v>0</v>
      </c>
      <c r="I2185" s="49">
        <f t="shared" si="418"/>
        <v>0</v>
      </c>
      <c r="J2185" s="68"/>
    </row>
    <row r="2186" spans="1:17" x14ac:dyDescent="0.3">
      <c r="A2186" s="130" t="s">
        <v>87</v>
      </c>
      <c r="B2186" s="44" t="s">
        <v>33</v>
      </c>
      <c r="C2186" s="48">
        <f t="shared" si="417"/>
        <v>1828.4</v>
      </c>
      <c r="D2186" s="49">
        <f t="shared" si="418"/>
        <v>262.39999999999998</v>
      </c>
      <c r="E2186" s="49">
        <f t="shared" si="418"/>
        <v>1566</v>
      </c>
      <c r="F2186" s="49">
        <f t="shared" si="418"/>
        <v>0</v>
      </c>
      <c r="G2186" s="49">
        <f t="shared" si="418"/>
        <v>0</v>
      </c>
      <c r="H2186" s="49">
        <f t="shared" si="418"/>
        <v>0</v>
      </c>
      <c r="I2186" s="49">
        <f t="shared" si="418"/>
        <v>0</v>
      </c>
      <c r="J2186" s="68"/>
    </row>
    <row r="2187" spans="1:17" x14ac:dyDescent="0.3">
      <c r="A2187" s="269" t="s">
        <v>34</v>
      </c>
      <c r="B2187" s="40" t="s">
        <v>32</v>
      </c>
      <c r="C2187" s="48">
        <f t="shared" si="417"/>
        <v>1828.4</v>
      </c>
      <c r="D2187" s="49">
        <f t="shared" si="418"/>
        <v>262.39999999999998</v>
      </c>
      <c r="E2187" s="49">
        <f t="shared" si="418"/>
        <v>1566</v>
      </c>
      <c r="F2187" s="49">
        <f t="shared" si="418"/>
        <v>0</v>
      </c>
      <c r="G2187" s="49">
        <f t="shared" si="418"/>
        <v>0</v>
      </c>
      <c r="H2187" s="49">
        <f t="shared" si="418"/>
        <v>0</v>
      </c>
      <c r="I2187" s="49">
        <f t="shared" si="418"/>
        <v>0</v>
      </c>
      <c r="J2187" s="68"/>
    </row>
    <row r="2188" spans="1:17" x14ac:dyDescent="0.3">
      <c r="A2188" s="202" t="s">
        <v>35</v>
      </c>
      <c r="B2188" s="53" t="s">
        <v>33</v>
      </c>
      <c r="C2188" s="48">
        <f t="shared" si="417"/>
        <v>1828.4</v>
      </c>
      <c r="D2188" s="49">
        <f t="shared" si="418"/>
        <v>262.39999999999998</v>
      </c>
      <c r="E2188" s="49">
        <f t="shared" si="418"/>
        <v>1566</v>
      </c>
      <c r="F2188" s="49">
        <f t="shared" si="418"/>
        <v>0</v>
      </c>
      <c r="G2188" s="49">
        <f t="shared" si="418"/>
        <v>0</v>
      </c>
      <c r="H2188" s="49">
        <f t="shared" si="418"/>
        <v>0</v>
      </c>
      <c r="I2188" s="49">
        <f t="shared" si="418"/>
        <v>0</v>
      </c>
      <c r="J2188" s="68"/>
      <c r="Q2188" s="31"/>
    </row>
    <row r="2189" spans="1:17" ht="12.9" x14ac:dyDescent="0.35">
      <c r="A2189" s="54" t="s">
        <v>40</v>
      </c>
      <c r="B2189" s="47" t="s">
        <v>32</v>
      </c>
      <c r="C2189" s="48">
        <f t="shared" si="417"/>
        <v>1828.4</v>
      </c>
      <c r="D2189" s="49">
        <f t="shared" ref="D2189:I2190" si="419">D2191+D2217</f>
        <v>262.39999999999998</v>
      </c>
      <c r="E2189" s="49">
        <f t="shared" si="419"/>
        <v>1566</v>
      </c>
      <c r="F2189" s="49">
        <f t="shared" si="419"/>
        <v>0</v>
      </c>
      <c r="G2189" s="49">
        <f t="shared" si="419"/>
        <v>0</v>
      </c>
      <c r="H2189" s="49">
        <f t="shared" si="419"/>
        <v>0</v>
      </c>
      <c r="I2189" s="49">
        <f t="shared" si="419"/>
        <v>0</v>
      </c>
      <c r="J2189" s="68"/>
    </row>
    <row r="2190" spans="1:17" ht="12.9" x14ac:dyDescent="0.35">
      <c r="A2190" s="43"/>
      <c r="B2190" s="53" t="s">
        <v>33</v>
      </c>
      <c r="C2190" s="48">
        <f t="shared" si="417"/>
        <v>1828.4</v>
      </c>
      <c r="D2190" s="49">
        <f t="shared" si="419"/>
        <v>262.39999999999998</v>
      </c>
      <c r="E2190" s="49">
        <f t="shared" si="419"/>
        <v>1566</v>
      </c>
      <c r="F2190" s="49">
        <f t="shared" si="419"/>
        <v>0</v>
      </c>
      <c r="G2190" s="49">
        <f t="shared" si="419"/>
        <v>0</v>
      </c>
      <c r="H2190" s="49">
        <f t="shared" si="419"/>
        <v>0</v>
      </c>
      <c r="I2190" s="49">
        <f t="shared" si="419"/>
        <v>0</v>
      </c>
      <c r="J2190" s="68"/>
    </row>
    <row r="2191" spans="1:17" ht="12.9" x14ac:dyDescent="0.35">
      <c r="A2191" s="54" t="s">
        <v>838</v>
      </c>
      <c r="B2191" s="507" t="s">
        <v>32</v>
      </c>
      <c r="C2191" s="48">
        <f t="shared" si="417"/>
        <v>1566</v>
      </c>
      <c r="D2191" s="41">
        <f>D2193+D2195+D2197+D2199+D2201+D2203+D2205+D2207+D2209+D2211+D2213+D2215</f>
        <v>0</v>
      </c>
      <c r="E2191" s="41">
        <f t="shared" ref="E2191:I2192" si="420">E2193+E2195+E2197+E2199+E2201+E2203+E2205+E2207+E2209+E2211+E2213+E2215</f>
        <v>1566</v>
      </c>
      <c r="F2191" s="41">
        <f t="shared" si="420"/>
        <v>0</v>
      </c>
      <c r="G2191" s="41">
        <f t="shared" si="420"/>
        <v>0</v>
      </c>
      <c r="H2191" s="41">
        <f t="shared" si="420"/>
        <v>0</v>
      </c>
      <c r="I2191" s="41">
        <f t="shared" si="420"/>
        <v>0</v>
      </c>
    </row>
    <row r="2192" spans="1:17" ht="12.9" x14ac:dyDescent="0.35">
      <c r="A2192" s="43"/>
      <c r="B2192" s="86" t="s">
        <v>33</v>
      </c>
      <c r="C2192" s="48">
        <f t="shared" si="417"/>
        <v>1566</v>
      </c>
      <c r="D2192" s="41">
        <f>D2194+D2196+D2198+D2200+D2202+D2204+D2206+D2208+D2210+D2212+D2214+D2216</f>
        <v>0</v>
      </c>
      <c r="E2192" s="41">
        <f t="shared" si="420"/>
        <v>1566</v>
      </c>
      <c r="F2192" s="41">
        <f t="shared" si="420"/>
        <v>0</v>
      </c>
      <c r="G2192" s="41">
        <f t="shared" si="420"/>
        <v>0</v>
      </c>
      <c r="H2192" s="41">
        <f t="shared" si="420"/>
        <v>0</v>
      </c>
      <c r="I2192" s="41">
        <f t="shared" si="420"/>
        <v>0</v>
      </c>
    </row>
    <row r="2193" spans="1:19" s="105" customFormat="1" ht="24.9" x14ac:dyDescent="0.3">
      <c r="A2193" s="405" t="s">
        <v>839</v>
      </c>
      <c r="B2193" s="110" t="s">
        <v>32</v>
      </c>
      <c r="C2193" s="108">
        <f t="shared" si="417"/>
        <v>120</v>
      </c>
      <c r="D2193" s="108">
        <v>0</v>
      </c>
      <c r="E2193" s="108">
        <v>120</v>
      </c>
      <c r="F2193" s="108">
        <v>0</v>
      </c>
      <c r="G2193" s="108">
        <v>0</v>
      </c>
      <c r="H2193" s="108">
        <v>0</v>
      </c>
      <c r="I2193" s="108">
        <v>0</v>
      </c>
      <c r="J2193" s="1034"/>
      <c r="K2193" s="1035"/>
      <c r="L2193" s="1035"/>
      <c r="M2193" s="1035"/>
      <c r="N2193" s="1035"/>
      <c r="O2193" s="1035"/>
      <c r="P2193" s="1035"/>
      <c r="Q2193" s="1035"/>
      <c r="R2193" s="1035"/>
      <c r="S2193" s="1035"/>
    </row>
    <row r="2194" spans="1:19" s="105" customFormat="1" x14ac:dyDescent="0.3">
      <c r="A2194" s="510"/>
      <c r="B2194" s="70" t="s">
        <v>33</v>
      </c>
      <c r="C2194" s="108">
        <f t="shared" si="417"/>
        <v>120</v>
      </c>
      <c r="D2194" s="108">
        <v>0</v>
      </c>
      <c r="E2194" s="108">
        <v>120</v>
      </c>
      <c r="F2194" s="108">
        <v>0</v>
      </c>
      <c r="G2194" s="108">
        <v>0</v>
      </c>
      <c r="H2194" s="108">
        <v>0</v>
      </c>
      <c r="I2194" s="108">
        <v>0</v>
      </c>
      <c r="J2194" s="1034"/>
      <c r="K2194" s="1035"/>
      <c r="L2194" s="1035"/>
      <c r="M2194" s="1035"/>
      <c r="N2194" s="1035"/>
      <c r="O2194" s="1035"/>
      <c r="P2194" s="1035"/>
      <c r="Q2194" s="1035"/>
      <c r="R2194" s="1035"/>
      <c r="S2194" s="1035"/>
    </row>
    <row r="2195" spans="1:19" s="105" customFormat="1" ht="27" customHeight="1" x14ac:dyDescent="0.3">
      <c r="A2195" s="405" t="s">
        <v>840</v>
      </c>
      <c r="B2195" s="110" t="s">
        <v>32</v>
      </c>
      <c r="C2195" s="108">
        <f t="shared" si="417"/>
        <v>88</v>
      </c>
      <c r="D2195" s="108">
        <v>0</v>
      </c>
      <c r="E2195" s="108">
        <v>88</v>
      </c>
      <c r="F2195" s="108">
        <v>0</v>
      </c>
      <c r="G2195" s="108">
        <v>0</v>
      </c>
      <c r="H2195" s="108">
        <v>0</v>
      </c>
      <c r="I2195" s="108">
        <v>0</v>
      </c>
      <c r="J2195" s="1034"/>
      <c r="K2195" s="1035"/>
      <c r="L2195" s="1035"/>
      <c r="M2195" s="1035"/>
      <c r="N2195" s="1035"/>
      <c r="O2195" s="1035"/>
      <c r="P2195" s="1035"/>
      <c r="Q2195" s="1035"/>
      <c r="R2195" s="1035"/>
      <c r="S2195" s="1035"/>
    </row>
    <row r="2196" spans="1:19" s="105" customFormat="1" x14ac:dyDescent="0.3">
      <c r="A2196" s="510"/>
      <c r="B2196" s="70" t="s">
        <v>33</v>
      </c>
      <c r="C2196" s="108">
        <f t="shared" si="417"/>
        <v>88</v>
      </c>
      <c r="D2196" s="108">
        <v>0</v>
      </c>
      <c r="E2196" s="108">
        <v>88</v>
      </c>
      <c r="F2196" s="108">
        <v>0</v>
      </c>
      <c r="G2196" s="108">
        <v>0</v>
      </c>
      <c r="H2196" s="108">
        <v>0</v>
      </c>
      <c r="I2196" s="108">
        <v>0</v>
      </c>
      <c r="J2196" s="1034"/>
      <c r="K2196" s="1035"/>
      <c r="L2196" s="1035"/>
      <c r="M2196" s="1035"/>
      <c r="N2196" s="1035"/>
      <c r="O2196" s="1035"/>
      <c r="P2196" s="1035"/>
      <c r="Q2196" s="1035"/>
      <c r="R2196" s="1035"/>
      <c r="S2196" s="1035"/>
    </row>
    <row r="2197" spans="1:19" s="105" customFormat="1" ht="37.299999999999997" x14ac:dyDescent="0.3">
      <c r="A2197" s="405" t="s">
        <v>841</v>
      </c>
      <c r="B2197" s="110" t="s">
        <v>32</v>
      </c>
      <c r="C2197" s="108">
        <f t="shared" si="417"/>
        <v>34</v>
      </c>
      <c r="D2197" s="108">
        <v>0</v>
      </c>
      <c r="E2197" s="108">
        <v>34</v>
      </c>
      <c r="F2197" s="108">
        <v>0</v>
      </c>
      <c r="G2197" s="108">
        <v>0</v>
      </c>
      <c r="H2197" s="108">
        <v>0</v>
      </c>
      <c r="I2197" s="108">
        <v>0</v>
      </c>
      <c r="J2197" s="1034"/>
      <c r="K2197" s="1035"/>
      <c r="L2197" s="1035"/>
      <c r="M2197" s="1035"/>
      <c r="N2197" s="1035"/>
      <c r="O2197" s="1035"/>
      <c r="P2197" s="1035"/>
      <c r="Q2197" s="1035"/>
      <c r="R2197" s="1035"/>
      <c r="S2197" s="1035"/>
    </row>
    <row r="2198" spans="1:19" s="105" customFormat="1" x14ac:dyDescent="0.3">
      <c r="A2198" s="510"/>
      <c r="B2198" s="70" t="s">
        <v>33</v>
      </c>
      <c r="C2198" s="108">
        <f t="shared" si="417"/>
        <v>34</v>
      </c>
      <c r="D2198" s="108">
        <v>0</v>
      </c>
      <c r="E2198" s="108">
        <v>34</v>
      </c>
      <c r="F2198" s="108">
        <v>0</v>
      </c>
      <c r="G2198" s="108">
        <v>0</v>
      </c>
      <c r="H2198" s="108">
        <v>0</v>
      </c>
      <c r="I2198" s="108">
        <v>0</v>
      </c>
      <c r="J2198" s="1034"/>
      <c r="K2198" s="1035"/>
      <c r="L2198" s="1035"/>
      <c r="M2198" s="1035"/>
      <c r="N2198" s="1035"/>
      <c r="O2198" s="1035"/>
      <c r="P2198" s="1035"/>
      <c r="Q2198" s="1035"/>
      <c r="R2198" s="1035"/>
      <c r="S2198" s="1035"/>
    </row>
    <row r="2199" spans="1:19" s="105" customFormat="1" ht="41.25" customHeight="1" x14ac:dyDescent="0.3">
      <c r="A2199" s="109" t="s">
        <v>842</v>
      </c>
      <c r="B2199" s="110" t="s">
        <v>32</v>
      </c>
      <c r="C2199" s="108">
        <f t="shared" si="417"/>
        <v>200</v>
      </c>
      <c r="D2199" s="108">
        <v>0</v>
      </c>
      <c r="E2199" s="108">
        <v>200</v>
      </c>
      <c r="F2199" s="108">
        <v>0</v>
      </c>
      <c r="G2199" s="108">
        <v>0</v>
      </c>
      <c r="H2199" s="108">
        <v>0</v>
      </c>
      <c r="I2199" s="108">
        <v>0</v>
      </c>
      <c r="J2199" s="1034"/>
      <c r="K2199" s="1035"/>
      <c r="L2199" s="1035"/>
      <c r="M2199" s="1035"/>
      <c r="N2199" s="1035"/>
      <c r="O2199" s="1035"/>
      <c r="P2199" s="1035"/>
      <c r="Q2199" s="1035"/>
      <c r="R2199" s="1035"/>
      <c r="S2199" s="1035"/>
    </row>
    <row r="2200" spans="1:19" s="105" customFormat="1" x14ac:dyDescent="0.3">
      <c r="A2200" s="510"/>
      <c r="B2200" s="70" t="s">
        <v>33</v>
      </c>
      <c r="C2200" s="108">
        <f t="shared" si="417"/>
        <v>200</v>
      </c>
      <c r="D2200" s="108">
        <v>0</v>
      </c>
      <c r="E2200" s="108">
        <v>200</v>
      </c>
      <c r="F2200" s="108">
        <v>0</v>
      </c>
      <c r="G2200" s="108">
        <v>0</v>
      </c>
      <c r="H2200" s="108">
        <v>0</v>
      </c>
      <c r="I2200" s="108">
        <v>0</v>
      </c>
      <c r="J2200" s="1034"/>
      <c r="K2200" s="1035"/>
      <c r="L2200" s="1035"/>
      <c r="M2200" s="1035"/>
      <c r="N2200" s="1035"/>
      <c r="O2200" s="1035"/>
      <c r="P2200" s="1035"/>
      <c r="Q2200" s="1035"/>
      <c r="R2200" s="1035"/>
      <c r="S2200" s="1035"/>
    </row>
    <row r="2201" spans="1:19" s="105" customFormat="1" ht="28.5" customHeight="1" x14ac:dyDescent="0.3">
      <c r="A2201" s="314" t="s">
        <v>843</v>
      </c>
      <c r="B2201" s="110" t="s">
        <v>32</v>
      </c>
      <c r="C2201" s="108">
        <f t="shared" si="417"/>
        <v>173</v>
      </c>
      <c r="D2201" s="108">
        <v>0</v>
      </c>
      <c r="E2201" s="108">
        <v>173</v>
      </c>
      <c r="F2201" s="108">
        <v>0</v>
      </c>
      <c r="G2201" s="108">
        <v>0</v>
      </c>
      <c r="H2201" s="108">
        <v>0</v>
      </c>
      <c r="I2201" s="108">
        <v>0</v>
      </c>
      <c r="J2201" s="1034"/>
      <c r="K2201" s="1035"/>
      <c r="L2201" s="1035"/>
      <c r="M2201" s="1035"/>
      <c r="N2201" s="1035"/>
      <c r="O2201" s="1035"/>
      <c r="P2201" s="1035"/>
      <c r="Q2201" s="1035"/>
      <c r="R2201" s="1035"/>
      <c r="S2201" s="1035"/>
    </row>
    <row r="2202" spans="1:19" s="105" customFormat="1" x14ac:dyDescent="0.3">
      <c r="A2202" s="510"/>
      <c r="B2202" s="70" t="s">
        <v>33</v>
      </c>
      <c r="C2202" s="108">
        <f t="shared" si="417"/>
        <v>173</v>
      </c>
      <c r="D2202" s="108">
        <v>0</v>
      </c>
      <c r="E2202" s="108">
        <v>173</v>
      </c>
      <c r="F2202" s="108">
        <v>0</v>
      </c>
      <c r="G2202" s="108">
        <v>0</v>
      </c>
      <c r="H2202" s="108">
        <v>0</v>
      </c>
      <c r="I2202" s="108">
        <v>0</v>
      </c>
      <c r="J2202" s="1034"/>
      <c r="K2202" s="1035"/>
      <c r="L2202" s="1035"/>
      <c r="M2202" s="1035"/>
      <c r="N2202" s="1035"/>
      <c r="O2202" s="1035"/>
      <c r="P2202" s="1035"/>
      <c r="Q2202" s="1035"/>
      <c r="R2202" s="1035"/>
      <c r="S2202" s="1035"/>
    </row>
    <row r="2203" spans="1:19" s="105" customFormat="1" ht="45" customHeight="1" x14ac:dyDescent="0.3">
      <c r="A2203" s="314" t="s">
        <v>844</v>
      </c>
      <c r="B2203" s="110" t="s">
        <v>32</v>
      </c>
      <c r="C2203" s="108">
        <f t="shared" si="417"/>
        <v>69</v>
      </c>
      <c r="D2203" s="108">
        <v>0</v>
      </c>
      <c r="E2203" s="108">
        <v>69</v>
      </c>
      <c r="F2203" s="108">
        <v>0</v>
      </c>
      <c r="G2203" s="108">
        <v>0</v>
      </c>
      <c r="H2203" s="108">
        <v>0</v>
      </c>
      <c r="I2203" s="108">
        <v>0</v>
      </c>
      <c r="J2203" s="1034"/>
      <c r="K2203" s="1035"/>
      <c r="L2203" s="1035"/>
      <c r="M2203" s="1035"/>
      <c r="N2203" s="1035"/>
      <c r="O2203" s="1035"/>
      <c r="P2203" s="1035"/>
      <c r="Q2203" s="1035"/>
      <c r="R2203" s="1035"/>
      <c r="S2203" s="1035"/>
    </row>
    <row r="2204" spans="1:19" s="105" customFormat="1" x14ac:dyDescent="0.3">
      <c r="A2204" s="510"/>
      <c r="B2204" s="70" t="s">
        <v>33</v>
      </c>
      <c r="C2204" s="108">
        <f t="shared" si="417"/>
        <v>69</v>
      </c>
      <c r="D2204" s="108">
        <v>0</v>
      </c>
      <c r="E2204" s="108">
        <v>69</v>
      </c>
      <c r="F2204" s="108">
        <v>0</v>
      </c>
      <c r="G2204" s="108">
        <v>0</v>
      </c>
      <c r="H2204" s="108">
        <v>0</v>
      </c>
      <c r="I2204" s="108">
        <v>0</v>
      </c>
      <c r="J2204" s="1034"/>
      <c r="K2204" s="1035"/>
      <c r="L2204" s="1035"/>
      <c r="M2204" s="1035"/>
      <c r="N2204" s="1035"/>
      <c r="O2204" s="1035"/>
      <c r="P2204" s="1035"/>
      <c r="Q2204" s="1035"/>
      <c r="R2204" s="1035"/>
      <c r="S2204" s="1035"/>
    </row>
    <row r="2205" spans="1:19" s="105" customFormat="1" ht="28.5" customHeight="1" x14ac:dyDescent="0.3">
      <c r="A2205" s="314" t="s">
        <v>845</v>
      </c>
      <c r="B2205" s="110" t="s">
        <v>32</v>
      </c>
      <c r="C2205" s="108">
        <f t="shared" si="417"/>
        <v>34</v>
      </c>
      <c r="D2205" s="108">
        <v>0</v>
      </c>
      <c r="E2205" s="108">
        <v>34</v>
      </c>
      <c r="F2205" s="108">
        <v>0</v>
      </c>
      <c r="G2205" s="108">
        <v>0</v>
      </c>
      <c r="H2205" s="108">
        <v>0</v>
      </c>
      <c r="I2205" s="108">
        <v>0</v>
      </c>
      <c r="J2205" s="1034"/>
      <c r="K2205" s="1035"/>
      <c r="L2205" s="1035"/>
      <c r="M2205" s="1035"/>
      <c r="N2205" s="1035"/>
      <c r="O2205" s="1035"/>
      <c r="P2205" s="1035"/>
      <c r="Q2205" s="1035"/>
      <c r="R2205" s="1035"/>
      <c r="S2205" s="1035"/>
    </row>
    <row r="2206" spans="1:19" s="105" customFormat="1" x14ac:dyDescent="0.3">
      <c r="A2206" s="510"/>
      <c r="B2206" s="70" t="s">
        <v>33</v>
      </c>
      <c r="C2206" s="108">
        <f t="shared" si="417"/>
        <v>34</v>
      </c>
      <c r="D2206" s="108">
        <v>0</v>
      </c>
      <c r="E2206" s="108">
        <v>34</v>
      </c>
      <c r="F2206" s="108">
        <v>0</v>
      </c>
      <c r="G2206" s="108">
        <v>0</v>
      </c>
      <c r="H2206" s="108">
        <v>0</v>
      </c>
      <c r="I2206" s="108">
        <v>0</v>
      </c>
      <c r="J2206" s="1034"/>
      <c r="K2206" s="1035"/>
      <c r="L2206" s="1035"/>
      <c r="M2206" s="1035"/>
      <c r="N2206" s="1035"/>
      <c r="O2206" s="1035"/>
      <c r="P2206" s="1035"/>
      <c r="Q2206" s="1035"/>
      <c r="R2206" s="1035"/>
      <c r="S2206" s="1035"/>
    </row>
    <row r="2207" spans="1:19" s="105" customFormat="1" ht="28.5" customHeight="1" x14ac:dyDescent="0.3">
      <c r="A2207" s="314" t="s">
        <v>846</v>
      </c>
      <c r="B2207" s="110" t="s">
        <v>32</v>
      </c>
      <c r="C2207" s="108">
        <f t="shared" si="417"/>
        <v>49</v>
      </c>
      <c r="D2207" s="108">
        <v>0</v>
      </c>
      <c r="E2207" s="108">
        <v>49</v>
      </c>
      <c r="F2207" s="108">
        <v>0</v>
      </c>
      <c r="G2207" s="108">
        <v>0</v>
      </c>
      <c r="H2207" s="108">
        <v>0</v>
      </c>
      <c r="I2207" s="108">
        <v>0</v>
      </c>
      <c r="J2207" s="1034"/>
      <c r="K2207" s="1035"/>
      <c r="L2207" s="1035"/>
      <c r="M2207" s="1035"/>
      <c r="N2207" s="1035"/>
      <c r="O2207" s="1035"/>
      <c r="P2207" s="1035"/>
      <c r="Q2207" s="1035"/>
      <c r="R2207" s="1035"/>
      <c r="S2207" s="1035"/>
    </row>
    <row r="2208" spans="1:19" s="105" customFormat="1" x14ac:dyDescent="0.3">
      <c r="A2208" s="510"/>
      <c r="B2208" s="70" t="s">
        <v>33</v>
      </c>
      <c r="C2208" s="108">
        <f t="shared" si="417"/>
        <v>49</v>
      </c>
      <c r="D2208" s="108">
        <v>0</v>
      </c>
      <c r="E2208" s="108">
        <v>49</v>
      </c>
      <c r="F2208" s="108">
        <v>0</v>
      </c>
      <c r="G2208" s="108">
        <v>0</v>
      </c>
      <c r="H2208" s="108">
        <v>0</v>
      </c>
      <c r="I2208" s="108">
        <v>0</v>
      </c>
      <c r="J2208" s="1034"/>
      <c r="K2208" s="1035"/>
      <c r="L2208" s="1035"/>
      <c r="M2208" s="1035"/>
      <c r="N2208" s="1035"/>
      <c r="O2208" s="1035"/>
      <c r="P2208" s="1035"/>
      <c r="Q2208" s="1035"/>
      <c r="R2208" s="1035"/>
      <c r="S2208" s="1035"/>
    </row>
    <row r="2209" spans="1:19" s="105" customFormat="1" ht="28.5" customHeight="1" x14ac:dyDescent="0.3">
      <c r="A2209" s="314" t="s">
        <v>847</v>
      </c>
      <c r="B2209" s="110" t="s">
        <v>32</v>
      </c>
      <c r="C2209" s="108">
        <f t="shared" si="417"/>
        <v>429</v>
      </c>
      <c r="D2209" s="108">
        <v>0</v>
      </c>
      <c r="E2209" s="108">
        <v>429</v>
      </c>
      <c r="F2209" s="108">
        <v>0</v>
      </c>
      <c r="G2209" s="108">
        <v>0</v>
      </c>
      <c r="H2209" s="108">
        <v>0</v>
      </c>
      <c r="I2209" s="108">
        <v>0</v>
      </c>
      <c r="J2209" s="1034"/>
      <c r="K2209" s="1035"/>
      <c r="L2209" s="1035"/>
      <c r="M2209" s="1035"/>
      <c r="N2209" s="1035"/>
      <c r="O2209" s="1035"/>
      <c r="P2209" s="1035"/>
      <c r="Q2209" s="1035"/>
      <c r="R2209" s="1035"/>
      <c r="S2209" s="1035"/>
    </row>
    <row r="2210" spans="1:19" s="105" customFormat="1" x14ac:dyDescent="0.3">
      <c r="A2210" s="510"/>
      <c r="B2210" s="70" t="s">
        <v>33</v>
      </c>
      <c r="C2210" s="108">
        <f t="shared" si="417"/>
        <v>429</v>
      </c>
      <c r="D2210" s="108">
        <v>0</v>
      </c>
      <c r="E2210" s="108">
        <v>429</v>
      </c>
      <c r="F2210" s="108">
        <v>0</v>
      </c>
      <c r="G2210" s="108">
        <v>0</v>
      </c>
      <c r="H2210" s="108">
        <v>0</v>
      </c>
      <c r="I2210" s="108">
        <v>0</v>
      </c>
      <c r="J2210" s="1034"/>
      <c r="K2210" s="1035"/>
      <c r="L2210" s="1035"/>
      <c r="M2210" s="1035"/>
      <c r="N2210" s="1035"/>
      <c r="O2210" s="1035"/>
      <c r="P2210" s="1035"/>
      <c r="Q2210" s="1035"/>
      <c r="R2210" s="1035"/>
      <c r="S2210" s="1035"/>
    </row>
    <row r="2211" spans="1:19" s="105" customFormat="1" ht="29.25" customHeight="1" x14ac:dyDescent="0.3">
      <c r="A2211" s="314" t="s">
        <v>848</v>
      </c>
      <c r="B2211" s="110" t="s">
        <v>32</v>
      </c>
      <c r="C2211" s="108">
        <f t="shared" si="417"/>
        <v>134</v>
      </c>
      <c r="D2211" s="108">
        <v>0</v>
      </c>
      <c r="E2211" s="108">
        <v>134</v>
      </c>
      <c r="F2211" s="108">
        <v>0</v>
      </c>
      <c r="G2211" s="108">
        <v>0</v>
      </c>
      <c r="H2211" s="108">
        <v>0</v>
      </c>
      <c r="I2211" s="108">
        <v>0</v>
      </c>
      <c r="J2211" s="1034"/>
      <c r="K2211" s="1035"/>
      <c r="L2211" s="1035"/>
      <c r="M2211" s="1035"/>
      <c r="N2211" s="1035"/>
      <c r="O2211" s="1035"/>
      <c r="P2211" s="1035"/>
      <c r="Q2211" s="1035"/>
      <c r="R2211" s="1035"/>
      <c r="S2211" s="1035"/>
    </row>
    <row r="2212" spans="1:19" s="105" customFormat="1" x14ac:dyDescent="0.3">
      <c r="A2212" s="510"/>
      <c r="B2212" s="70" t="s">
        <v>33</v>
      </c>
      <c r="C2212" s="108">
        <f t="shared" si="417"/>
        <v>134</v>
      </c>
      <c r="D2212" s="108">
        <v>0</v>
      </c>
      <c r="E2212" s="108">
        <v>134</v>
      </c>
      <c r="F2212" s="108">
        <v>0</v>
      </c>
      <c r="G2212" s="108">
        <v>0</v>
      </c>
      <c r="H2212" s="108">
        <v>0</v>
      </c>
      <c r="I2212" s="108">
        <v>0</v>
      </c>
      <c r="J2212" s="1034"/>
      <c r="K2212" s="1035"/>
      <c r="L2212" s="1035"/>
      <c r="M2212" s="1035"/>
      <c r="N2212" s="1035"/>
      <c r="O2212" s="1035"/>
      <c r="P2212" s="1035"/>
      <c r="Q2212" s="1035"/>
      <c r="R2212" s="1035"/>
      <c r="S2212" s="1035"/>
    </row>
    <row r="2213" spans="1:19" s="105" customFormat="1" ht="17.25" customHeight="1" x14ac:dyDescent="0.3">
      <c r="A2213" s="314" t="s">
        <v>849</v>
      </c>
      <c r="B2213" s="110" t="s">
        <v>32</v>
      </c>
      <c r="C2213" s="108">
        <f t="shared" si="417"/>
        <v>142</v>
      </c>
      <c r="D2213" s="108">
        <v>0</v>
      </c>
      <c r="E2213" s="108">
        <v>142</v>
      </c>
      <c r="F2213" s="108">
        <v>0</v>
      </c>
      <c r="G2213" s="108">
        <v>0</v>
      </c>
      <c r="H2213" s="108">
        <v>0</v>
      </c>
      <c r="I2213" s="108">
        <v>0</v>
      </c>
      <c r="J2213" s="1034"/>
      <c r="K2213" s="1035"/>
      <c r="L2213" s="1035"/>
      <c r="M2213" s="1035"/>
      <c r="N2213" s="1035"/>
      <c r="O2213" s="1035"/>
      <c r="P2213" s="1035"/>
      <c r="Q2213" s="1035"/>
      <c r="R2213" s="1035"/>
      <c r="S2213" s="1035"/>
    </row>
    <row r="2214" spans="1:19" s="105" customFormat="1" x14ac:dyDescent="0.3">
      <c r="A2214" s="510"/>
      <c r="B2214" s="70" t="s">
        <v>33</v>
      </c>
      <c r="C2214" s="108">
        <f t="shared" si="417"/>
        <v>142</v>
      </c>
      <c r="D2214" s="108">
        <v>0</v>
      </c>
      <c r="E2214" s="108">
        <v>142</v>
      </c>
      <c r="F2214" s="108">
        <v>0</v>
      </c>
      <c r="G2214" s="108">
        <v>0</v>
      </c>
      <c r="H2214" s="108">
        <v>0</v>
      </c>
      <c r="I2214" s="108">
        <v>0</v>
      </c>
      <c r="J2214" s="1034"/>
      <c r="K2214" s="1035"/>
      <c r="L2214" s="1035"/>
      <c r="M2214" s="1035"/>
      <c r="N2214" s="1035"/>
      <c r="O2214" s="1035"/>
      <c r="P2214" s="1035"/>
      <c r="Q2214" s="1035"/>
      <c r="R2214" s="1035"/>
      <c r="S2214" s="1035"/>
    </row>
    <row r="2215" spans="1:19" s="105" customFormat="1" ht="18" customHeight="1" x14ac:dyDescent="0.3">
      <c r="A2215" s="314" t="s">
        <v>850</v>
      </c>
      <c r="B2215" s="110" t="s">
        <v>32</v>
      </c>
      <c r="C2215" s="108">
        <f t="shared" si="417"/>
        <v>94</v>
      </c>
      <c r="D2215" s="108">
        <v>0</v>
      </c>
      <c r="E2215" s="108">
        <v>94</v>
      </c>
      <c r="F2215" s="108">
        <v>0</v>
      </c>
      <c r="G2215" s="108">
        <v>0</v>
      </c>
      <c r="H2215" s="108">
        <v>0</v>
      </c>
      <c r="I2215" s="108">
        <v>0</v>
      </c>
      <c r="J2215" s="1034"/>
      <c r="K2215" s="1035"/>
      <c r="L2215" s="1035"/>
      <c r="M2215" s="1035"/>
      <c r="N2215" s="1035"/>
      <c r="O2215" s="1035"/>
      <c r="P2215" s="1035"/>
      <c r="Q2215" s="1035"/>
      <c r="R2215" s="1035"/>
      <c r="S2215" s="1035"/>
    </row>
    <row r="2216" spans="1:19" s="105" customFormat="1" x14ac:dyDescent="0.3">
      <c r="A2216" s="510"/>
      <c r="B2216" s="70" t="s">
        <v>33</v>
      </c>
      <c r="C2216" s="108">
        <f t="shared" si="417"/>
        <v>94</v>
      </c>
      <c r="D2216" s="108">
        <v>0</v>
      </c>
      <c r="E2216" s="108">
        <v>94</v>
      </c>
      <c r="F2216" s="108">
        <v>0</v>
      </c>
      <c r="G2216" s="108">
        <v>0</v>
      </c>
      <c r="H2216" s="108">
        <v>0</v>
      </c>
      <c r="I2216" s="108">
        <v>0</v>
      </c>
      <c r="J2216" s="1034"/>
      <c r="K2216" s="1035"/>
      <c r="L2216" s="1035"/>
      <c r="M2216" s="1035"/>
      <c r="N2216" s="1035"/>
      <c r="O2216" s="1035"/>
      <c r="P2216" s="1035"/>
      <c r="Q2216" s="1035"/>
      <c r="R2216" s="1035"/>
      <c r="S2216" s="1035"/>
    </row>
    <row r="2217" spans="1:19" ht="12.9" x14ac:dyDescent="0.35">
      <c r="A2217" s="54" t="s">
        <v>55</v>
      </c>
      <c r="B2217" s="47" t="s">
        <v>32</v>
      </c>
      <c r="C2217" s="48">
        <f t="shared" si="417"/>
        <v>262.39999999999998</v>
      </c>
      <c r="D2217" s="49">
        <f t="shared" ref="D2217:I2218" si="421">D2219</f>
        <v>262.39999999999998</v>
      </c>
      <c r="E2217" s="49">
        <f t="shared" si="421"/>
        <v>0</v>
      </c>
      <c r="F2217" s="49">
        <f t="shared" si="421"/>
        <v>0</v>
      </c>
      <c r="G2217" s="49">
        <f t="shared" si="421"/>
        <v>0</v>
      </c>
      <c r="H2217" s="49">
        <f t="shared" si="421"/>
        <v>0</v>
      </c>
      <c r="I2217" s="49">
        <f t="shared" si="421"/>
        <v>0</v>
      </c>
      <c r="J2217" s="68"/>
      <c r="M2217" s="31"/>
      <c r="N2217" s="31"/>
      <c r="O2217" s="31"/>
      <c r="P2217" s="31"/>
      <c r="Q2217" s="31"/>
    </row>
    <row r="2218" spans="1:19" x14ac:dyDescent="0.3">
      <c r="A2218" s="37"/>
      <c r="B2218" s="53" t="s">
        <v>33</v>
      </c>
      <c r="C2218" s="48">
        <f t="shared" si="417"/>
        <v>262.39999999999998</v>
      </c>
      <c r="D2218" s="49">
        <f t="shared" si="421"/>
        <v>262.39999999999998</v>
      </c>
      <c r="E2218" s="49">
        <f t="shared" si="421"/>
        <v>0</v>
      </c>
      <c r="F2218" s="49">
        <f t="shared" si="421"/>
        <v>0</v>
      </c>
      <c r="G2218" s="49">
        <f t="shared" si="421"/>
        <v>0</v>
      </c>
      <c r="H2218" s="49">
        <f t="shared" si="421"/>
        <v>0</v>
      </c>
      <c r="I2218" s="49">
        <f t="shared" si="421"/>
        <v>0</v>
      </c>
      <c r="J2218" s="68"/>
    </row>
    <row r="2219" spans="1:19" s="105" customFormat="1" ht="28.3" x14ac:dyDescent="0.3">
      <c r="A2219" s="314" t="s">
        <v>851</v>
      </c>
      <c r="B2219" s="110" t="s">
        <v>32</v>
      </c>
      <c r="C2219" s="108">
        <f t="shared" si="417"/>
        <v>262.39999999999998</v>
      </c>
      <c r="D2219" s="108">
        <v>262.39999999999998</v>
      </c>
      <c r="E2219" s="108">
        <v>0</v>
      </c>
      <c r="F2219" s="108">
        <v>0</v>
      </c>
      <c r="G2219" s="108">
        <v>0</v>
      </c>
      <c r="H2219" s="108">
        <v>0</v>
      </c>
      <c r="I2219" s="108">
        <v>0</v>
      </c>
      <c r="J2219" s="1034"/>
      <c r="K2219" s="1035"/>
      <c r="L2219" s="1035"/>
      <c r="M2219" s="1035"/>
      <c r="N2219" s="1035"/>
      <c r="O2219" s="1035"/>
      <c r="P2219" s="1035"/>
      <c r="Q2219" s="1035"/>
      <c r="R2219" s="1035"/>
      <c r="S2219" s="1035"/>
    </row>
    <row r="2220" spans="1:19" s="105" customFormat="1" x14ac:dyDescent="0.3">
      <c r="A2220" s="510"/>
      <c r="B2220" s="70" t="s">
        <v>33</v>
      </c>
      <c r="C2220" s="108">
        <f t="shared" si="417"/>
        <v>262.39999999999998</v>
      </c>
      <c r="D2220" s="108">
        <v>262.39999999999998</v>
      </c>
      <c r="E2220" s="108">
        <v>0</v>
      </c>
      <c r="F2220" s="108">
        <v>0</v>
      </c>
      <c r="G2220" s="108">
        <v>0</v>
      </c>
      <c r="H2220" s="108">
        <v>0</v>
      </c>
      <c r="I2220" s="108">
        <v>0</v>
      </c>
      <c r="J2220" s="1034"/>
      <c r="K2220" s="1035"/>
      <c r="L2220" s="1035"/>
      <c r="M2220" s="1035"/>
      <c r="N2220" s="1035"/>
      <c r="O2220" s="1035"/>
      <c r="P2220" s="1035"/>
      <c r="Q2220" s="1035"/>
      <c r="R2220" s="1035"/>
      <c r="S2220" s="1035"/>
    </row>
    <row r="2221" spans="1:19" x14ac:dyDescent="0.3">
      <c r="A2221" s="1041" t="s">
        <v>286</v>
      </c>
      <c r="B2221" s="1042"/>
      <c r="C2221" s="1042"/>
      <c r="D2221" s="1043"/>
      <c r="E2221" s="1043"/>
      <c r="F2221" s="1043"/>
      <c r="G2221" s="1043"/>
      <c r="H2221" s="1043"/>
      <c r="I2221" s="1044"/>
    </row>
    <row r="2222" spans="1:19" x14ac:dyDescent="0.3">
      <c r="A2222" s="508" t="s">
        <v>57</v>
      </c>
      <c r="B2222" s="40" t="s">
        <v>32</v>
      </c>
      <c r="C2222" s="48">
        <f t="shared" ref="C2222:C2239" si="422">D2222+E2222+F2222+G2222+H2222+I2222</f>
        <v>258.25</v>
      </c>
      <c r="D2222" s="49">
        <f t="shared" ref="D2222:I2225" si="423">D2224</f>
        <v>236.25</v>
      </c>
      <c r="E2222" s="49">
        <f t="shared" si="423"/>
        <v>22</v>
      </c>
      <c r="F2222" s="49">
        <f t="shared" si="423"/>
        <v>0</v>
      </c>
      <c r="G2222" s="49">
        <f t="shared" si="423"/>
        <v>0</v>
      </c>
      <c r="H2222" s="49">
        <f t="shared" si="423"/>
        <v>0</v>
      </c>
      <c r="I2222" s="49">
        <f t="shared" si="423"/>
        <v>0</v>
      </c>
      <c r="J2222" s="68"/>
    </row>
    <row r="2223" spans="1:19" x14ac:dyDescent="0.3">
      <c r="A2223" s="130" t="s">
        <v>87</v>
      </c>
      <c r="B2223" s="44" t="s">
        <v>33</v>
      </c>
      <c r="C2223" s="48">
        <f t="shared" si="422"/>
        <v>258.25</v>
      </c>
      <c r="D2223" s="49">
        <f t="shared" si="423"/>
        <v>236.25</v>
      </c>
      <c r="E2223" s="49">
        <f t="shared" si="423"/>
        <v>22</v>
      </c>
      <c r="F2223" s="49">
        <f t="shared" si="423"/>
        <v>0</v>
      </c>
      <c r="G2223" s="49">
        <f t="shared" si="423"/>
        <v>0</v>
      </c>
      <c r="H2223" s="49">
        <f t="shared" si="423"/>
        <v>0</v>
      </c>
      <c r="I2223" s="49">
        <f t="shared" si="423"/>
        <v>0</v>
      </c>
      <c r="J2223" s="68"/>
    </row>
    <row r="2224" spans="1:19" x14ac:dyDescent="0.3">
      <c r="A2224" s="269" t="s">
        <v>34</v>
      </c>
      <c r="B2224" s="40" t="s">
        <v>32</v>
      </c>
      <c r="C2224" s="143">
        <f t="shared" si="422"/>
        <v>258.25</v>
      </c>
      <c r="D2224" s="49">
        <f t="shared" si="423"/>
        <v>236.25</v>
      </c>
      <c r="E2224" s="49">
        <f t="shared" si="423"/>
        <v>22</v>
      </c>
      <c r="F2224" s="49">
        <f t="shared" si="423"/>
        <v>0</v>
      </c>
      <c r="G2224" s="49">
        <f t="shared" si="423"/>
        <v>0</v>
      </c>
      <c r="H2224" s="49">
        <f t="shared" si="423"/>
        <v>0</v>
      </c>
      <c r="I2224" s="49">
        <f t="shared" si="423"/>
        <v>0</v>
      </c>
      <c r="J2224" s="68"/>
    </row>
    <row r="2225" spans="1:14" x14ac:dyDescent="0.3">
      <c r="A2225" s="202" t="s">
        <v>35</v>
      </c>
      <c r="B2225" s="53" t="s">
        <v>33</v>
      </c>
      <c r="C2225" s="143">
        <f t="shared" si="422"/>
        <v>258.25</v>
      </c>
      <c r="D2225" s="49">
        <f t="shared" si="423"/>
        <v>236.25</v>
      </c>
      <c r="E2225" s="49">
        <f t="shared" si="423"/>
        <v>22</v>
      </c>
      <c r="F2225" s="49">
        <f t="shared" si="423"/>
        <v>0</v>
      </c>
      <c r="G2225" s="49">
        <f t="shared" si="423"/>
        <v>0</v>
      </c>
      <c r="H2225" s="49">
        <f t="shared" si="423"/>
        <v>0</v>
      </c>
      <c r="I2225" s="49">
        <f t="shared" si="423"/>
        <v>0</v>
      </c>
      <c r="J2225" s="68"/>
    </row>
    <row r="2226" spans="1:14" ht="12.9" x14ac:dyDescent="0.35">
      <c r="A2226" s="54" t="s">
        <v>40</v>
      </c>
      <c r="B2226" s="47" t="s">
        <v>32</v>
      </c>
      <c r="C2226" s="143">
        <f t="shared" si="422"/>
        <v>258.25</v>
      </c>
      <c r="D2226" s="49">
        <f>D2228+D2234</f>
        <v>236.25</v>
      </c>
      <c r="E2226" s="49">
        <f t="shared" ref="E2226:I2227" si="424">E2228+E2234</f>
        <v>22</v>
      </c>
      <c r="F2226" s="49">
        <f t="shared" si="424"/>
        <v>0</v>
      </c>
      <c r="G2226" s="49">
        <f t="shared" si="424"/>
        <v>0</v>
      </c>
      <c r="H2226" s="49">
        <f t="shared" si="424"/>
        <v>0</v>
      </c>
      <c r="I2226" s="49">
        <f t="shared" si="424"/>
        <v>0</v>
      </c>
      <c r="J2226" s="68"/>
    </row>
    <row r="2227" spans="1:14" ht="12.9" x14ac:dyDescent="0.35">
      <c r="A2227" s="43"/>
      <c r="B2227" s="53" t="s">
        <v>33</v>
      </c>
      <c r="C2227" s="143">
        <f t="shared" si="422"/>
        <v>258.25</v>
      </c>
      <c r="D2227" s="49">
        <f>D2229+D2235</f>
        <v>236.25</v>
      </c>
      <c r="E2227" s="49">
        <f t="shared" si="424"/>
        <v>22</v>
      </c>
      <c r="F2227" s="49">
        <f t="shared" si="424"/>
        <v>0</v>
      </c>
      <c r="G2227" s="49">
        <f t="shared" si="424"/>
        <v>0</v>
      </c>
      <c r="H2227" s="49">
        <f t="shared" si="424"/>
        <v>0</v>
      </c>
      <c r="I2227" s="49">
        <f t="shared" si="424"/>
        <v>0</v>
      </c>
      <c r="J2227" s="68"/>
    </row>
    <row r="2228" spans="1:14" s="14" customFormat="1" ht="12.9" x14ac:dyDescent="0.35">
      <c r="A2228" s="45" t="s">
        <v>45</v>
      </c>
      <c r="B2228" s="16" t="s">
        <v>32</v>
      </c>
      <c r="C2228" s="122">
        <f t="shared" si="422"/>
        <v>22</v>
      </c>
      <c r="D2228" s="36">
        <f t="shared" ref="D2228:I2229" si="425">D2232</f>
        <v>0</v>
      </c>
      <c r="E2228" s="36">
        <f t="shared" si="425"/>
        <v>22</v>
      </c>
      <c r="F2228" s="36">
        <f t="shared" si="425"/>
        <v>0</v>
      </c>
      <c r="G2228" s="36">
        <f t="shared" si="425"/>
        <v>0</v>
      </c>
      <c r="H2228" s="36">
        <f t="shared" si="425"/>
        <v>0</v>
      </c>
      <c r="I2228" s="36">
        <f t="shared" si="425"/>
        <v>0</v>
      </c>
    </row>
    <row r="2229" spans="1:14" s="14" customFormat="1" x14ac:dyDescent="0.3">
      <c r="A2229" s="512"/>
      <c r="B2229" s="23" t="s">
        <v>33</v>
      </c>
      <c r="C2229" s="122">
        <f t="shared" si="422"/>
        <v>22</v>
      </c>
      <c r="D2229" s="36">
        <f t="shared" si="425"/>
        <v>0</v>
      </c>
      <c r="E2229" s="36">
        <f t="shared" si="425"/>
        <v>22</v>
      </c>
      <c r="F2229" s="36">
        <f t="shared" si="425"/>
        <v>0</v>
      </c>
      <c r="G2229" s="36">
        <f t="shared" si="425"/>
        <v>0</v>
      </c>
      <c r="H2229" s="36">
        <f t="shared" si="425"/>
        <v>0</v>
      </c>
      <c r="I2229" s="36">
        <f t="shared" si="425"/>
        <v>0</v>
      </c>
    </row>
    <row r="2230" spans="1:14" s="126" customFormat="1" ht="14.15" x14ac:dyDescent="0.35">
      <c r="A2230" s="513" t="s">
        <v>852</v>
      </c>
      <c r="B2230" s="514" t="s">
        <v>32</v>
      </c>
      <c r="C2230" s="122">
        <f t="shared" si="422"/>
        <v>22</v>
      </c>
      <c r="D2230" s="122">
        <f>D2232</f>
        <v>0</v>
      </c>
      <c r="E2230" s="122">
        <f t="shared" ref="E2230:I2231" si="426">E2232</f>
        <v>22</v>
      </c>
      <c r="F2230" s="122">
        <f t="shared" si="426"/>
        <v>0</v>
      </c>
      <c r="G2230" s="122">
        <f t="shared" si="426"/>
        <v>0</v>
      </c>
      <c r="H2230" s="122">
        <f t="shared" si="426"/>
        <v>0</v>
      </c>
      <c r="I2230" s="122">
        <f t="shared" si="426"/>
        <v>0</v>
      </c>
    </row>
    <row r="2231" spans="1:14" s="126" customFormat="1" x14ac:dyDescent="0.3">
      <c r="A2231" s="134"/>
      <c r="B2231" s="515" t="s">
        <v>33</v>
      </c>
      <c r="C2231" s="122">
        <f t="shared" si="422"/>
        <v>22</v>
      </c>
      <c r="D2231" s="122">
        <f>D2233</f>
        <v>0</v>
      </c>
      <c r="E2231" s="122">
        <f t="shared" si="426"/>
        <v>22</v>
      </c>
      <c r="F2231" s="122">
        <f t="shared" si="426"/>
        <v>0</v>
      </c>
      <c r="G2231" s="122">
        <f t="shared" si="426"/>
        <v>0</v>
      </c>
      <c r="H2231" s="122">
        <f t="shared" si="426"/>
        <v>0</v>
      </c>
      <c r="I2231" s="122">
        <f t="shared" si="426"/>
        <v>0</v>
      </c>
    </row>
    <row r="2232" spans="1:14" s="147" customFormat="1" ht="17.25" customHeight="1" x14ac:dyDescent="0.3">
      <c r="A2232" s="314" t="s">
        <v>853</v>
      </c>
      <c r="B2232" s="380" t="s">
        <v>32</v>
      </c>
      <c r="C2232" s="143">
        <f t="shared" si="422"/>
        <v>22</v>
      </c>
      <c r="D2232" s="143">
        <v>0</v>
      </c>
      <c r="E2232" s="143">
        <v>22</v>
      </c>
      <c r="F2232" s="143">
        <v>0</v>
      </c>
      <c r="G2232" s="143">
        <v>0</v>
      </c>
      <c r="H2232" s="143">
        <v>0</v>
      </c>
      <c r="I2232" s="143">
        <v>0</v>
      </c>
      <c r="J2232" s="516"/>
      <c r="K2232" s="516"/>
      <c r="L2232" s="516"/>
      <c r="M2232" s="516"/>
      <c r="N2232" s="516"/>
    </row>
    <row r="2233" spans="1:14" s="260" customFormat="1" x14ac:dyDescent="0.3">
      <c r="A2233" s="141"/>
      <c r="B2233" s="500" t="s">
        <v>33</v>
      </c>
      <c r="C2233" s="179">
        <f t="shared" si="422"/>
        <v>22</v>
      </c>
      <c r="D2233" s="143">
        <v>0</v>
      </c>
      <c r="E2233" s="143">
        <v>22</v>
      </c>
      <c r="F2233" s="143">
        <v>0</v>
      </c>
      <c r="G2233" s="143">
        <v>0</v>
      </c>
      <c r="H2233" s="143">
        <v>0</v>
      </c>
      <c r="I2233" s="143">
        <v>0</v>
      </c>
      <c r="J2233" s="14"/>
      <c r="K2233" s="14"/>
      <c r="L2233" s="14"/>
      <c r="M2233" s="14"/>
      <c r="N2233" s="14"/>
    </row>
    <row r="2234" spans="1:14" s="14" customFormat="1" ht="12.9" x14ac:dyDescent="0.35">
      <c r="A2234" s="54" t="s">
        <v>55</v>
      </c>
      <c r="B2234" s="16" t="s">
        <v>32</v>
      </c>
      <c r="C2234" s="122">
        <f t="shared" si="422"/>
        <v>236.25</v>
      </c>
      <c r="D2234" s="36">
        <f t="shared" ref="D2234:I2235" si="427">D2238</f>
        <v>236.25</v>
      </c>
      <c r="E2234" s="36">
        <f t="shared" si="427"/>
        <v>0</v>
      </c>
      <c r="F2234" s="36">
        <f t="shared" si="427"/>
        <v>0</v>
      </c>
      <c r="G2234" s="36">
        <f t="shared" si="427"/>
        <v>0</v>
      </c>
      <c r="H2234" s="36">
        <f t="shared" si="427"/>
        <v>0</v>
      </c>
      <c r="I2234" s="36">
        <f t="shared" si="427"/>
        <v>0</v>
      </c>
    </row>
    <row r="2235" spans="1:14" s="14" customFormat="1" x14ac:dyDescent="0.3">
      <c r="A2235" s="512"/>
      <c r="B2235" s="23" t="s">
        <v>33</v>
      </c>
      <c r="C2235" s="122">
        <f t="shared" si="422"/>
        <v>236.25</v>
      </c>
      <c r="D2235" s="36">
        <f t="shared" si="427"/>
        <v>236.25</v>
      </c>
      <c r="E2235" s="36">
        <f t="shared" si="427"/>
        <v>0</v>
      </c>
      <c r="F2235" s="36">
        <f t="shared" si="427"/>
        <v>0</v>
      </c>
      <c r="G2235" s="36">
        <f t="shared" si="427"/>
        <v>0</v>
      </c>
      <c r="H2235" s="36">
        <f t="shared" si="427"/>
        <v>0</v>
      </c>
      <c r="I2235" s="36">
        <f t="shared" si="427"/>
        <v>0</v>
      </c>
    </row>
    <row r="2236" spans="1:14" s="126" customFormat="1" ht="14.15" x14ac:dyDescent="0.35">
      <c r="A2236" s="513" t="s">
        <v>852</v>
      </c>
      <c r="B2236" s="514" t="s">
        <v>32</v>
      </c>
      <c r="C2236" s="122">
        <f t="shared" si="422"/>
        <v>236.25</v>
      </c>
      <c r="D2236" s="122">
        <f>D2238</f>
        <v>236.25</v>
      </c>
      <c r="E2236" s="122">
        <f t="shared" ref="E2236:I2237" si="428">E2238</f>
        <v>0</v>
      </c>
      <c r="F2236" s="122">
        <f t="shared" si="428"/>
        <v>0</v>
      </c>
      <c r="G2236" s="122">
        <f t="shared" si="428"/>
        <v>0</v>
      </c>
      <c r="H2236" s="122">
        <f t="shared" si="428"/>
        <v>0</v>
      </c>
      <c r="I2236" s="122">
        <f t="shared" si="428"/>
        <v>0</v>
      </c>
    </row>
    <row r="2237" spans="1:14" s="126" customFormat="1" x14ac:dyDescent="0.3">
      <c r="A2237" s="134"/>
      <c r="B2237" s="515" t="s">
        <v>33</v>
      </c>
      <c r="C2237" s="122">
        <f t="shared" si="422"/>
        <v>236.25</v>
      </c>
      <c r="D2237" s="122">
        <f>D2239</f>
        <v>236.25</v>
      </c>
      <c r="E2237" s="122">
        <f t="shared" si="428"/>
        <v>0</v>
      </c>
      <c r="F2237" s="122">
        <f t="shared" si="428"/>
        <v>0</v>
      </c>
      <c r="G2237" s="122">
        <f t="shared" si="428"/>
        <v>0</v>
      </c>
      <c r="H2237" s="122">
        <f t="shared" si="428"/>
        <v>0</v>
      </c>
      <c r="I2237" s="122">
        <f t="shared" si="428"/>
        <v>0</v>
      </c>
    </row>
    <row r="2238" spans="1:14" s="147" customFormat="1" ht="14.15" x14ac:dyDescent="0.3">
      <c r="A2238" s="517" t="s">
        <v>854</v>
      </c>
      <c r="B2238" s="380" t="s">
        <v>32</v>
      </c>
      <c r="C2238" s="143">
        <f t="shared" si="422"/>
        <v>236.25</v>
      </c>
      <c r="D2238" s="143">
        <v>236.25</v>
      </c>
      <c r="E2238" s="143">
        <v>0</v>
      </c>
      <c r="F2238" s="143">
        <v>0</v>
      </c>
      <c r="G2238" s="143">
        <v>0</v>
      </c>
      <c r="H2238" s="143">
        <v>0</v>
      </c>
      <c r="I2238" s="143">
        <v>0</v>
      </c>
      <c r="J2238" s="516"/>
      <c r="K2238" s="516"/>
      <c r="L2238" s="516"/>
      <c r="M2238" s="516"/>
      <c r="N2238" s="516"/>
    </row>
    <row r="2239" spans="1:14" s="260" customFormat="1" x14ac:dyDescent="0.3">
      <c r="A2239" s="141"/>
      <c r="B2239" s="500" t="s">
        <v>33</v>
      </c>
      <c r="C2239" s="179">
        <f t="shared" si="422"/>
        <v>236.25</v>
      </c>
      <c r="D2239" s="143">
        <v>236.25</v>
      </c>
      <c r="E2239" s="143">
        <v>0</v>
      </c>
      <c r="F2239" s="143">
        <v>0</v>
      </c>
      <c r="G2239" s="143">
        <v>0</v>
      </c>
      <c r="H2239" s="143">
        <v>0</v>
      </c>
      <c r="I2239" s="143">
        <v>0</v>
      </c>
      <c r="J2239" s="14"/>
      <c r="K2239" s="14"/>
      <c r="L2239" s="14"/>
      <c r="M2239" s="14"/>
      <c r="N2239" s="14"/>
    </row>
    <row r="2240" spans="1:14" x14ac:dyDescent="0.3">
      <c r="A2240" s="1045" t="s">
        <v>298</v>
      </c>
      <c r="B2240" s="1008"/>
      <c r="C2240" s="1008"/>
      <c r="D2240" s="1008"/>
      <c r="E2240" s="1008"/>
      <c r="F2240" s="1008"/>
      <c r="G2240" s="1008"/>
      <c r="H2240" s="1008"/>
      <c r="I2240" s="1009"/>
    </row>
    <row r="2241" spans="1:13" s="520" customFormat="1" x14ac:dyDescent="0.3">
      <c r="A2241" s="518" t="s">
        <v>57</v>
      </c>
      <c r="B2241" s="40" t="s">
        <v>32</v>
      </c>
      <c r="C2241" s="519">
        <f t="shared" ref="C2241:C2260" si="429">D2241+E2241+F2241+G2241+H2241+I2241</f>
        <v>5784.9</v>
      </c>
      <c r="D2241" s="41">
        <f t="shared" ref="D2241:I2254" si="430">D2243</f>
        <v>68.19</v>
      </c>
      <c r="E2241" s="41">
        <f t="shared" si="430"/>
        <v>2501</v>
      </c>
      <c r="F2241" s="41">
        <f t="shared" si="430"/>
        <v>3215.71</v>
      </c>
      <c r="G2241" s="41">
        <f t="shared" si="430"/>
        <v>0</v>
      </c>
      <c r="H2241" s="41">
        <f t="shared" si="430"/>
        <v>0</v>
      </c>
      <c r="I2241" s="41">
        <f t="shared" si="430"/>
        <v>0</v>
      </c>
    </row>
    <row r="2242" spans="1:13" s="520" customFormat="1" x14ac:dyDescent="0.3">
      <c r="A2242" s="521" t="s">
        <v>87</v>
      </c>
      <c r="B2242" s="44" t="s">
        <v>33</v>
      </c>
      <c r="C2242" s="519">
        <f t="shared" si="429"/>
        <v>5784.9</v>
      </c>
      <c r="D2242" s="41">
        <f t="shared" si="430"/>
        <v>68.19</v>
      </c>
      <c r="E2242" s="41">
        <f t="shared" si="430"/>
        <v>2501</v>
      </c>
      <c r="F2242" s="41">
        <f t="shared" si="430"/>
        <v>3215.71</v>
      </c>
      <c r="G2242" s="41">
        <f t="shared" si="430"/>
        <v>0</v>
      </c>
      <c r="H2242" s="41">
        <f t="shared" si="430"/>
        <v>0</v>
      </c>
      <c r="I2242" s="41">
        <f t="shared" si="430"/>
        <v>0</v>
      </c>
    </row>
    <row r="2243" spans="1:13" s="520" customFormat="1" x14ac:dyDescent="0.3">
      <c r="A2243" s="366" t="s">
        <v>34</v>
      </c>
      <c r="B2243" s="40" t="s">
        <v>32</v>
      </c>
      <c r="C2243" s="519">
        <f t="shared" si="429"/>
        <v>5784.9</v>
      </c>
      <c r="D2243" s="41">
        <f t="shared" si="430"/>
        <v>68.19</v>
      </c>
      <c r="E2243" s="41">
        <f t="shared" si="430"/>
        <v>2501</v>
      </c>
      <c r="F2243" s="41">
        <f t="shared" si="430"/>
        <v>3215.71</v>
      </c>
      <c r="G2243" s="41">
        <f t="shared" si="430"/>
        <v>0</v>
      </c>
      <c r="H2243" s="41">
        <f t="shared" si="430"/>
        <v>0</v>
      </c>
      <c r="I2243" s="41">
        <f t="shared" si="430"/>
        <v>0</v>
      </c>
    </row>
    <row r="2244" spans="1:13" s="520" customFormat="1" x14ac:dyDescent="0.3">
      <c r="A2244" s="521" t="s">
        <v>35</v>
      </c>
      <c r="B2244" s="44" t="s">
        <v>33</v>
      </c>
      <c r="C2244" s="519">
        <f t="shared" si="429"/>
        <v>5784.9</v>
      </c>
      <c r="D2244" s="41">
        <f t="shared" si="430"/>
        <v>68.19</v>
      </c>
      <c r="E2244" s="41">
        <f t="shared" si="430"/>
        <v>2501</v>
      </c>
      <c r="F2244" s="41">
        <f t="shared" si="430"/>
        <v>3215.71</v>
      </c>
      <c r="G2244" s="41">
        <f t="shared" si="430"/>
        <v>0</v>
      </c>
      <c r="H2244" s="41">
        <f t="shared" si="430"/>
        <v>0</v>
      </c>
      <c r="I2244" s="41">
        <f t="shared" si="430"/>
        <v>0</v>
      </c>
    </row>
    <row r="2245" spans="1:13" s="520" customFormat="1" x14ac:dyDescent="0.3">
      <c r="A2245" s="224" t="s">
        <v>40</v>
      </c>
      <c r="B2245" s="40" t="s">
        <v>32</v>
      </c>
      <c r="C2245" s="519">
        <f t="shared" si="429"/>
        <v>5784.9</v>
      </c>
      <c r="D2245" s="41">
        <f>D2247+D2253</f>
        <v>68.19</v>
      </c>
      <c r="E2245" s="41">
        <f t="shared" ref="E2245:I2246" si="431">E2247+E2253</f>
        <v>2501</v>
      </c>
      <c r="F2245" s="41">
        <f t="shared" si="431"/>
        <v>3215.71</v>
      </c>
      <c r="G2245" s="41">
        <f t="shared" si="431"/>
        <v>0</v>
      </c>
      <c r="H2245" s="41">
        <f t="shared" si="431"/>
        <v>0</v>
      </c>
      <c r="I2245" s="41">
        <f t="shared" si="431"/>
        <v>0</v>
      </c>
    </row>
    <row r="2246" spans="1:13" s="520" customFormat="1" ht="12.9" x14ac:dyDescent="0.35">
      <c r="A2246" s="57"/>
      <c r="B2246" s="44" t="s">
        <v>33</v>
      </c>
      <c r="C2246" s="519">
        <f t="shared" si="429"/>
        <v>5784.9</v>
      </c>
      <c r="D2246" s="41">
        <f>D2248+D2254</f>
        <v>68.19</v>
      </c>
      <c r="E2246" s="41">
        <f t="shared" si="431"/>
        <v>2501</v>
      </c>
      <c r="F2246" s="41">
        <f t="shared" si="431"/>
        <v>3215.71</v>
      </c>
      <c r="G2246" s="41">
        <f t="shared" si="431"/>
        <v>0</v>
      </c>
      <c r="H2246" s="41">
        <f t="shared" si="431"/>
        <v>0</v>
      </c>
      <c r="I2246" s="41">
        <f t="shared" si="431"/>
        <v>0</v>
      </c>
    </row>
    <row r="2247" spans="1:13" s="14" customFormat="1" ht="12.9" x14ac:dyDescent="0.35">
      <c r="A2247" s="45" t="s">
        <v>45</v>
      </c>
      <c r="B2247" s="151" t="s">
        <v>32</v>
      </c>
      <c r="C2247" s="143">
        <f t="shared" si="429"/>
        <v>20</v>
      </c>
      <c r="D2247" s="41">
        <f>D2249</f>
        <v>0</v>
      </c>
      <c r="E2247" s="41">
        <f t="shared" ref="E2247:I2250" si="432">E2249</f>
        <v>20</v>
      </c>
      <c r="F2247" s="41">
        <f t="shared" si="432"/>
        <v>0</v>
      </c>
      <c r="G2247" s="41">
        <f t="shared" si="432"/>
        <v>0</v>
      </c>
      <c r="H2247" s="41">
        <f t="shared" si="432"/>
        <v>0</v>
      </c>
      <c r="I2247" s="41">
        <f t="shared" si="432"/>
        <v>0</v>
      </c>
    </row>
    <row r="2248" spans="1:13" s="14" customFormat="1" x14ac:dyDescent="0.3">
      <c r="A2248" s="512"/>
      <c r="B2248" s="44" t="s">
        <v>33</v>
      </c>
      <c r="C2248" s="143">
        <f t="shared" si="429"/>
        <v>20</v>
      </c>
      <c r="D2248" s="41">
        <f>D2250</f>
        <v>0</v>
      </c>
      <c r="E2248" s="41">
        <f t="shared" si="432"/>
        <v>20</v>
      </c>
      <c r="F2248" s="41">
        <f t="shared" si="432"/>
        <v>0</v>
      </c>
      <c r="G2248" s="41">
        <f t="shared" si="432"/>
        <v>0</v>
      </c>
      <c r="H2248" s="41">
        <f t="shared" si="432"/>
        <v>0</v>
      </c>
      <c r="I2248" s="41">
        <f t="shared" si="432"/>
        <v>0</v>
      </c>
    </row>
    <row r="2249" spans="1:13" s="520" customFormat="1" x14ac:dyDescent="0.3">
      <c r="A2249" s="366" t="s">
        <v>855</v>
      </c>
      <c r="B2249" s="40" t="s">
        <v>32</v>
      </c>
      <c r="C2249" s="519">
        <f>D2249+E2249+F2249+G2249+H2249+I2249</f>
        <v>20</v>
      </c>
      <c r="D2249" s="41">
        <f>D2251</f>
        <v>0</v>
      </c>
      <c r="E2249" s="41">
        <f t="shared" si="432"/>
        <v>20</v>
      </c>
      <c r="F2249" s="41">
        <f t="shared" si="432"/>
        <v>0</v>
      </c>
      <c r="G2249" s="41">
        <f t="shared" si="432"/>
        <v>0</v>
      </c>
      <c r="H2249" s="41">
        <f t="shared" si="432"/>
        <v>0</v>
      </c>
      <c r="I2249" s="41">
        <f t="shared" si="432"/>
        <v>0</v>
      </c>
    </row>
    <row r="2250" spans="1:13" s="520" customFormat="1" x14ac:dyDescent="0.3">
      <c r="A2250" s="522"/>
      <c r="B2250" s="44" t="s">
        <v>33</v>
      </c>
      <c r="C2250" s="519">
        <f>D2250+E2250+F2250+G2250+H2250+I2250</f>
        <v>20</v>
      </c>
      <c r="D2250" s="41">
        <f>D2252</f>
        <v>0</v>
      </c>
      <c r="E2250" s="41">
        <f t="shared" si="432"/>
        <v>20</v>
      </c>
      <c r="F2250" s="41">
        <f t="shared" si="432"/>
        <v>0</v>
      </c>
      <c r="G2250" s="41">
        <f t="shared" si="432"/>
        <v>0</v>
      </c>
      <c r="H2250" s="41">
        <f t="shared" si="432"/>
        <v>0</v>
      </c>
      <c r="I2250" s="41">
        <f t="shared" si="432"/>
        <v>0</v>
      </c>
    </row>
    <row r="2251" spans="1:13" s="1" customFormat="1" ht="27.75" customHeight="1" x14ac:dyDescent="0.3">
      <c r="A2251" s="523" t="s">
        <v>856</v>
      </c>
      <c r="B2251" s="47" t="s">
        <v>32</v>
      </c>
      <c r="C2251" s="524">
        <f t="shared" ref="C2251:C2252" si="433">D2251+E2251+F2251+G2251+H2251+I2251</f>
        <v>20</v>
      </c>
      <c r="D2251" s="49">
        <v>0</v>
      </c>
      <c r="E2251" s="49">
        <v>20</v>
      </c>
      <c r="F2251" s="49">
        <v>0</v>
      </c>
      <c r="G2251" s="49">
        <v>0</v>
      </c>
      <c r="H2251" s="49">
        <v>0</v>
      </c>
      <c r="I2251" s="49">
        <v>0</v>
      </c>
      <c r="J2251" s="1046"/>
      <c r="K2251" s="1047"/>
      <c r="L2251" s="1047"/>
      <c r="M2251" s="1047"/>
    </row>
    <row r="2252" spans="1:13" s="168" customFormat="1" x14ac:dyDescent="0.3">
      <c r="A2252" s="525"/>
      <c r="B2252" s="53" t="s">
        <v>33</v>
      </c>
      <c r="C2252" s="524">
        <f t="shared" si="433"/>
        <v>20</v>
      </c>
      <c r="D2252" s="49">
        <v>0</v>
      </c>
      <c r="E2252" s="49">
        <v>20</v>
      </c>
      <c r="F2252" s="49">
        <v>0</v>
      </c>
      <c r="G2252" s="49">
        <v>0</v>
      </c>
      <c r="H2252" s="49">
        <v>0</v>
      </c>
      <c r="I2252" s="49">
        <v>0</v>
      </c>
    </row>
    <row r="2253" spans="1:13" s="520" customFormat="1" ht="12.9" x14ac:dyDescent="0.35">
      <c r="A2253" s="526" t="s">
        <v>55</v>
      </c>
      <c r="B2253" s="40" t="s">
        <v>32</v>
      </c>
      <c r="C2253" s="519">
        <f t="shared" si="429"/>
        <v>5764.9</v>
      </c>
      <c r="D2253" s="41">
        <f t="shared" si="430"/>
        <v>68.19</v>
      </c>
      <c r="E2253" s="41">
        <f t="shared" si="430"/>
        <v>2481</v>
      </c>
      <c r="F2253" s="41">
        <f t="shared" si="430"/>
        <v>3215.71</v>
      </c>
      <c r="G2253" s="41">
        <f t="shared" si="430"/>
        <v>0</v>
      </c>
      <c r="H2253" s="41">
        <f t="shared" si="430"/>
        <v>0</v>
      </c>
      <c r="I2253" s="41">
        <f t="shared" si="430"/>
        <v>0</v>
      </c>
    </row>
    <row r="2254" spans="1:13" s="520" customFormat="1" ht="12.9" x14ac:dyDescent="0.35">
      <c r="A2254" s="527"/>
      <c r="B2254" s="44" t="s">
        <v>33</v>
      </c>
      <c r="C2254" s="519">
        <f t="shared" si="429"/>
        <v>5764.9</v>
      </c>
      <c r="D2254" s="41">
        <f t="shared" si="430"/>
        <v>68.19</v>
      </c>
      <c r="E2254" s="41">
        <f t="shared" si="430"/>
        <v>2481</v>
      </c>
      <c r="F2254" s="41">
        <f t="shared" si="430"/>
        <v>3215.71</v>
      </c>
      <c r="G2254" s="41">
        <f t="shared" si="430"/>
        <v>0</v>
      </c>
      <c r="H2254" s="41">
        <f t="shared" si="430"/>
        <v>0</v>
      </c>
      <c r="I2254" s="41">
        <f t="shared" si="430"/>
        <v>0</v>
      </c>
    </row>
    <row r="2255" spans="1:13" s="520" customFormat="1" x14ac:dyDescent="0.3">
      <c r="A2255" s="366" t="s">
        <v>855</v>
      </c>
      <c r="B2255" s="40" t="s">
        <v>32</v>
      </c>
      <c r="C2255" s="519">
        <f t="shared" si="429"/>
        <v>5764.9</v>
      </c>
      <c r="D2255" s="41">
        <f>D2257+D2259</f>
        <v>68.19</v>
      </c>
      <c r="E2255" s="41">
        <f t="shared" ref="E2255:I2256" si="434">E2257+E2259</f>
        <v>2481</v>
      </c>
      <c r="F2255" s="41">
        <f t="shared" si="434"/>
        <v>3215.71</v>
      </c>
      <c r="G2255" s="41">
        <f t="shared" si="434"/>
        <v>0</v>
      </c>
      <c r="H2255" s="41">
        <f t="shared" si="434"/>
        <v>0</v>
      </c>
      <c r="I2255" s="41">
        <f t="shared" si="434"/>
        <v>0</v>
      </c>
    </row>
    <row r="2256" spans="1:13" s="520" customFormat="1" x14ac:dyDescent="0.3">
      <c r="A2256" s="522"/>
      <c r="B2256" s="44" t="s">
        <v>33</v>
      </c>
      <c r="C2256" s="519">
        <f t="shared" si="429"/>
        <v>5764.9</v>
      </c>
      <c r="D2256" s="41">
        <f>D2258+D2260</f>
        <v>68.19</v>
      </c>
      <c r="E2256" s="41">
        <f t="shared" si="434"/>
        <v>2481</v>
      </c>
      <c r="F2256" s="41">
        <f t="shared" si="434"/>
        <v>3215.71</v>
      </c>
      <c r="G2256" s="41">
        <f t="shared" si="434"/>
        <v>0</v>
      </c>
      <c r="H2256" s="41">
        <f t="shared" si="434"/>
        <v>0</v>
      </c>
      <c r="I2256" s="41">
        <f t="shared" si="434"/>
        <v>0</v>
      </c>
    </row>
    <row r="2257" spans="1:16" s="1" customFormat="1" ht="28.3" x14ac:dyDescent="0.35">
      <c r="A2257" s="528" t="s">
        <v>857</v>
      </c>
      <c r="B2257" s="47" t="s">
        <v>32</v>
      </c>
      <c r="C2257" s="524">
        <f t="shared" si="429"/>
        <v>48.73</v>
      </c>
      <c r="D2257" s="49">
        <v>48.73</v>
      </c>
      <c r="E2257" s="49">
        <v>0</v>
      </c>
      <c r="F2257" s="49">
        <v>0</v>
      </c>
      <c r="G2257" s="49">
        <v>0</v>
      </c>
      <c r="H2257" s="49">
        <v>0</v>
      </c>
      <c r="I2257" s="49">
        <v>0</v>
      </c>
      <c r="J2257" s="1046"/>
      <c r="K2257" s="1047"/>
      <c r="L2257" s="1047"/>
      <c r="M2257" s="1047"/>
    </row>
    <row r="2258" spans="1:16" s="168" customFormat="1" x14ac:dyDescent="0.3">
      <c r="A2258" s="525"/>
      <c r="B2258" s="53" t="s">
        <v>33</v>
      </c>
      <c r="C2258" s="524">
        <f t="shared" si="429"/>
        <v>48.73</v>
      </c>
      <c r="D2258" s="49">
        <v>48.73</v>
      </c>
      <c r="E2258" s="49">
        <v>0</v>
      </c>
      <c r="F2258" s="49">
        <v>0</v>
      </c>
      <c r="G2258" s="49">
        <v>0</v>
      </c>
      <c r="H2258" s="49">
        <v>0</v>
      </c>
      <c r="I2258" s="49">
        <v>0</v>
      </c>
    </row>
    <row r="2259" spans="1:16" s="65" customFormat="1" ht="24.9" x14ac:dyDescent="0.3">
      <c r="A2259" s="529" t="s">
        <v>858</v>
      </c>
      <c r="B2259" s="40" t="s">
        <v>32</v>
      </c>
      <c r="C2259" s="530">
        <f t="shared" si="429"/>
        <v>5716.17</v>
      </c>
      <c r="D2259" s="41">
        <v>19.46</v>
      </c>
      <c r="E2259" s="41">
        <v>2481</v>
      </c>
      <c r="F2259" s="41">
        <f>5716.17-19.46-2481</f>
        <v>3215.71</v>
      </c>
      <c r="G2259" s="41">
        <v>0</v>
      </c>
      <c r="H2259" s="41">
        <v>0</v>
      </c>
      <c r="I2259" s="41">
        <v>0</v>
      </c>
      <c r="J2259" s="1048" t="s">
        <v>859</v>
      </c>
      <c r="K2259" s="1049"/>
      <c r="L2259" s="1049"/>
      <c r="M2259" s="1049"/>
      <c r="N2259" s="1050"/>
      <c r="O2259" s="1050"/>
      <c r="P2259" s="1050"/>
    </row>
    <row r="2260" spans="1:16" s="168" customFormat="1" x14ac:dyDescent="0.3">
      <c r="A2260" s="386"/>
      <c r="B2260" s="44" t="s">
        <v>33</v>
      </c>
      <c r="C2260" s="530">
        <f t="shared" si="429"/>
        <v>5716.17</v>
      </c>
      <c r="D2260" s="41">
        <v>19.46</v>
      </c>
      <c r="E2260" s="41">
        <v>2481</v>
      </c>
      <c r="F2260" s="41">
        <f>5716.17-19.46-2481</f>
        <v>3215.71</v>
      </c>
      <c r="G2260" s="41">
        <v>0</v>
      </c>
      <c r="H2260" s="41">
        <v>0</v>
      </c>
      <c r="I2260" s="41">
        <v>0</v>
      </c>
      <c r="J2260" s="1051"/>
      <c r="K2260" s="1050"/>
      <c r="L2260" s="1050"/>
      <c r="M2260" s="1050"/>
      <c r="N2260" s="1050"/>
      <c r="O2260" s="1050"/>
      <c r="P2260" s="1050"/>
    </row>
    <row r="2261" spans="1:16" x14ac:dyDescent="0.3">
      <c r="A2261" s="286" t="s">
        <v>323</v>
      </c>
      <c r="B2261" s="287"/>
      <c r="C2261" s="287"/>
      <c r="D2261" s="287"/>
      <c r="E2261" s="287"/>
      <c r="F2261" s="287"/>
      <c r="G2261" s="287"/>
      <c r="H2261" s="287"/>
      <c r="I2261" s="288"/>
    </row>
    <row r="2262" spans="1:16" x14ac:dyDescent="0.3">
      <c r="A2262" s="72" t="s">
        <v>57</v>
      </c>
      <c r="B2262" s="12" t="s">
        <v>32</v>
      </c>
      <c r="C2262" s="36">
        <f t="shared" ref="C2262:C2279" si="435">D2262+E2262+F2262+G2262+H2262+I2262</f>
        <v>25</v>
      </c>
      <c r="D2262" s="36">
        <f t="shared" ref="D2262:I2269" si="436">D2264</f>
        <v>0</v>
      </c>
      <c r="E2262" s="36">
        <f t="shared" si="436"/>
        <v>25</v>
      </c>
      <c r="F2262" s="36">
        <f t="shared" si="436"/>
        <v>0</v>
      </c>
      <c r="G2262" s="36">
        <f t="shared" si="436"/>
        <v>0</v>
      </c>
      <c r="H2262" s="36">
        <f t="shared" si="436"/>
        <v>0</v>
      </c>
      <c r="I2262" s="36">
        <f t="shared" si="436"/>
        <v>0</v>
      </c>
    </row>
    <row r="2263" spans="1:16" x14ac:dyDescent="0.3">
      <c r="A2263" s="60" t="s">
        <v>87</v>
      </c>
      <c r="B2263" s="23" t="s">
        <v>33</v>
      </c>
      <c r="C2263" s="36">
        <f t="shared" si="435"/>
        <v>25</v>
      </c>
      <c r="D2263" s="36">
        <f t="shared" si="436"/>
        <v>0</v>
      </c>
      <c r="E2263" s="36">
        <f t="shared" si="436"/>
        <v>25</v>
      </c>
      <c r="F2263" s="36">
        <f t="shared" si="436"/>
        <v>0</v>
      </c>
      <c r="G2263" s="36">
        <f t="shared" si="436"/>
        <v>0</v>
      </c>
      <c r="H2263" s="36">
        <f t="shared" si="436"/>
        <v>0</v>
      </c>
      <c r="I2263" s="36">
        <f t="shared" si="436"/>
        <v>0</v>
      </c>
    </row>
    <row r="2264" spans="1:16" x14ac:dyDescent="0.3">
      <c r="A2264" s="303" t="s">
        <v>63</v>
      </c>
      <c r="B2264" s="47" t="s">
        <v>32</v>
      </c>
      <c r="C2264" s="48">
        <f t="shared" si="435"/>
        <v>25</v>
      </c>
      <c r="D2264" s="48">
        <f t="shared" si="436"/>
        <v>0</v>
      </c>
      <c r="E2264" s="48">
        <f t="shared" si="436"/>
        <v>25</v>
      </c>
      <c r="F2264" s="48">
        <f t="shared" si="436"/>
        <v>0</v>
      </c>
      <c r="G2264" s="48">
        <f t="shared" si="436"/>
        <v>0</v>
      </c>
      <c r="H2264" s="48">
        <f t="shared" si="436"/>
        <v>0</v>
      </c>
      <c r="I2264" s="48">
        <f t="shared" si="436"/>
        <v>0</v>
      </c>
    </row>
    <row r="2265" spans="1:16" x14ac:dyDescent="0.3">
      <c r="A2265" s="37" t="s">
        <v>35</v>
      </c>
      <c r="B2265" s="53" t="s">
        <v>33</v>
      </c>
      <c r="C2265" s="48">
        <f t="shared" si="435"/>
        <v>25</v>
      </c>
      <c r="D2265" s="48">
        <f t="shared" si="436"/>
        <v>0</v>
      </c>
      <c r="E2265" s="48">
        <f t="shared" si="436"/>
        <v>25</v>
      </c>
      <c r="F2265" s="48">
        <f t="shared" si="436"/>
        <v>0</v>
      </c>
      <c r="G2265" s="48">
        <f t="shared" si="436"/>
        <v>0</v>
      </c>
      <c r="H2265" s="48">
        <f t="shared" si="436"/>
        <v>0</v>
      </c>
      <c r="I2265" s="48">
        <f t="shared" si="436"/>
        <v>0</v>
      </c>
    </row>
    <row r="2266" spans="1:16" ht="12.9" x14ac:dyDescent="0.35">
      <c r="A2266" s="54" t="s">
        <v>40</v>
      </c>
      <c r="B2266" s="35" t="s">
        <v>32</v>
      </c>
      <c r="C2266" s="48">
        <f t="shared" si="435"/>
        <v>25</v>
      </c>
      <c r="D2266" s="48">
        <f t="shared" si="436"/>
        <v>0</v>
      </c>
      <c r="E2266" s="48">
        <f t="shared" si="436"/>
        <v>25</v>
      </c>
      <c r="F2266" s="48">
        <f t="shared" si="436"/>
        <v>0</v>
      </c>
      <c r="G2266" s="48">
        <f t="shared" si="436"/>
        <v>0</v>
      </c>
      <c r="H2266" s="48">
        <f t="shared" si="436"/>
        <v>0</v>
      </c>
      <c r="I2266" s="48">
        <f t="shared" si="436"/>
        <v>0</v>
      </c>
    </row>
    <row r="2267" spans="1:16" ht="12.9" x14ac:dyDescent="0.35">
      <c r="A2267" s="43"/>
      <c r="B2267" s="38" t="s">
        <v>33</v>
      </c>
      <c r="C2267" s="48">
        <f t="shared" si="435"/>
        <v>25</v>
      </c>
      <c r="D2267" s="48">
        <f t="shared" si="436"/>
        <v>0</v>
      </c>
      <c r="E2267" s="48">
        <f t="shared" si="436"/>
        <v>25</v>
      </c>
      <c r="F2267" s="48">
        <f t="shared" si="436"/>
        <v>0</v>
      </c>
      <c r="G2267" s="48">
        <f t="shared" si="436"/>
        <v>0</v>
      </c>
      <c r="H2267" s="48">
        <f t="shared" si="436"/>
        <v>0</v>
      </c>
      <c r="I2267" s="48">
        <f t="shared" si="436"/>
        <v>0</v>
      </c>
    </row>
    <row r="2268" spans="1:16" ht="12.9" x14ac:dyDescent="0.35">
      <c r="A2268" s="383" t="s">
        <v>41</v>
      </c>
      <c r="B2268" s="35" t="s">
        <v>32</v>
      </c>
      <c r="C2268" s="48">
        <f t="shared" si="435"/>
        <v>25</v>
      </c>
      <c r="D2268" s="48">
        <f t="shared" si="436"/>
        <v>0</v>
      </c>
      <c r="E2268" s="48">
        <f t="shared" si="436"/>
        <v>25</v>
      </c>
      <c r="F2268" s="48">
        <f t="shared" si="436"/>
        <v>0</v>
      </c>
      <c r="G2268" s="48">
        <f t="shared" si="436"/>
        <v>0</v>
      </c>
      <c r="H2268" s="48">
        <f t="shared" si="436"/>
        <v>0</v>
      </c>
      <c r="I2268" s="48">
        <f t="shared" si="436"/>
        <v>0</v>
      </c>
    </row>
    <row r="2269" spans="1:16" x14ac:dyDescent="0.3">
      <c r="A2269" s="63"/>
      <c r="B2269" s="38" t="s">
        <v>33</v>
      </c>
      <c r="C2269" s="48">
        <f t="shared" si="435"/>
        <v>25</v>
      </c>
      <c r="D2269" s="48">
        <f t="shared" si="436"/>
        <v>0</v>
      </c>
      <c r="E2269" s="48">
        <f t="shared" si="436"/>
        <v>25</v>
      </c>
      <c r="F2269" s="48">
        <f t="shared" si="436"/>
        <v>0</v>
      </c>
      <c r="G2269" s="48">
        <f t="shared" si="436"/>
        <v>0</v>
      </c>
      <c r="H2269" s="48">
        <f t="shared" si="436"/>
        <v>0</v>
      </c>
      <c r="I2269" s="48">
        <f t="shared" si="436"/>
        <v>0</v>
      </c>
    </row>
    <row r="2270" spans="1:16" s="14" customFormat="1" x14ac:dyDescent="0.3">
      <c r="A2270" s="15" t="s">
        <v>45</v>
      </c>
      <c r="B2270" s="12" t="s">
        <v>32</v>
      </c>
      <c r="C2270" s="36">
        <f t="shared" si="435"/>
        <v>25</v>
      </c>
      <c r="D2270" s="36">
        <f>D2272+D2276</f>
        <v>0</v>
      </c>
      <c r="E2270" s="36">
        <f t="shared" ref="E2270:I2271" si="437">E2272+E2276</f>
        <v>25</v>
      </c>
      <c r="F2270" s="36">
        <f t="shared" si="437"/>
        <v>0</v>
      </c>
      <c r="G2270" s="36">
        <f t="shared" si="437"/>
        <v>0</v>
      </c>
      <c r="H2270" s="36">
        <f t="shared" si="437"/>
        <v>0</v>
      </c>
      <c r="I2270" s="36">
        <f t="shared" si="437"/>
        <v>0</v>
      </c>
    </row>
    <row r="2271" spans="1:16" s="14" customFormat="1" x14ac:dyDescent="0.3">
      <c r="A2271" s="127"/>
      <c r="B2271" s="128" t="s">
        <v>33</v>
      </c>
      <c r="C2271" s="122">
        <f t="shared" si="435"/>
        <v>25</v>
      </c>
      <c r="D2271" s="36">
        <f>D2273+D2277</f>
        <v>0</v>
      </c>
      <c r="E2271" s="36">
        <f t="shared" si="437"/>
        <v>25</v>
      </c>
      <c r="F2271" s="36">
        <f t="shared" si="437"/>
        <v>0</v>
      </c>
      <c r="G2271" s="36">
        <f t="shared" si="437"/>
        <v>0</v>
      </c>
      <c r="H2271" s="36">
        <f t="shared" si="437"/>
        <v>0</v>
      </c>
      <c r="I2271" s="36">
        <f t="shared" si="437"/>
        <v>0</v>
      </c>
    </row>
    <row r="2272" spans="1:16" s="126" customFormat="1" ht="14.15" x14ac:dyDescent="0.35">
      <c r="A2272" s="531" t="s">
        <v>860</v>
      </c>
      <c r="B2272" s="124" t="s">
        <v>32</v>
      </c>
      <c r="C2272" s="122">
        <f t="shared" si="435"/>
        <v>16</v>
      </c>
      <c r="D2272" s="122">
        <f t="shared" ref="D2272:I2273" si="438">D2274</f>
        <v>0</v>
      </c>
      <c r="E2272" s="122">
        <f t="shared" si="438"/>
        <v>16</v>
      </c>
      <c r="F2272" s="122">
        <f t="shared" si="438"/>
        <v>0</v>
      </c>
      <c r="G2272" s="122">
        <f t="shared" si="438"/>
        <v>0</v>
      </c>
      <c r="H2272" s="122">
        <f t="shared" si="438"/>
        <v>0</v>
      </c>
      <c r="I2272" s="122">
        <f t="shared" si="438"/>
        <v>0</v>
      </c>
    </row>
    <row r="2273" spans="1:9" s="126" customFormat="1" x14ac:dyDescent="0.3">
      <c r="A2273" s="127"/>
      <c r="B2273" s="128" t="s">
        <v>33</v>
      </c>
      <c r="C2273" s="122">
        <f t="shared" si="435"/>
        <v>16</v>
      </c>
      <c r="D2273" s="122">
        <f t="shared" si="438"/>
        <v>0</v>
      </c>
      <c r="E2273" s="122">
        <f t="shared" si="438"/>
        <v>16</v>
      </c>
      <c r="F2273" s="122">
        <f t="shared" si="438"/>
        <v>0</v>
      </c>
      <c r="G2273" s="122">
        <f t="shared" si="438"/>
        <v>0</v>
      </c>
      <c r="H2273" s="122">
        <f t="shared" si="438"/>
        <v>0</v>
      </c>
      <c r="I2273" s="122">
        <f t="shared" si="438"/>
        <v>0</v>
      </c>
    </row>
    <row r="2274" spans="1:9" s="147" customFormat="1" ht="16.5" customHeight="1" x14ac:dyDescent="0.35">
      <c r="A2274" s="317" t="s">
        <v>861</v>
      </c>
      <c r="B2274" s="146" t="s">
        <v>32</v>
      </c>
      <c r="C2274" s="143">
        <f t="shared" si="435"/>
        <v>16</v>
      </c>
      <c r="D2274" s="143">
        <v>0</v>
      </c>
      <c r="E2274" s="143">
        <v>16</v>
      </c>
      <c r="F2274" s="143">
        <v>0</v>
      </c>
      <c r="G2274" s="143">
        <v>0</v>
      </c>
      <c r="H2274" s="143">
        <v>0</v>
      </c>
      <c r="I2274" s="143">
        <v>0</v>
      </c>
    </row>
    <row r="2275" spans="1:9" s="145" customFormat="1" x14ac:dyDescent="0.3">
      <c r="A2275" s="302"/>
      <c r="B2275" s="142" t="s">
        <v>33</v>
      </c>
      <c r="C2275" s="143">
        <f t="shared" si="435"/>
        <v>16</v>
      </c>
      <c r="D2275" s="143">
        <v>0</v>
      </c>
      <c r="E2275" s="143">
        <v>16</v>
      </c>
      <c r="F2275" s="143">
        <v>0</v>
      </c>
      <c r="G2275" s="143">
        <v>0</v>
      </c>
      <c r="H2275" s="143">
        <v>0</v>
      </c>
      <c r="I2275" s="143">
        <v>0</v>
      </c>
    </row>
    <row r="2276" spans="1:9" s="126" customFormat="1" ht="14.15" x14ac:dyDescent="0.35">
      <c r="A2276" s="532" t="s">
        <v>862</v>
      </c>
      <c r="B2276" s="124" t="s">
        <v>32</v>
      </c>
      <c r="C2276" s="122">
        <f t="shared" si="435"/>
        <v>9</v>
      </c>
      <c r="D2276" s="122">
        <f t="shared" ref="D2276:I2277" si="439">D2278</f>
        <v>0</v>
      </c>
      <c r="E2276" s="122">
        <f t="shared" si="439"/>
        <v>9</v>
      </c>
      <c r="F2276" s="122">
        <f t="shared" si="439"/>
        <v>0</v>
      </c>
      <c r="G2276" s="122">
        <f t="shared" si="439"/>
        <v>0</v>
      </c>
      <c r="H2276" s="122">
        <f t="shared" si="439"/>
        <v>0</v>
      </c>
      <c r="I2276" s="122">
        <f t="shared" si="439"/>
        <v>0</v>
      </c>
    </row>
    <row r="2277" spans="1:9" s="126" customFormat="1" x14ac:dyDescent="0.3">
      <c r="A2277" s="127"/>
      <c r="B2277" s="128" t="s">
        <v>33</v>
      </c>
      <c r="C2277" s="122">
        <f t="shared" si="435"/>
        <v>9</v>
      </c>
      <c r="D2277" s="122">
        <f t="shared" si="439"/>
        <v>0</v>
      </c>
      <c r="E2277" s="122">
        <f t="shared" si="439"/>
        <v>9</v>
      </c>
      <c r="F2277" s="122">
        <f t="shared" si="439"/>
        <v>0</v>
      </c>
      <c r="G2277" s="122">
        <f t="shared" si="439"/>
        <v>0</v>
      </c>
      <c r="H2277" s="122">
        <f t="shared" si="439"/>
        <v>0</v>
      </c>
      <c r="I2277" s="122">
        <f t="shared" si="439"/>
        <v>0</v>
      </c>
    </row>
    <row r="2278" spans="1:9" s="147" customFormat="1" ht="14.25" customHeight="1" x14ac:dyDescent="0.3">
      <c r="A2278" s="309" t="s">
        <v>863</v>
      </c>
      <c r="B2278" s="146" t="s">
        <v>32</v>
      </c>
      <c r="C2278" s="143">
        <f t="shared" si="435"/>
        <v>9</v>
      </c>
      <c r="D2278" s="143">
        <v>0</v>
      </c>
      <c r="E2278" s="143">
        <v>9</v>
      </c>
      <c r="F2278" s="143">
        <v>0</v>
      </c>
      <c r="G2278" s="143">
        <v>0</v>
      </c>
      <c r="H2278" s="143">
        <v>0</v>
      </c>
      <c r="I2278" s="143">
        <v>0</v>
      </c>
    </row>
    <row r="2279" spans="1:9" s="145" customFormat="1" x14ac:dyDescent="0.3">
      <c r="A2279" s="302"/>
      <c r="B2279" s="142" t="s">
        <v>33</v>
      </c>
      <c r="C2279" s="143">
        <f t="shared" si="435"/>
        <v>9</v>
      </c>
      <c r="D2279" s="143">
        <v>0</v>
      </c>
      <c r="E2279" s="143">
        <v>9</v>
      </c>
      <c r="F2279" s="143">
        <v>0</v>
      </c>
      <c r="G2279" s="143">
        <v>0</v>
      </c>
      <c r="H2279" s="143">
        <v>0</v>
      </c>
      <c r="I2279" s="143">
        <v>0</v>
      </c>
    </row>
    <row r="2280" spans="1:9" x14ac:dyDescent="0.3">
      <c r="A2280" s="1015" t="s">
        <v>86</v>
      </c>
      <c r="B2280" s="1016"/>
      <c r="C2280" s="1017"/>
      <c r="D2280" s="1017"/>
      <c r="E2280" s="1017"/>
      <c r="F2280" s="1017"/>
      <c r="G2280" s="1017"/>
      <c r="H2280" s="1017"/>
      <c r="I2280" s="1018"/>
    </row>
    <row r="2281" spans="1:9" x14ac:dyDescent="0.3">
      <c r="A2281" s="257" t="s">
        <v>57</v>
      </c>
      <c r="B2281" s="507" t="s">
        <v>32</v>
      </c>
      <c r="C2281" s="48">
        <f t="shared" ref="C2281:C2388" si="440">D2281+E2281+F2281+G2281+H2281+I2281</f>
        <v>13717.05</v>
      </c>
      <c r="D2281" s="41">
        <f t="shared" ref="D2281:I2284" si="441">D2283</f>
        <v>2152.0500000000002</v>
      </c>
      <c r="E2281" s="41">
        <f t="shared" si="441"/>
        <v>11519</v>
      </c>
      <c r="F2281" s="41">
        <f t="shared" si="441"/>
        <v>0</v>
      </c>
      <c r="G2281" s="41">
        <f t="shared" si="441"/>
        <v>0</v>
      </c>
      <c r="H2281" s="41">
        <f t="shared" si="441"/>
        <v>0</v>
      </c>
      <c r="I2281" s="41">
        <f t="shared" si="441"/>
        <v>46</v>
      </c>
    </row>
    <row r="2282" spans="1:9" x14ac:dyDescent="0.3">
      <c r="A2282" s="63" t="s">
        <v>87</v>
      </c>
      <c r="B2282" s="86" t="s">
        <v>33</v>
      </c>
      <c r="C2282" s="48">
        <f t="shared" si="440"/>
        <v>13717.05</v>
      </c>
      <c r="D2282" s="41">
        <f t="shared" si="441"/>
        <v>2152.0500000000002</v>
      </c>
      <c r="E2282" s="41">
        <f t="shared" si="441"/>
        <v>11519</v>
      </c>
      <c r="F2282" s="41">
        <f t="shared" si="441"/>
        <v>0</v>
      </c>
      <c r="G2282" s="41">
        <f t="shared" si="441"/>
        <v>0</v>
      </c>
      <c r="H2282" s="41">
        <f t="shared" si="441"/>
        <v>0</v>
      </c>
      <c r="I2282" s="41">
        <f t="shared" si="441"/>
        <v>46</v>
      </c>
    </row>
    <row r="2283" spans="1:9" x14ac:dyDescent="0.3">
      <c r="A2283" s="61" t="s">
        <v>50</v>
      </c>
      <c r="B2283" s="84" t="s">
        <v>32</v>
      </c>
      <c r="C2283" s="48">
        <f t="shared" si="440"/>
        <v>13717.05</v>
      </c>
      <c r="D2283" s="41">
        <f>D2285</f>
        <v>2152.0500000000002</v>
      </c>
      <c r="E2283" s="41">
        <f t="shared" si="441"/>
        <v>11519</v>
      </c>
      <c r="F2283" s="41">
        <f t="shared" si="441"/>
        <v>0</v>
      </c>
      <c r="G2283" s="41">
        <f t="shared" si="441"/>
        <v>0</v>
      </c>
      <c r="H2283" s="41">
        <f t="shared" si="441"/>
        <v>0</v>
      </c>
      <c r="I2283" s="41">
        <f t="shared" si="441"/>
        <v>46</v>
      </c>
    </row>
    <row r="2284" spans="1:9" x14ac:dyDescent="0.3">
      <c r="A2284" s="63" t="s">
        <v>51</v>
      </c>
      <c r="B2284" s="86" t="s">
        <v>33</v>
      </c>
      <c r="C2284" s="48">
        <f t="shared" si="440"/>
        <v>13717.05</v>
      </c>
      <c r="D2284" s="41">
        <f>D2286</f>
        <v>2152.0500000000002</v>
      </c>
      <c r="E2284" s="41">
        <f t="shared" si="441"/>
        <v>11519</v>
      </c>
      <c r="F2284" s="41">
        <f t="shared" si="441"/>
        <v>0</v>
      </c>
      <c r="G2284" s="41">
        <f t="shared" si="441"/>
        <v>0</v>
      </c>
      <c r="H2284" s="41">
        <f t="shared" si="441"/>
        <v>0</v>
      </c>
      <c r="I2284" s="41">
        <f t="shared" si="441"/>
        <v>46</v>
      </c>
    </row>
    <row r="2285" spans="1:9" ht="12.9" x14ac:dyDescent="0.35">
      <c r="A2285" s="54" t="s">
        <v>40</v>
      </c>
      <c r="B2285" s="35" t="s">
        <v>32</v>
      </c>
      <c r="C2285" s="48">
        <f t="shared" si="440"/>
        <v>13717.05</v>
      </c>
      <c r="D2285" s="41">
        <f t="shared" ref="D2285:I2286" si="442">D2287+D2369</f>
        <v>2152.0500000000002</v>
      </c>
      <c r="E2285" s="41">
        <f t="shared" si="442"/>
        <v>11519</v>
      </c>
      <c r="F2285" s="41">
        <f t="shared" si="442"/>
        <v>0</v>
      </c>
      <c r="G2285" s="41">
        <f t="shared" si="442"/>
        <v>0</v>
      </c>
      <c r="H2285" s="41">
        <f t="shared" si="442"/>
        <v>0</v>
      </c>
      <c r="I2285" s="41">
        <f t="shared" si="442"/>
        <v>46</v>
      </c>
    </row>
    <row r="2286" spans="1:9" ht="12.9" x14ac:dyDescent="0.35">
      <c r="A2286" s="43"/>
      <c r="B2286" s="38" t="s">
        <v>33</v>
      </c>
      <c r="C2286" s="48">
        <f t="shared" si="440"/>
        <v>13717.05</v>
      </c>
      <c r="D2286" s="41">
        <f t="shared" si="442"/>
        <v>2152.0500000000002</v>
      </c>
      <c r="E2286" s="41">
        <f t="shared" si="442"/>
        <v>11519</v>
      </c>
      <c r="F2286" s="41">
        <f t="shared" si="442"/>
        <v>0</v>
      </c>
      <c r="G2286" s="41">
        <f t="shared" si="442"/>
        <v>0</v>
      </c>
      <c r="H2286" s="41">
        <f t="shared" si="442"/>
        <v>0</v>
      </c>
      <c r="I2286" s="41">
        <f t="shared" si="442"/>
        <v>46</v>
      </c>
    </row>
    <row r="2287" spans="1:9" ht="12.9" x14ac:dyDescent="0.35">
      <c r="A2287" s="54" t="s">
        <v>41</v>
      </c>
      <c r="B2287" s="35" t="s">
        <v>32</v>
      </c>
      <c r="C2287" s="48">
        <f t="shared" si="440"/>
        <v>4681.6399999999994</v>
      </c>
      <c r="D2287" s="41">
        <f t="shared" ref="D2287:I2288" si="443">D2289</f>
        <v>1328.6399999999999</v>
      </c>
      <c r="E2287" s="41">
        <f t="shared" si="443"/>
        <v>3353</v>
      </c>
      <c r="F2287" s="41">
        <f t="shared" si="443"/>
        <v>0</v>
      </c>
      <c r="G2287" s="41">
        <f t="shared" si="443"/>
        <v>0</v>
      </c>
      <c r="H2287" s="41">
        <f t="shared" si="443"/>
        <v>0</v>
      </c>
      <c r="I2287" s="41">
        <f t="shared" si="443"/>
        <v>0</v>
      </c>
    </row>
    <row r="2288" spans="1:9" ht="12.9" x14ac:dyDescent="0.35">
      <c r="A2288" s="43"/>
      <c r="B2288" s="38" t="s">
        <v>33</v>
      </c>
      <c r="C2288" s="48">
        <f t="shared" si="440"/>
        <v>4681.6399999999994</v>
      </c>
      <c r="D2288" s="41">
        <f t="shared" si="443"/>
        <v>1328.6399999999999</v>
      </c>
      <c r="E2288" s="41">
        <f t="shared" si="443"/>
        <v>3353</v>
      </c>
      <c r="F2288" s="41">
        <f t="shared" si="443"/>
        <v>0</v>
      </c>
      <c r="G2288" s="41">
        <f t="shared" si="443"/>
        <v>0</v>
      </c>
      <c r="H2288" s="41">
        <f t="shared" si="443"/>
        <v>0</v>
      </c>
      <c r="I2288" s="41">
        <f t="shared" si="443"/>
        <v>0</v>
      </c>
    </row>
    <row r="2289" spans="1:16" s="14" customFormat="1" x14ac:dyDescent="0.3">
      <c r="A2289" s="61" t="s">
        <v>838</v>
      </c>
      <c r="B2289" s="16" t="s">
        <v>32</v>
      </c>
      <c r="C2289" s="36">
        <f t="shared" si="440"/>
        <v>4681.6399999999994</v>
      </c>
      <c r="D2289" s="36">
        <f t="shared" ref="D2289:I2290" si="444">D2291+D2301+D2315+D2321+D2333+D2343+D2351+D2359+D2365</f>
        <v>1328.6399999999999</v>
      </c>
      <c r="E2289" s="36">
        <f t="shared" si="444"/>
        <v>3353</v>
      </c>
      <c r="F2289" s="36">
        <f t="shared" si="444"/>
        <v>0</v>
      </c>
      <c r="G2289" s="36">
        <f t="shared" si="444"/>
        <v>0</v>
      </c>
      <c r="H2289" s="36">
        <f t="shared" si="444"/>
        <v>0</v>
      </c>
      <c r="I2289" s="36">
        <f t="shared" si="444"/>
        <v>0</v>
      </c>
    </row>
    <row r="2290" spans="1:16" s="14" customFormat="1" x14ac:dyDescent="0.3">
      <c r="A2290" s="512"/>
      <c r="B2290" s="23" t="s">
        <v>33</v>
      </c>
      <c r="C2290" s="36">
        <f t="shared" si="440"/>
        <v>4681.6399999999994</v>
      </c>
      <c r="D2290" s="36">
        <f t="shared" si="444"/>
        <v>1328.6399999999999</v>
      </c>
      <c r="E2290" s="36">
        <f t="shared" si="444"/>
        <v>3353</v>
      </c>
      <c r="F2290" s="36">
        <f t="shared" si="444"/>
        <v>0</v>
      </c>
      <c r="G2290" s="36">
        <f t="shared" si="444"/>
        <v>0</v>
      </c>
      <c r="H2290" s="36">
        <f t="shared" si="444"/>
        <v>0</v>
      </c>
      <c r="I2290" s="36">
        <f t="shared" si="444"/>
        <v>0</v>
      </c>
    </row>
    <row r="2291" spans="1:16" s="126" customFormat="1" x14ac:dyDescent="0.3">
      <c r="A2291" s="308" t="s">
        <v>327</v>
      </c>
      <c r="B2291" s="514" t="s">
        <v>32</v>
      </c>
      <c r="C2291" s="122">
        <f t="shared" si="440"/>
        <v>248</v>
      </c>
      <c r="D2291" s="122">
        <f>D2293+D2295+D2297+D2299</f>
        <v>140</v>
      </c>
      <c r="E2291" s="122">
        <f t="shared" ref="E2291:I2292" si="445">E2293+E2295+E2297+E2299</f>
        <v>108</v>
      </c>
      <c r="F2291" s="122">
        <f t="shared" si="445"/>
        <v>0</v>
      </c>
      <c r="G2291" s="122">
        <f t="shared" si="445"/>
        <v>0</v>
      </c>
      <c r="H2291" s="122">
        <f t="shared" si="445"/>
        <v>0</v>
      </c>
      <c r="I2291" s="122">
        <f t="shared" si="445"/>
        <v>0</v>
      </c>
    </row>
    <row r="2292" spans="1:16" s="126" customFormat="1" x14ac:dyDescent="0.3">
      <c r="A2292" s="134"/>
      <c r="B2292" s="515" t="s">
        <v>33</v>
      </c>
      <c r="C2292" s="122">
        <f>D2292+E2292+F2292+G2292+H2292+I2292</f>
        <v>248</v>
      </c>
      <c r="D2292" s="122">
        <f>D2294+D2296+D2298+D2300</f>
        <v>140</v>
      </c>
      <c r="E2292" s="122">
        <f t="shared" si="445"/>
        <v>108</v>
      </c>
      <c r="F2292" s="122">
        <f t="shared" si="445"/>
        <v>0</v>
      </c>
      <c r="G2292" s="122">
        <f t="shared" si="445"/>
        <v>0</v>
      </c>
      <c r="H2292" s="122">
        <f t="shared" si="445"/>
        <v>0</v>
      </c>
      <c r="I2292" s="122">
        <f t="shared" si="445"/>
        <v>0</v>
      </c>
    </row>
    <row r="2293" spans="1:16" s="105" customFormat="1" ht="41.25" customHeight="1" x14ac:dyDescent="0.3">
      <c r="A2293" s="244" t="s">
        <v>864</v>
      </c>
      <c r="B2293" s="533" t="s">
        <v>32</v>
      </c>
      <c r="C2293" s="108">
        <f t="shared" si="440"/>
        <v>140</v>
      </c>
      <c r="D2293" s="108">
        <v>140</v>
      </c>
      <c r="E2293" s="108">
        <v>0</v>
      </c>
      <c r="F2293" s="108">
        <v>0</v>
      </c>
      <c r="G2293" s="108">
        <v>0</v>
      </c>
      <c r="H2293" s="108">
        <v>0</v>
      </c>
      <c r="I2293" s="108">
        <v>0</v>
      </c>
      <c r="J2293" s="1034" t="s">
        <v>865</v>
      </c>
      <c r="K2293" s="1035"/>
      <c r="L2293" s="1035"/>
      <c r="M2293" s="1035"/>
      <c r="N2293" s="1035"/>
      <c r="O2293" s="1035"/>
    </row>
    <row r="2294" spans="1:16" s="147" customFormat="1" ht="12.75" customHeight="1" x14ac:dyDescent="0.3">
      <c r="A2294" s="141"/>
      <c r="B2294" s="500" t="s">
        <v>33</v>
      </c>
      <c r="C2294" s="143">
        <f t="shared" si="440"/>
        <v>140</v>
      </c>
      <c r="D2294" s="143">
        <v>140</v>
      </c>
      <c r="E2294" s="143">
        <v>0</v>
      </c>
      <c r="F2294" s="143">
        <v>0</v>
      </c>
      <c r="G2294" s="143">
        <v>0</v>
      </c>
      <c r="H2294" s="143">
        <v>0</v>
      </c>
      <c r="I2294" s="143">
        <v>0</v>
      </c>
    </row>
    <row r="2295" spans="1:16" s="131" customFormat="1" ht="29.25" customHeight="1" x14ac:dyDescent="0.35">
      <c r="A2295" s="333" t="s">
        <v>866</v>
      </c>
      <c r="B2295" s="385" t="s">
        <v>32</v>
      </c>
      <c r="C2295" s="97">
        <f t="shared" si="440"/>
        <v>39</v>
      </c>
      <c r="D2295" s="97">
        <v>0</v>
      </c>
      <c r="E2295" s="97">
        <v>39</v>
      </c>
      <c r="F2295" s="97">
        <v>0</v>
      </c>
      <c r="G2295" s="97">
        <v>0</v>
      </c>
      <c r="H2295" s="97">
        <v>0</v>
      </c>
      <c r="I2295" s="97">
        <v>0</v>
      </c>
      <c r="J2295" s="1036"/>
      <c r="K2295" s="1037"/>
      <c r="L2295" s="1037"/>
      <c r="M2295" s="1037"/>
      <c r="N2295" s="1037"/>
      <c r="O2295" s="1037"/>
      <c r="P2295" s="1037"/>
    </row>
    <row r="2296" spans="1:16" s="100" customFormat="1" ht="12.75" customHeight="1" x14ac:dyDescent="0.3">
      <c r="A2296" s="60"/>
      <c r="B2296" s="90" t="s">
        <v>33</v>
      </c>
      <c r="C2296" s="97">
        <f t="shared" si="440"/>
        <v>39</v>
      </c>
      <c r="D2296" s="97">
        <v>0</v>
      </c>
      <c r="E2296" s="97">
        <v>39</v>
      </c>
      <c r="F2296" s="97">
        <v>0</v>
      </c>
      <c r="G2296" s="97">
        <v>0</v>
      </c>
      <c r="H2296" s="97">
        <v>0</v>
      </c>
      <c r="I2296" s="97">
        <v>0</v>
      </c>
      <c r="J2296" s="1038"/>
      <c r="K2296" s="1037"/>
      <c r="L2296" s="1037"/>
      <c r="M2296" s="1037"/>
      <c r="N2296" s="1037"/>
      <c r="O2296" s="1037"/>
      <c r="P2296" s="1037"/>
    </row>
    <row r="2297" spans="1:16" s="131" customFormat="1" ht="29.25" customHeight="1" x14ac:dyDescent="0.35">
      <c r="A2297" s="534" t="s">
        <v>867</v>
      </c>
      <c r="B2297" s="385" t="s">
        <v>32</v>
      </c>
      <c r="C2297" s="97">
        <f t="shared" si="440"/>
        <v>27</v>
      </c>
      <c r="D2297" s="97">
        <v>0</v>
      </c>
      <c r="E2297" s="97">
        <v>27</v>
      </c>
      <c r="F2297" s="97">
        <v>0</v>
      </c>
      <c r="G2297" s="97">
        <v>0</v>
      </c>
      <c r="H2297" s="97">
        <v>0</v>
      </c>
      <c r="I2297" s="97">
        <v>0</v>
      </c>
      <c r="J2297" s="1036"/>
      <c r="K2297" s="1037"/>
      <c r="L2297" s="1037"/>
      <c r="M2297" s="1037"/>
      <c r="N2297" s="1037"/>
      <c r="O2297" s="1037"/>
      <c r="P2297" s="1037"/>
    </row>
    <row r="2298" spans="1:16" s="100" customFormat="1" ht="12.75" customHeight="1" x14ac:dyDescent="0.3">
      <c r="A2298" s="60"/>
      <c r="B2298" s="90" t="s">
        <v>33</v>
      </c>
      <c r="C2298" s="97">
        <f t="shared" si="440"/>
        <v>27</v>
      </c>
      <c r="D2298" s="97">
        <v>0</v>
      </c>
      <c r="E2298" s="97">
        <v>27</v>
      </c>
      <c r="F2298" s="97">
        <v>0</v>
      </c>
      <c r="G2298" s="97">
        <v>0</v>
      </c>
      <c r="H2298" s="97">
        <v>0</v>
      </c>
      <c r="I2298" s="97">
        <v>0</v>
      </c>
      <c r="J2298" s="1038"/>
      <c r="K2298" s="1037"/>
      <c r="L2298" s="1037"/>
      <c r="M2298" s="1037"/>
      <c r="N2298" s="1037"/>
      <c r="O2298" s="1037"/>
      <c r="P2298" s="1037"/>
    </row>
    <row r="2299" spans="1:16" s="131" customFormat="1" ht="29.25" customHeight="1" x14ac:dyDescent="0.35">
      <c r="A2299" s="317" t="s">
        <v>868</v>
      </c>
      <c r="B2299" s="385" t="s">
        <v>32</v>
      </c>
      <c r="C2299" s="97">
        <f t="shared" si="440"/>
        <v>42</v>
      </c>
      <c r="D2299" s="97">
        <v>0</v>
      </c>
      <c r="E2299" s="97">
        <v>42</v>
      </c>
      <c r="F2299" s="97">
        <v>0</v>
      </c>
      <c r="G2299" s="97">
        <v>0</v>
      </c>
      <c r="H2299" s="97">
        <v>0</v>
      </c>
      <c r="I2299" s="97">
        <v>0</v>
      </c>
      <c r="J2299" s="1036"/>
      <c r="K2299" s="1037"/>
      <c r="L2299" s="1037"/>
      <c r="M2299" s="1037"/>
      <c r="N2299" s="1037"/>
      <c r="O2299" s="1037"/>
      <c r="P2299" s="1037"/>
    </row>
    <row r="2300" spans="1:16" s="100" customFormat="1" ht="12.75" customHeight="1" x14ac:dyDescent="0.3">
      <c r="A2300" s="60"/>
      <c r="B2300" s="90" t="s">
        <v>33</v>
      </c>
      <c r="C2300" s="97">
        <f t="shared" si="440"/>
        <v>42</v>
      </c>
      <c r="D2300" s="97">
        <v>0</v>
      </c>
      <c r="E2300" s="97">
        <v>42</v>
      </c>
      <c r="F2300" s="97">
        <v>0</v>
      </c>
      <c r="G2300" s="97">
        <v>0</v>
      </c>
      <c r="H2300" s="97">
        <v>0</v>
      </c>
      <c r="I2300" s="97">
        <v>0</v>
      </c>
      <c r="J2300" s="1038"/>
      <c r="K2300" s="1037"/>
      <c r="L2300" s="1037"/>
      <c r="M2300" s="1037"/>
      <c r="N2300" s="1037"/>
      <c r="O2300" s="1037"/>
      <c r="P2300" s="1037"/>
    </row>
    <row r="2301" spans="1:16" s="14" customFormat="1" x14ac:dyDescent="0.3">
      <c r="A2301" s="148" t="s">
        <v>353</v>
      </c>
      <c r="B2301" s="535" t="s">
        <v>32</v>
      </c>
      <c r="C2301" s="48">
        <f t="shared" si="440"/>
        <v>512.22</v>
      </c>
      <c r="D2301" s="36">
        <f>D2303+D2305+D2307+D2309+D2311+D2313</f>
        <v>181.22</v>
      </c>
      <c r="E2301" s="36">
        <f t="shared" ref="E2301:I2302" si="446">E2303+E2305+E2307+E2309+E2311+E2313</f>
        <v>331</v>
      </c>
      <c r="F2301" s="36">
        <f t="shared" si="446"/>
        <v>0</v>
      </c>
      <c r="G2301" s="36">
        <f t="shared" si="446"/>
        <v>0</v>
      </c>
      <c r="H2301" s="36">
        <f t="shared" si="446"/>
        <v>0</v>
      </c>
      <c r="I2301" s="36">
        <f t="shared" si="446"/>
        <v>0</v>
      </c>
    </row>
    <row r="2302" spans="1:16" s="14" customFormat="1" x14ac:dyDescent="0.3">
      <c r="A2302" s="512"/>
      <c r="B2302" s="536" t="s">
        <v>33</v>
      </c>
      <c r="C2302" s="48">
        <f t="shared" si="440"/>
        <v>512.22</v>
      </c>
      <c r="D2302" s="36">
        <f>D2304+D2306+D2308+D2310+D2312+D2314</f>
        <v>181.22</v>
      </c>
      <c r="E2302" s="36">
        <f t="shared" si="446"/>
        <v>331</v>
      </c>
      <c r="F2302" s="36">
        <f t="shared" si="446"/>
        <v>0</v>
      </c>
      <c r="G2302" s="36">
        <f t="shared" si="446"/>
        <v>0</v>
      </c>
      <c r="H2302" s="36">
        <f t="shared" si="446"/>
        <v>0</v>
      </c>
      <c r="I2302" s="36">
        <f t="shared" si="446"/>
        <v>0</v>
      </c>
    </row>
    <row r="2303" spans="1:16" s="168" customFormat="1" ht="27.75" customHeight="1" x14ac:dyDescent="0.3">
      <c r="A2303" s="418" t="s">
        <v>869</v>
      </c>
      <c r="B2303" s="385" t="s">
        <v>32</v>
      </c>
      <c r="C2303" s="49">
        <f t="shared" si="440"/>
        <v>23.29</v>
      </c>
      <c r="D2303" s="49">
        <v>23.29</v>
      </c>
      <c r="E2303" s="49">
        <v>0</v>
      </c>
      <c r="F2303" s="49">
        <v>0</v>
      </c>
      <c r="G2303" s="49">
        <v>0</v>
      </c>
      <c r="H2303" s="49">
        <v>0</v>
      </c>
      <c r="I2303" s="49">
        <v>0</v>
      </c>
    </row>
    <row r="2304" spans="1:16" s="168" customFormat="1" x14ac:dyDescent="0.3">
      <c r="A2304" s="60"/>
      <c r="B2304" s="90" t="s">
        <v>33</v>
      </c>
      <c r="C2304" s="49">
        <f t="shared" si="440"/>
        <v>23.29</v>
      </c>
      <c r="D2304" s="49">
        <v>23.29</v>
      </c>
      <c r="E2304" s="49">
        <v>0</v>
      </c>
      <c r="F2304" s="49">
        <v>0</v>
      </c>
      <c r="G2304" s="49">
        <v>0</v>
      </c>
      <c r="H2304" s="49">
        <v>0</v>
      </c>
      <c r="I2304" s="49">
        <v>0</v>
      </c>
    </row>
    <row r="2305" spans="1:13" s="168" customFormat="1" ht="31.5" customHeight="1" x14ac:dyDescent="0.3">
      <c r="A2305" s="418" t="s">
        <v>870</v>
      </c>
      <c r="B2305" s="385" t="s">
        <v>32</v>
      </c>
      <c r="C2305" s="49">
        <f t="shared" si="440"/>
        <v>157.93</v>
      </c>
      <c r="D2305" s="49">
        <v>157.93</v>
      </c>
      <c r="E2305" s="49">
        <v>0</v>
      </c>
      <c r="F2305" s="49">
        <v>0</v>
      </c>
      <c r="G2305" s="49">
        <v>0</v>
      </c>
      <c r="H2305" s="49">
        <v>0</v>
      </c>
      <c r="I2305" s="49">
        <v>0</v>
      </c>
      <c r="J2305" s="1039" t="s">
        <v>871</v>
      </c>
      <c r="K2305" s="1040"/>
      <c r="L2305" s="1040"/>
      <c r="M2305" s="1040"/>
    </row>
    <row r="2306" spans="1:13" s="168" customFormat="1" x14ac:dyDescent="0.3">
      <c r="A2306" s="60"/>
      <c r="B2306" s="90" t="s">
        <v>33</v>
      </c>
      <c r="C2306" s="49">
        <f t="shared" si="440"/>
        <v>157.93</v>
      </c>
      <c r="D2306" s="49">
        <v>157.93</v>
      </c>
      <c r="E2306" s="49">
        <v>0</v>
      </c>
      <c r="F2306" s="49">
        <v>0</v>
      </c>
      <c r="G2306" s="49">
        <v>0</v>
      </c>
      <c r="H2306" s="49">
        <v>0</v>
      </c>
      <c r="I2306" s="49">
        <v>0</v>
      </c>
      <c r="J2306" s="1039"/>
      <c r="K2306" s="1040"/>
      <c r="L2306" s="1040"/>
      <c r="M2306" s="1040"/>
    </row>
    <row r="2307" spans="1:13" s="65" customFormat="1" ht="15" customHeight="1" x14ac:dyDescent="0.3">
      <c r="A2307" s="315" t="s">
        <v>872</v>
      </c>
      <c r="B2307" s="84" t="s">
        <v>32</v>
      </c>
      <c r="C2307" s="41">
        <f t="shared" si="440"/>
        <v>119</v>
      </c>
      <c r="D2307" s="41">
        <v>0</v>
      </c>
      <c r="E2307" s="41">
        <v>119</v>
      </c>
      <c r="F2307" s="41">
        <v>0</v>
      </c>
      <c r="G2307" s="41">
        <v>0</v>
      </c>
      <c r="H2307" s="41">
        <v>0</v>
      </c>
      <c r="I2307" s="41">
        <v>0</v>
      </c>
    </row>
    <row r="2308" spans="1:13" s="168" customFormat="1" x14ac:dyDescent="0.3">
      <c r="A2308" s="60"/>
      <c r="B2308" s="90" t="s">
        <v>33</v>
      </c>
      <c r="C2308" s="49">
        <f t="shared" si="440"/>
        <v>119</v>
      </c>
      <c r="D2308" s="49">
        <v>0</v>
      </c>
      <c r="E2308" s="49">
        <v>119</v>
      </c>
      <c r="F2308" s="49">
        <v>0</v>
      </c>
      <c r="G2308" s="49">
        <v>0</v>
      </c>
      <c r="H2308" s="49">
        <v>0</v>
      </c>
      <c r="I2308" s="49">
        <v>0</v>
      </c>
    </row>
    <row r="2309" spans="1:13" s="65" customFormat="1" ht="15" customHeight="1" x14ac:dyDescent="0.3">
      <c r="A2309" s="314" t="s">
        <v>873</v>
      </c>
      <c r="B2309" s="84" t="s">
        <v>32</v>
      </c>
      <c r="C2309" s="41">
        <f t="shared" si="440"/>
        <v>104</v>
      </c>
      <c r="D2309" s="41">
        <v>0</v>
      </c>
      <c r="E2309" s="41">
        <v>104</v>
      </c>
      <c r="F2309" s="41">
        <v>0</v>
      </c>
      <c r="G2309" s="41">
        <v>0</v>
      </c>
      <c r="H2309" s="41">
        <v>0</v>
      </c>
      <c r="I2309" s="41">
        <v>0</v>
      </c>
    </row>
    <row r="2310" spans="1:13" s="168" customFormat="1" x14ac:dyDescent="0.3">
      <c r="A2310" s="60"/>
      <c r="B2310" s="90" t="s">
        <v>33</v>
      </c>
      <c r="C2310" s="49">
        <f t="shared" si="440"/>
        <v>104</v>
      </c>
      <c r="D2310" s="49">
        <v>0</v>
      </c>
      <c r="E2310" s="49">
        <v>104</v>
      </c>
      <c r="F2310" s="49">
        <v>0</v>
      </c>
      <c r="G2310" s="49">
        <v>0</v>
      </c>
      <c r="H2310" s="49">
        <v>0</v>
      </c>
      <c r="I2310" s="49">
        <v>0</v>
      </c>
    </row>
    <row r="2311" spans="1:13" s="65" customFormat="1" ht="15" customHeight="1" x14ac:dyDescent="0.35">
      <c r="A2311" s="317" t="s">
        <v>874</v>
      </c>
      <c r="B2311" s="84" t="s">
        <v>32</v>
      </c>
      <c r="C2311" s="41">
        <f t="shared" si="440"/>
        <v>0</v>
      </c>
      <c r="D2311" s="41">
        <v>0</v>
      </c>
      <c r="E2311" s="41">
        <v>0</v>
      </c>
      <c r="F2311" s="41">
        <v>0</v>
      </c>
      <c r="G2311" s="41">
        <v>0</v>
      </c>
      <c r="H2311" s="41">
        <v>0</v>
      </c>
      <c r="I2311" s="41">
        <v>0</v>
      </c>
    </row>
    <row r="2312" spans="1:13" s="168" customFormat="1" x14ac:dyDescent="0.3">
      <c r="A2312" s="60"/>
      <c r="B2312" s="90" t="s">
        <v>33</v>
      </c>
      <c r="C2312" s="49">
        <f t="shared" si="440"/>
        <v>0</v>
      </c>
      <c r="D2312" s="49">
        <v>0</v>
      </c>
      <c r="E2312" s="41">
        <v>0</v>
      </c>
      <c r="F2312" s="49">
        <v>0</v>
      </c>
      <c r="G2312" s="49">
        <v>0</v>
      </c>
      <c r="H2312" s="49">
        <v>0</v>
      </c>
      <c r="I2312" s="49">
        <v>0</v>
      </c>
    </row>
    <row r="2313" spans="1:13" s="65" customFormat="1" ht="15" customHeight="1" x14ac:dyDescent="0.35">
      <c r="A2313" s="317" t="s">
        <v>875</v>
      </c>
      <c r="B2313" s="84" t="s">
        <v>32</v>
      </c>
      <c r="C2313" s="41">
        <f t="shared" si="440"/>
        <v>108</v>
      </c>
      <c r="D2313" s="41">
        <v>0</v>
      </c>
      <c r="E2313" s="41">
        <v>108</v>
      </c>
      <c r="F2313" s="41">
        <v>0</v>
      </c>
      <c r="G2313" s="41">
        <v>0</v>
      </c>
      <c r="H2313" s="41">
        <v>0</v>
      </c>
      <c r="I2313" s="41">
        <v>0</v>
      </c>
    </row>
    <row r="2314" spans="1:13" s="168" customFormat="1" x14ac:dyDescent="0.3">
      <c r="A2314" s="60"/>
      <c r="B2314" s="90" t="s">
        <v>33</v>
      </c>
      <c r="C2314" s="49">
        <f t="shared" si="440"/>
        <v>108</v>
      </c>
      <c r="D2314" s="49">
        <v>0</v>
      </c>
      <c r="E2314" s="41">
        <v>108</v>
      </c>
      <c r="F2314" s="49">
        <v>0</v>
      </c>
      <c r="G2314" s="49">
        <v>0</v>
      </c>
      <c r="H2314" s="49">
        <v>0</v>
      </c>
      <c r="I2314" s="49">
        <v>0</v>
      </c>
    </row>
    <row r="2315" spans="1:13" s="14" customFormat="1" x14ac:dyDescent="0.3">
      <c r="A2315" s="283" t="s">
        <v>639</v>
      </c>
      <c r="B2315" s="535" t="s">
        <v>32</v>
      </c>
      <c r="C2315" s="36">
        <f>D2315+E2315+F2315+G2315+H2315+I2315</f>
        <v>1920.81</v>
      </c>
      <c r="D2315" s="36">
        <f>D2317+D2319</f>
        <v>950.81</v>
      </c>
      <c r="E2315" s="36">
        <f t="shared" ref="E2315:I2316" si="447">E2317+E2319</f>
        <v>970</v>
      </c>
      <c r="F2315" s="36">
        <f t="shared" si="447"/>
        <v>0</v>
      </c>
      <c r="G2315" s="36">
        <f t="shared" si="447"/>
        <v>0</v>
      </c>
      <c r="H2315" s="36">
        <f t="shared" si="447"/>
        <v>0</v>
      </c>
      <c r="I2315" s="36">
        <f t="shared" si="447"/>
        <v>0</v>
      </c>
    </row>
    <row r="2316" spans="1:13" s="14" customFormat="1" x14ac:dyDescent="0.3">
      <c r="A2316" s="512"/>
      <c r="B2316" s="536" t="s">
        <v>33</v>
      </c>
      <c r="C2316" s="36">
        <f>D2316+E2316+F2316+G2316+H2316+I2316</f>
        <v>1920.81</v>
      </c>
      <c r="D2316" s="36">
        <f>D2318+D2320</f>
        <v>950.81</v>
      </c>
      <c r="E2316" s="36">
        <f t="shared" si="447"/>
        <v>970</v>
      </c>
      <c r="F2316" s="36">
        <f t="shared" si="447"/>
        <v>0</v>
      </c>
      <c r="G2316" s="36">
        <f t="shared" si="447"/>
        <v>0</v>
      </c>
      <c r="H2316" s="36">
        <f t="shared" si="447"/>
        <v>0</v>
      </c>
      <c r="I2316" s="36">
        <f t="shared" si="447"/>
        <v>0</v>
      </c>
    </row>
    <row r="2317" spans="1:13" s="168" customFormat="1" ht="24.9" x14ac:dyDescent="0.3">
      <c r="A2317" s="182" t="s">
        <v>876</v>
      </c>
      <c r="B2317" s="385" t="s">
        <v>32</v>
      </c>
      <c r="C2317" s="49">
        <f t="shared" ref="C2317:C2320" si="448">D2317+E2317+F2317+G2317+H2317+I2317</f>
        <v>1875.81</v>
      </c>
      <c r="D2317" s="49">
        <v>950.81</v>
      </c>
      <c r="E2317" s="49">
        <v>925</v>
      </c>
      <c r="F2317" s="49">
        <v>0</v>
      </c>
      <c r="G2317" s="49">
        <v>0</v>
      </c>
      <c r="H2317" s="49">
        <v>0</v>
      </c>
      <c r="I2317" s="49">
        <v>0</v>
      </c>
      <c r="K2317" s="168" t="s">
        <v>877</v>
      </c>
    </row>
    <row r="2318" spans="1:13" s="168" customFormat="1" x14ac:dyDescent="0.3">
      <c r="A2318" s="82"/>
      <c r="B2318" s="90" t="s">
        <v>33</v>
      </c>
      <c r="C2318" s="49">
        <f t="shared" si="448"/>
        <v>1875.81</v>
      </c>
      <c r="D2318" s="49">
        <v>950.81</v>
      </c>
      <c r="E2318" s="49">
        <v>925</v>
      </c>
      <c r="F2318" s="49">
        <v>0</v>
      </c>
      <c r="G2318" s="49">
        <v>0</v>
      </c>
      <c r="H2318" s="49">
        <v>0</v>
      </c>
      <c r="I2318" s="49">
        <v>0</v>
      </c>
      <c r="J2318" s="1032" t="s">
        <v>878</v>
      </c>
      <c r="K2318" s="1033"/>
      <c r="L2318" s="1033"/>
    </row>
    <row r="2319" spans="1:13" s="168" customFormat="1" ht="28.3" x14ac:dyDescent="0.35">
      <c r="A2319" s="317" t="s">
        <v>879</v>
      </c>
      <c r="B2319" s="385" t="s">
        <v>32</v>
      </c>
      <c r="C2319" s="49">
        <f t="shared" si="448"/>
        <v>45</v>
      </c>
      <c r="D2319" s="49">
        <v>0</v>
      </c>
      <c r="E2319" s="49">
        <v>45</v>
      </c>
      <c r="F2319" s="49">
        <v>0</v>
      </c>
      <c r="G2319" s="49">
        <v>0</v>
      </c>
      <c r="H2319" s="49">
        <v>0</v>
      </c>
      <c r="I2319" s="49">
        <v>0</v>
      </c>
    </row>
    <row r="2320" spans="1:13" s="168" customFormat="1" x14ac:dyDescent="0.3">
      <c r="A2320" s="82"/>
      <c r="B2320" s="90" t="s">
        <v>33</v>
      </c>
      <c r="C2320" s="49">
        <f t="shared" si="448"/>
        <v>45</v>
      </c>
      <c r="D2320" s="49">
        <v>0</v>
      </c>
      <c r="E2320" s="49">
        <v>45</v>
      </c>
      <c r="F2320" s="49">
        <v>0</v>
      </c>
      <c r="G2320" s="49">
        <v>0</v>
      </c>
      <c r="H2320" s="49">
        <v>0</v>
      </c>
      <c r="I2320" s="49">
        <v>0</v>
      </c>
      <c r="J2320" s="1032"/>
      <c r="K2320" s="1033"/>
      <c r="L2320" s="1033"/>
    </row>
    <row r="2321" spans="1:15" s="14" customFormat="1" x14ac:dyDescent="0.3">
      <c r="A2321" s="15" t="s">
        <v>880</v>
      </c>
      <c r="B2321" s="535" t="s">
        <v>32</v>
      </c>
      <c r="C2321" s="36">
        <f>D2321+E2321+F2321+G2321+H2321+I2321</f>
        <v>128.30000000000001</v>
      </c>
      <c r="D2321" s="36">
        <f>D2323+D2325+D2327+D2329+D2331</f>
        <v>0.3</v>
      </c>
      <c r="E2321" s="36">
        <f t="shared" ref="E2321:I2322" si="449">E2323+E2325+E2327+E2329+E2331</f>
        <v>128</v>
      </c>
      <c r="F2321" s="36">
        <f t="shared" si="449"/>
        <v>0</v>
      </c>
      <c r="G2321" s="36">
        <f t="shared" si="449"/>
        <v>0</v>
      </c>
      <c r="H2321" s="36">
        <f t="shared" si="449"/>
        <v>0</v>
      </c>
      <c r="I2321" s="36">
        <f t="shared" si="449"/>
        <v>0</v>
      </c>
    </row>
    <row r="2322" spans="1:15" s="14" customFormat="1" x14ac:dyDescent="0.3">
      <c r="A2322" s="512"/>
      <c r="B2322" s="536" t="s">
        <v>33</v>
      </c>
      <c r="C2322" s="36">
        <f>D2322+E2322+F2322+G2322+H2322+I2322</f>
        <v>128.30000000000001</v>
      </c>
      <c r="D2322" s="36">
        <f>D2324+D2326+D2328+D2330+D2332</f>
        <v>0.3</v>
      </c>
      <c r="E2322" s="36">
        <f t="shared" si="449"/>
        <v>128</v>
      </c>
      <c r="F2322" s="36">
        <f t="shared" si="449"/>
        <v>0</v>
      </c>
      <c r="G2322" s="36">
        <f t="shared" si="449"/>
        <v>0</v>
      </c>
      <c r="H2322" s="36">
        <f t="shared" si="449"/>
        <v>0</v>
      </c>
      <c r="I2322" s="36">
        <f t="shared" si="449"/>
        <v>0</v>
      </c>
    </row>
    <row r="2323" spans="1:15" s="65" customFormat="1" ht="14.15" x14ac:dyDescent="0.35">
      <c r="A2323" s="296" t="s">
        <v>881</v>
      </c>
      <c r="B2323" s="84" t="s">
        <v>32</v>
      </c>
      <c r="C2323" s="41">
        <f t="shared" ref="C2323:C2332" si="450">D2323+E2323+F2323+G2323+H2323+I2323</f>
        <v>21</v>
      </c>
      <c r="D2323" s="41">
        <v>0</v>
      </c>
      <c r="E2323" s="41">
        <v>21</v>
      </c>
      <c r="F2323" s="41">
        <v>0</v>
      </c>
      <c r="G2323" s="41">
        <v>0</v>
      </c>
      <c r="H2323" s="41">
        <v>0</v>
      </c>
      <c r="I2323" s="41">
        <v>0</v>
      </c>
      <c r="J2323" s="1030"/>
      <c r="K2323" s="1031"/>
      <c r="L2323" s="1031"/>
      <c r="M2323" s="1031"/>
      <c r="N2323" s="1031"/>
      <c r="O2323" s="1031"/>
    </row>
    <row r="2324" spans="1:15" s="42" customFormat="1" x14ac:dyDescent="0.3">
      <c r="A2324" s="120"/>
      <c r="B2324" s="86" t="s">
        <v>33</v>
      </c>
      <c r="C2324" s="41">
        <f t="shared" si="450"/>
        <v>21</v>
      </c>
      <c r="D2324" s="41">
        <v>0</v>
      </c>
      <c r="E2324" s="41">
        <v>21</v>
      </c>
      <c r="F2324" s="41">
        <v>0</v>
      </c>
      <c r="G2324" s="41">
        <v>0</v>
      </c>
      <c r="H2324" s="41">
        <v>0</v>
      </c>
      <c r="I2324" s="41">
        <v>0</v>
      </c>
      <c r="J2324" s="1030"/>
      <c r="K2324" s="1031"/>
      <c r="L2324" s="1031"/>
      <c r="M2324" s="1031"/>
      <c r="N2324" s="1031"/>
      <c r="O2324" s="1031"/>
    </row>
    <row r="2325" spans="1:15" s="65" customFormat="1" ht="14.15" x14ac:dyDescent="0.35">
      <c r="A2325" s="537" t="s">
        <v>882</v>
      </c>
      <c r="B2325" s="84" t="s">
        <v>32</v>
      </c>
      <c r="C2325" s="41">
        <f t="shared" si="450"/>
        <v>8</v>
      </c>
      <c r="D2325" s="41">
        <v>0</v>
      </c>
      <c r="E2325" s="41">
        <v>8</v>
      </c>
      <c r="F2325" s="41">
        <v>0</v>
      </c>
      <c r="G2325" s="41">
        <v>0</v>
      </c>
      <c r="H2325" s="41">
        <v>0</v>
      </c>
      <c r="I2325" s="41">
        <v>0</v>
      </c>
      <c r="J2325" s="1030"/>
      <c r="K2325" s="1031"/>
      <c r="L2325" s="1031"/>
      <c r="M2325" s="1031"/>
      <c r="N2325" s="1031"/>
      <c r="O2325" s="1031"/>
    </row>
    <row r="2326" spans="1:15" s="42" customFormat="1" x14ac:dyDescent="0.3">
      <c r="A2326" s="120"/>
      <c r="B2326" s="86" t="s">
        <v>33</v>
      </c>
      <c r="C2326" s="41">
        <f t="shared" si="450"/>
        <v>8</v>
      </c>
      <c r="D2326" s="41">
        <v>0</v>
      </c>
      <c r="E2326" s="41">
        <v>8</v>
      </c>
      <c r="F2326" s="41">
        <v>0</v>
      </c>
      <c r="G2326" s="41">
        <v>0</v>
      </c>
      <c r="H2326" s="41">
        <v>0</v>
      </c>
      <c r="I2326" s="41">
        <v>0</v>
      </c>
      <c r="J2326" s="1030"/>
      <c r="K2326" s="1031"/>
      <c r="L2326" s="1031"/>
      <c r="M2326" s="1031"/>
      <c r="N2326" s="1031"/>
      <c r="O2326" s="1031"/>
    </row>
    <row r="2327" spans="1:15" s="65" customFormat="1" ht="24.9" x14ac:dyDescent="0.3">
      <c r="A2327" s="538" t="s">
        <v>883</v>
      </c>
      <c r="B2327" s="84" t="s">
        <v>32</v>
      </c>
      <c r="C2327" s="41">
        <f t="shared" si="450"/>
        <v>6.3</v>
      </c>
      <c r="D2327" s="41">
        <v>0.3</v>
      </c>
      <c r="E2327" s="41">
        <v>6</v>
      </c>
      <c r="F2327" s="41">
        <v>0</v>
      </c>
      <c r="G2327" s="41">
        <v>0</v>
      </c>
      <c r="H2327" s="41">
        <v>0</v>
      </c>
      <c r="I2327" s="41">
        <v>0</v>
      </c>
      <c r="J2327" s="1030"/>
      <c r="K2327" s="1031"/>
      <c r="L2327" s="1031"/>
      <c r="M2327" s="1031"/>
      <c r="N2327" s="1031"/>
      <c r="O2327" s="1031"/>
    </row>
    <row r="2328" spans="1:15" s="42" customFormat="1" x14ac:dyDescent="0.3">
      <c r="A2328" s="120"/>
      <c r="B2328" s="86" t="s">
        <v>33</v>
      </c>
      <c r="C2328" s="41">
        <f t="shared" si="450"/>
        <v>6.3</v>
      </c>
      <c r="D2328" s="41">
        <v>0.3</v>
      </c>
      <c r="E2328" s="41">
        <v>6</v>
      </c>
      <c r="F2328" s="41">
        <v>0</v>
      </c>
      <c r="G2328" s="41">
        <v>0</v>
      </c>
      <c r="H2328" s="41">
        <v>0</v>
      </c>
      <c r="I2328" s="41">
        <v>0</v>
      </c>
      <c r="J2328" s="1030"/>
      <c r="K2328" s="1031"/>
      <c r="L2328" s="1031"/>
      <c r="M2328" s="1031"/>
      <c r="N2328" s="1031"/>
      <c r="O2328" s="1031"/>
    </row>
    <row r="2329" spans="1:15" s="65" customFormat="1" ht="14.15" x14ac:dyDescent="0.3">
      <c r="A2329" s="275" t="s">
        <v>884</v>
      </c>
      <c r="B2329" s="84" t="s">
        <v>32</v>
      </c>
      <c r="C2329" s="41">
        <f t="shared" si="450"/>
        <v>90</v>
      </c>
      <c r="D2329" s="41">
        <v>0</v>
      </c>
      <c r="E2329" s="41">
        <v>90</v>
      </c>
      <c r="F2329" s="41">
        <v>0</v>
      </c>
      <c r="G2329" s="41">
        <v>0</v>
      </c>
      <c r="H2329" s="41">
        <v>0</v>
      </c>
      <c r="I2329" s="41">
        <v>0</v>
      </c>
      <c r="J2329" s="1030"/>
      <c r="K2329" s="1031"/>
      <c r="L2329" s="1031"/>
      <c r="M2329" s="1031"/>
      <c r="N2329" s="1031"/>
      <c r="O2329" s="1031"/>
    </row>
    <row r="2330" spans="1:15" s="42" customFormat="1" x14ac:dyDescent="0.3">
      <c r="A2330" s="120"/>
      <c r="B2330" s="86" t="s">
        <v>33</v>
      </c>
      <c r="C2330" s="41">
        <f t="shared" si="450"/>
        <v>90</v>
      </c>
      <c r="D2330" s="41">
        <v>0</v>
      </c>
      <c r="E2330" s="41">
        <v>90</v>
      </c>
      <c r="F2330" s="41">
        <v>0</v>
      </c>
      <c r="G2330" s="41">
        <v>0</v>
      </c>
      <c r="H2330" s="41">
        <v>0</v>
      </c>
      <c r="I2330" s="41">
        <v>0</v>
      </c>
      <c r="J2330" s="1030"/>
      <c r="K2330" s="1031"/>
      <c r="L2330" s="1031"/>
      <c r="M2330" s="1031"/>
      <c r="N2330" s="1031"/>
      <c r="O2330" s="1031"/>
    </row>
    <row r="2331" spans="1:15" s="65" customFormat="1" ht="14.15" x14ac:dyDescent="0.3">
      <c r="A2331" s="275" t="s">
        <v>885</v>
      </c>
      <c r="B2331" s="84" t="s">
        <v>32</v>
      </c>
      <c r="C2331" s="41">
        <f t="shared" si="450"/>
        <v>3</v>
      </c>
      <c r="D2331" s="41">
        <v>0</v>
      </c>
      <c r="E2331" s="41">
        <f>26-23</f>
        <v>3</v>
      </c>
      <c r="F2331" s="41">
        <v>0</v>
      </c>
      <c r="G2331" s="41">
        <v>0</v>
      </c>
      <c r="H2331" s="41">
        <v>0</v>
      </c>
      <c r="I2331" s="41">
        <v>0</v>
      </c>
      <c r="J2331" s="1030"/>
      <c r="K2331" s="1031"/>
      <c r="L2331" s="1031"/>
      <c r="M2331" s="1031"/>
      <c r="N2331" s="1031"/>
      <c r="O2331" s="1031"/>
    </row>
    <row r="2332" spans="1:15" s="42" customFormat="1" x14ac:dyDescent="0.3">
      <c r="A2332" s="120"/>
      <c r="B2332" s="86" t="s">
        <v>33</v>
      </c>
      <c r="C2332" s="41">
        <f t="shared" si="450"/>
        <v>3</v>
      </c>
      <c r="D2332" s="41">
        <v>0</v>
      </c>
      <c r="E2332" s="41">
        <f>26-23</f>
        <v>3</v>
      </c>
      <c r="F2332" s="41">
        <v>0</v>
      </c>
      <c r="G2332" s="41">
        <v>0</v>
      </c>
      <c r="H2332" s="41">
        <v>0</v>
      </c>
      <c r="I2332" s="41">
        <v>0</v>
      </c>
      <c r="J2332" s="1030"/>
      <c r="K2332" s="1031"/>
      <c r="L2332" s="1031"/>
      <c r="M2332" s="1031"/>
      <c r="N2332" s="1031"/>
      <c r="O2332" s="1031"/>
    </row>
    <row r="2333" spans="1:15" s="126" customFormat="1" x14ac:dyDescent="0.3">
      <c r="A2333" s="539" t="s">
        <v>886</v>
      </c>
      <c r="B2333" s="514" t="s">
        <v>32</v>
      </c>
      <c r="C2333" s="122">
        <f>D2333+E2333+F2333+G2333+H2333+I2333</f>
        <v>225.31</v>
      </c>
      <c r="D2333" s="122">
        <f>D2335+D2337+D2339+D2341</f>
        <v>29.31</v>
      </c>
      <c r="E2333" s="122">
        <f t="shared" ref="E2333:I2334" si="451">E2335+E2337+E2339+E2341</f>
        <v>196</v>
      </c>
      <c r="F2333" s="122">
        <f t="shared" si="451"/>
        <v>0</v>
      </c>
      <c r="G2333" s="122">
        <f t="shared" si="451"/>
        <v>0</v>
      </c>
      <c r="H2333" s="122">
        <f t="shared" si="451"/>
        <v>0</v>
      </c>
      <c r="I2333" s="122">
        <f t="shared" si="451"/>
        <v>0</v>
      </c>
      <c r="J2333" s="540"/>
      <c r="K2333" s="540"/>
      <c r="L2333" s="540"/>
      <c r="M2333" s="540"/>
      <c r="N2333" s="540"/>
    </row>
    <row r="2334" spans="1:15" s="126" customFormat="1" x14ac:dyDescent="0.3">
      <c r="A2334" s="134"/>
      <c r="B2334" s="515" t="s">
        <v>33</v>
      </c>
      <c r="C2334" s="122">
        <f>D2334+E2334+F2334+G2334+H2334+I2334</f>
        <v>225.31</v>
      </c>
      <c r="D2334" s="122">
        <f>D2336+D2338+D2340+D2342</f>
        <v>29.31</v>
      </c>
      <c r="E2334" s="122">
        <f t="shared" si="451"/>
        <v>196</v>
      </c>
      <c r="F2334" s="122">
        <f t="shared" si="451"/>
        <v>0</v>
      </c>
      <c r="G2334" s="122">
        <f t="shared" si="451"/>
        <v>0</v>
      </c>
      <c r="H2334" s="122">
        <f t="shared" si="451"/>
        <v>0</v>
      </c>
      <c r="I2334" s="122">
        <f t="shared" si="451"/>
        <v>0</v>
      </c>
      <c r="J2334" s="540"/>
      <c r="K2334" s="540"/>
      <c r="L2334" s="540"/>
      <c r="M2334" s="540"/>
      <c r="N2334" s="540"/>
    </row>
    <row r="2335" spans="1:15" s="65" customFormat="1" ht="14.15" x14ac:dyDescent="0.35">
      <c r="A2335" s="541" t="s">
        <v>887</v>
      </c>
      <c r="B2335" s="84" t="s">
        <v>32</v>
      </c>
      <c r="C2335" s="41">
        <f t="shared" ref="C2335:C2342" si="452">D2335+E2335+F2335+G2335+H2335+I2335</f>
        <v>18.309999999999999</v>
      </c>
      <c r="D2335" s="41">
        <v>18.309999999999999</v>
      </c>
      <c r="E2335" s="41">
        <v>0</v>
      </c>
      <c r="F2335" s="41">
        <v>0</v>
      </c>
      <c r="G2335" s="41">
        <v>0</v>
      </c>
      <c r="H2335" s="41">
        <v>0</v>
      </c>
      <c r="I2335" s="41">
        <v>0</v>
      </c>
      <c r="J2335" s="1030" t="s">
        <v>888</v>
      </c>
      <c r="K2335" s="1031"/>
      <c r="L2335" s="1031"/>
      <c r="M2335" s="1031"/>
      <c r="N2335" s="1031"/>
      <c r="O2335" s="1031"/>
    </row>
    <row r="2336" spans="1:15" s="42" customFormat="1" x14ac:dyDescent="0.3">
      <c r="A2336" s="120"/>
      <c r="B2336" s="86" t="s">
        <v>33</v>
      </c>
      <c r="C2336" s="41">
        <f t="shared" si="452"/>
        <v>18.309999999999999</v>
      </c>
      <c r="D2336" s="41">
        <v>18.309999999999999</v>
      </c>
      <c r="E2336" s="41">
        <v>0</v>
      </c>
      <c r="F2336" s="41">
        <v>0</v>
      </c>
      <c r="G2336" s="41">
        <v>0</v>
      </c>
      <c r="H2336" s="41">
        <v>0</v>
      </c>
      <c r="I2336" s="41">
        <v>0</v>
      </c>
      <c r="J2336" s="1030"/>
      <c r="K2336" s="1031"/>
      <c r="L2336" s="1031"/>
      <c r="M2336" s="1031"/>
      <c r="N2336" s="1031"/>
      <c r="O2336" s="1031"/>
    </row>
    <row r="2337" spans="1:15" s="65" customFormat="1" ht="14.15" x14ac:dyDescent="0.35">
      <c r="A2337" s="541" t="s">
        <v>889</v>
      </c>
      <c r="B2337" s="84" t="s">
        <v>32</v>
      </c>
      <c r="C2337" s="41">
        <f t="shared" si="452"/>
        <v>175</v>
      </c>
      <c r="D2337" s="41">
        <v>0</v>
      </c>
      <c r="E2337" s="41">
        <v>175</v>
      </c>
      <c r="F2337" s="41">
        <v>0</v>
      </c>
      <c r="G2337" s="41">
        <v>0</v>
      </c>
      <c r="H2337" s="41">
        <v>0</v>
      </c>
      <c r="I2337" s="41">
        <v>0</v>
      </c>
      <c r="J2337" s="1030" t="s">
        <v>890</v>
      </c>
      <c r="K2337" s="1031"/>
      <c r="L2337" s="1031"/>
      <c r="M2337" s="1031"/>
      <c r="N2337" s="1031"/>
      <c r="O2337" s="1031"/>
    </row>
    <row r="2338" spans="1:15" s="42" customFormat="1" x14ac:dyDescent="0.3">
      <c r="A2338" s="120"/>
      <c r="B2338" s="86" t="s">
        <v>33</v>
      </c>
      <c r="C2338" s="41">
        <f t="shared" si="452"/>
        <v>175</v>
      </c>
      <c r="D2338" s="41">
        <v>0</v>
      </c>
      <c r="E2338" s="41">
        <v>175</v>
      </c>
      <c r="F2338" s="41">
        <v>0</v>
      </c>
      <c r="G2338" s="41">
        <v>0</v>
      </c>
      <c r="H2338" s="41">
        <v>0</v>
      </c>
      <c r="I2338" s="41">
        <v>0</v>
      </c>
      <c r="J2338" s="1030"/>
      <c r="K2338" s="1031"/>
      <c r="L2338" s="1031"/>
      <c r="M2338" s="1031"/>
      <c r="N2338" s="1031"/>
      <c r="O2338" s="1031"/>
    </row>
    <row r="2339" spans="1:15" s="65" customFormat="1" ht="14.15" x14ac:dyDescent="0.35">
      <c r="A2339" s="276" t="s">
        <v>891</v>
      </c>
      <c r="B2339" s="84" t="s">
        <v>32</v>
      </c>
      <c r="C2339" s="41">
        <f t="shared" si="452"/>
        <v>11</v>
      </c>
      <c r="D2339" s="41">
        <v>11</v>
      </c>
      <c r="E2339" s="41">
        <v>0</v>
      </c>
      <c r="F2339" s="41">
        <v>0</v>
      </c>
      <c r="G2339" s="41">
        <v>0</v>
      </c>
      <c r="H2339" s="41">
        <v>0</v>
      </c>
      <c r="I2339" s="41">
        <v>0</v>
      </c>
      <c r="J2339" s="1030" t="s">
        <v>892</v>
      </c>
      <c r="K2339" s="1031"/>
      <c r="L2339" s="1031"/>
      <c r="M2339" s="1031"/>
      <c r="N2339" s="1031"/>
      <c r="O2339" s="1031"/>
    </row>
    <row r="2340" spans="1:15" s="42" customFormat="1" x14ac:dyDescent="0.3">
      <c r="A2340" s="120"/>
      <c r="B2340" s="86" t="s">
        <v>33</v>
      </c>
      <c r="C2340" s="41">
        <f t="shared" si="452"/>
        <v>11</v>
      </c>
      <c r="D2340" s="41">
        <v>11</v>
      </c>
      <c r="E2340" s="41">
        <v>0</v>
      </c>
      <c r="F2340" s="41">
        <v>0</v>
      </c>
      <c r="G2340" s="41">
        <v>0</v>
      </c>
      <c r="H2340" s="41">
        <v>0</v>
      </c>
      <c r="I2340" s="41">
        <v>0</v>
      </c>
      <c r="J2340" s="1030"/>
      <c r="K2340" s="1031"/>
      <c r="L2340" s="1031"/>
      <c r="M2340" s="1031"/>
      <c r="N2340" s="1031"/>
      <c r="O2340" s="1031"/>
    </row>
    <row r="2341" spans="1:15" s="65" customFormat="1" ht="30" customHeight="1" x14ac:dyDescent="0.3">
      <c r="A2341" s="542" t="s">
        <v>893</v>
      </c>
      <c r="B2341" s="84" t="s">
        <v>32</v>
      </c>
      <c r="C2341" s="41">
        <f t="shared" si="452"/>
        <v>21</v>
      </c>
      <c r="D2341" s="41">
        <v>0</v>
      </c>
      <c r="E2341" s="41">
        <v>21</v>
      </c>
      <c r="F2341" s="41">
        <v>0</v>
      </c>
      <c r="G2341" s="41">
        <v>0</v>
      </c>
      <c r="H2341" s="41">
        <v>0</v>
      </c>
      <c r="I2341" s="41">
        <v>0</v>
      </c>
      <c r="J2341" s="1030"/>
      <c r="K2341" s="1031"/>
      <c r="L2341" s="1031"/>
      <c r="M2341" s="1031"/>
      <c r="N2341" s="1031"/>
      <c r="O2341" s="1031"/>
    </row>
    <row r="2342" spans="1:15" s="42" customFormat="1" x14ac:dyDescent="0.3">
      <c r="A2342" s="120"/>
      <c r="B2342" s="86" t="s">
        <v>33</v>
      </c>
      <c r="C2342" s="41">
        <f t="shared" si="452"/>
        <v>21</v>
      </c>
      <c r="D2342" s="41">
        <v>0</v>
      </c>
      <c r="E2342" s="41">
        <v>21</v>
      </c>
      <c r="F2342" s="41">
        <v>0</v>
      </c>
      <c r="G2342" s="41">
        <v>0</v>
      </c>
      <c r="H2342" s="41">
        <v>0</v>
      </c>
      <c r="I2342" s="41">
        <v>0</v>
      </c>
      <c r="J2342" s="1030"/>
      <c r="K2342" s="1031"/>
      <c r="L2342" s="1031"/>
      <c r="M2342" s="1031"/>
      <c r="N2342" s="1031"/>
      <c r="O2342" s="1031"/>
    </row>
    <row r="2343" spans="1:15" s="126" customFormat="1" x14ac:dyDescent="0.3">
      <c r="A2343" s="148" t="s">
        <v>431</v>
      </c>
      <c r="B2343" s="514" t="s">
        <v>32</v>
      </c>
      <c r="C2343" s="122">
        <f>D2343+E2343+F2343+G2343+H2343+I2343</f>
        <v>180</v>
      </c>
      <c r="D2343" s="122">
        <f>D2345+D2347+D2349</f>
        <v>0</v>
      </c>
      <c r="E2343" s="122">
        <f t="shared" ref="E2343:I2344" si="453">E2345+E2347+E2349</f>
        <v>180</v>
      </c>
      <c r="F2343" s="122">
        <f t="shared" si="453"/>
        <v>0</v>
      </c>
      <c r="G2343" s="122">
        <f t="shared" si="453"/>
        <v>0</v>
      </c>
      <c r="H2343" s="122">
        <f t="shared" si="453"/>
        <v>0</v>
      </c>
      <c r="I2343" s="122">
        <f t="shared" si="453"/>
        <v>0</v>
      </c>
      <c r="J2343" s="540"/>
      <c r="K2343" s="540"/>
      <c r="L2343" s="540"/>
      <c r="M2343" s="540"/>
      <c r="N2343" s="540"/>
    </row>
    <row r="2344" spans="1:15" s="126" customFormat="1" x14ac:dyDescent="0.3">
      <c r="A2344" s="134"/>
      <c r="B2344" s="515" t="s">
        <v>33</v>
      </c>
      <c r="C2344" s="122">
        <f>D2344+E2344+F2344+G2344+H2344+I2344</f>
        <v>180</v>
      </c>
      <c r="D2344" s="122">
        <f>D2346+D2348+D2350</f>
        <v>0</v>
      </c>
      <c r="E2344" s="122">
        <f t="shared" si="453"/>
        <v>180</v>
      </c>
      <c r="F2344" s="122">
        <f t="shared" si="453"/>
        <v>0</v>
      </c>
      <c r="G2344" s="122">
        <f t="shared" si="453"/>
        <v>0</v>
      </c>
      <c r="H2344" s="122">
        <f t="shared" si="453"/>
        <v>0</v>
      </c>
      <c r="I2344" s="122">
        <f t="shared" si="453"/>
        <v>0</v>
      </c>
      <c r="J2344" s="540"/>
      <c r="K2344" s="540"/>
      <c r="L2344" s="540"/>
      <c r="M2344" s="540"/>
      <c r="N2344" s="540"/>
    </row>
    <row r="2345" spans="1:15" s="65" customFormat="1" ht="14.15" x14ac:dyDescent="0.35">
      <c r="A2345" s="293" t="s">
        <v>894</v>
      </c>
      <c r="B2345" s="84" t="s">
        <v>32</v>
      </c>
      <c r="C2345" s="41">
        <f t="shared" ref="C2345:C2350" si="454">D2345+E2345+F2345+G2345+H2345+I2345</f>
        <v>0</v>
      </c>
      <c r="D2345" s="41">
        <v>0</v>
      </c>
      <c r="E2345" s="41">
        <f>150-150</f>
        <v>0</v>
      </c>
      <c r="F2345" s="41">
        <v>0</v>
      </c>
      <c r="G2345" s="41">
        <v>0</v>
      </c>
      <c r="H2345" s="41">
        <v>0</v>
      </c>
      <c r="I2345" s="41">
        <v>0</v>
      </c>
      <c r="J2345" s="1030"/>
      <c r="K2345" s="1031"/>
      <c r="L2345" s="1031"/>
      <c r="M2345" s="1031"/>
      <c r="N2345" s="1031"/>
      <c r="O2345" s="1031"/>
    </row>
    <row r="2346" spans="1:15" s="42" customFormat="1" x14ac:dyDescent="0.3">
      <c r="A2346" s="120"/>
      <c r="B2346" s="86" t="s">
        <v>33</v>
      </c>
      <c r="C2346" s="41">
        <f t="shared" si="454"/>
        <v>0</v>
      </c>
      <c r="D2346" s="41">
        <v>0</v>
      </c>
      <c r="E2346" s="41">
        <f>150-150</f>
        <v>0</v>
      </c>
      <c r="F2346" s="41">
        <v>0</v>
      </c>
      <c r="G2346" s="41">
        <v>0</v>
      </c>
      <c r="H2346" s="41">
        <v>0</v>
      </c>
      <c r="I2346" s="41">
        <v>0</v>
      </c>
      <c r="J2346" s="1030"/>
      <c r="K2346" s="1031"/>
      <c r="L2346" s="1031"/>
      <c r="M2346" s="1031"/>
      <c r="N2346" s="1031"/>
      <c r="O2346" s="1031"/>
    </row>
    <row r="2347" spans="1:15" s="65" customFormat="1" ht="14.15" x14ac:dyDescent="0.35">
      <c r="A2347" s="293" t="s">
        <v>895</v>
      </c>
      <c r="B2347" s="84" t="s">
        <v>32</v>
      </c>
      <c r="C2347" s="41">
        <f t="shared" si="454"/>
        <v>0</v>
      </c>
      <c r="D2347" s="41">
        <v>0</v>
      </c>
      <c r="E2347" s="41">
        <f>30-30</f>
        <v>0</v>
      </c>
      <c r="F2347" s="41">
        <v>0</v>
      </c>
      <c r="G2347" s="41">
        <v>0</v>
      </c>
      <c r="H2347" s="41">
        <v>0</v>
      </c>
      <c r="I2347" s="41">
        <v>0</v>
      </c>
      <c r="J2347" s="1030"/>
      <c r="K2347" s="1031"/>
      <c r="L2347" s="1031"/>
      <c r="M2347" s="1031"/>
      <c r="N2347" s="1031"/>
      <c r="O2347" s="1031"/>
    </row>
    <row r="2348" spans="1:15" s="42" customFormat="1" x14ac:dyDescent="0.3">
      <c r="A2348" s="120"/>
      <c r="B2348" s="86" t="s">
        <v>33</v>
      </c>
      <c r="C2348" s="41">
        <f t="shared" si="454"/>
        <v>0</v>
      </c>
      <c r="D2348" s="41">
        <v>0</v>
      </c>
      <c r="E2348" s="41">
        <f>30-30</f>
        <v>0</v>
      </c>
      <c r="F2348" s="41">
        <v>0</v>
      </c>
      <c r="G2348" s="41">
        <v>0</v>
      </c>
      <c r="H2348" s="41">
        <v>0</v>
      </c>
      <c r="I2348" s="41">
        <v>0</v>
      </c>
      <c r="J2348" s="1030"/>
      <c r="K2348" s="1031"/>
      <c r="L2348" s="1031"/>
      <c r="M2348" s="1031"/>
      <c r="N2348" s="1031"/>
      <c r="O2348" s="1031"/>
    </row>
    <row r="2349" spans="1:15" s="65" customFormat="1" ht="24.9" x14ac:dyDescent="0.3">
      <c r="A2349" s="543" t="s">
        <v>896</v>
      </c>
      <c r="B2349" s="84" t="s">
        <v>32</v>
      </c>
      <c r="C2349" s="41">
        <f t="shared" si="454"/>
        <v>180</v>
      </c>
      <c r="D2349" s="41">
        <v>0</v>
      </c>
      <c r="E2349" s="41">
        <v>180</v>
      </c>
      <c r="F2349" s="41">
        <v>0</v>
      </c>
      <c r="G2349" s="41">
        <v>0</v>
      </c>
      <c r="H2349" s="41">
        <v>0</v>
      </c>
      <c r="I2349" s="41">
        <v>0</v>
      </c>
      <c r="J2349" s="1030"/>
      <c r="K2349" s="1031"/>
      <c r="L2349" s="1031"/>
      <c r="M2349" s="1031"/>
      <c r="N2349" s="1031"/>
      <c r="O2349" s="1031"/>
    </row>
    <row r="2350" spans="1:15" s="42" customFormat="1" x14ac:dyDescent="0.3">
      <c r="A2350" s="120"/>
      <c r="B2350" s="86" t="s">
        <v>33</v>
      </c>
      <c r="C2350" s="41">
        <f t="shared" si="454"/>
        <v>180</v>
      </c>
      <c r="D2350" s="41">
        <v>0</v>
      </c>
      <c r="E2350" s="41">
        <v>180</v>
      </c>
      <c r="F2350" s="41">
        <v>0</v>
      </c>
      <c r="G2350" s="41">
        <v>0</v>
      </c>
      <c r="H2350" s="41">
        <v>0</v>
      </c>
      <c r="I2350" s="41">
        <v>0</v>
      </c>
      <c r="J2350" s="1030"/>
      <c r="K2350" s="1031"/>
      <c r="L2350" s="1031"/>
      <c r="M2350" s="1031"/>
      <c r="N2350" s="1031"/>
      <c r="O2350" s="1031"/>
    </row>
    <row r="2351" spans="1:15" s="126" customFormat="1" ht="14.15" x14ac:dyDescent="0.35">
      <c r="A2351" s="544" t="s">
        <v>897</v>
      </c>
      <c r="B2351" s="514" t="s">
        <v>32</v>
      </c>
      <c r="C2351" s="122">
        <f>D2351+E2351+F2351+G2351+H2351+I2351</f>
        <v>177</v>
      </c>
      <c r="D2351" s="122">
        <f>D2353+D2355+D2357</f>
        <v>27</v>
      </c>
      <c r="E2351" s="122">
        <f t="shared" ref="E2351:I2352" si="455">E2353+E2355+E2357</f>
        <v>150</v>
      </c>
      <c r="F2351" s="122">
        <f t="shared" si="455"/>
        <v>0</v>
      </c>
      <c r="G2351" s="122">
        <f t="shared" si="455"/>
        <v>0</v>
      </c>
      <c r="H2351" s="122">
        <f t="shared" si="455"/>
        <v>0</v>
      </c>
      <c r="I2351" s="122">
        <f t="shared" si="455"/>
        <v>0</v>
      </c>
      <c r="J2351" s="540"/>
      <c r="K2351" s="540"/>
      <c r="L2351" s="540"/>
      <c r="M2351" s="540"/>
      <c r="N2351" s="540"/>
    </row>
    <row r="2352" spans="1:15" s="126" customFormat="1" x14ac:dyDescent="0.3">
      <c r="A2352" s="134"/>
      <c r="B2352" s="515" t="s">
        <v>33</v>
      </c>
      <c r="C2352" s="122">
        <f>D2352+E2352+F2352+G2352+H2352+I2352</f>
        <v>177</v>
      </c>
      <c r="D2352" s="122">
        <f>D2354+D2356+D2358</f>
        <v>27</v>
      </c>
      <c r="E2352" s="122">
        <f t="shared" si="455"/>
        <v>150</v>
      </c>
      <c r="F2352" s="122">
        <f t="shared" si="455"/>
        <v>0</v>
      </c>
      <c r="G2352" s="122">
        <f t="shared" si="455"/>
        <v>0</v>
      </c>
      <c r="H2352" s="122">
        <f t="shared" si="455"/>
        <v>0</v>
      </c>
      <c r="I2352" s="122">
        <f t="shared" si="455"/>
        <v>0</v>
      </c>
      <c r="J2352" s="540"/>
      <c r="K2352" s="540"/>
      <c r="L2352" s="540"/>
      <c r="M2352" s="540"/>
      <c r="N2352" s="540"/>
    </row>
    <row r="2353" spans="1:16" s="65" customFormat="1" ht="24.9" x14ac:dyDescent="0.3">
      <c r="A2353" s="244" t="s">
        <v>898</v>
      </c>
      <c r="B2353" s="84" t="s">
        <v>32</v>
      </c>
      <c r="C2353" s="41">
        <f t="shared" ref="C2353:C2368" si="456">D2353+E2353+F2353+G2353+H2353+I2353</f>
        <v>27</v>
      </c>
      <c r="D2353" s="41">
        <v>27</v>
      </c>
      <c r="E2353" s="41">
        <v>0</v>
      </c>
      <c r="F2353" s="41">
        <v>0</v>
      </c>
      <c r="G2353" s="41">
        <v>0</v>
      </c>
      <c r="H2353" s="41">
        <v>0</v>
      </c>
      <c r="I2353" s="41">
        <v>0</v>
      </c>
      <c r="J2353" s="1030"/>
      <c r="K2353" s="1031"/>
      <c r="L2353" s="1031"/>
      <c r="M2353" s="1031"/>
      <c r="N2353" s="1031"/>
      <c r="O2353" s="1031"/>
    </row>
    <row r="2354" spans="1:16" s="42" customFormat="1" x14ac:dyDescent="0.3">
      <c r="A2354" s="120"/>
      <c r="B2354" s="86" t="s">
        <v>33</v>
      </c>
      <c r="C2354" s="41">
        <f t="shared" si="456"/>
        <v>27</v>
      </c>
      <c r="D2354" s="41">
        <v>27</v>
      </c>
      <c r="E2354" s="41">
        <v>0</v>
      </c>
      <c r="F2354" s="41">
        <v>0</v>
      </c>
      <c r="G2354" s="41">
        <v>0</v>
      </c>
      <c r="H2354" s="41">
        <v>0</v>
      </c>
      <c r="I2354" s="41">
        <v>0</v>
      </c>
      <c r="J2354" s="1030"/>
      <c r="K2354" s="1031"/>
      <c r="L2354" s="1031"/>
      <c r="M2354" s="1031"/>
      <c r="N2354" s="1031"/>
      <c r="O2354" s="1031"/>
    </row>
    <row r="2355" spans="1:16" s="65" customFormat="1" ht="25.5" customHeight="1" x14ac:dyDescent="0.3">
      <c r="A2355" s="545" t="s">
        <v>899</v>
      </c>
      <c r="B2355" s="84" t="s">
        <v>32</v>
      </c>
      <c r="C2355" s="41">
        <f t="shared" si="456"/>
        <v>70</v>
      </c>
      <c r="D2355" s="41">
        <v>0</v>
      </c>
      <c r="E2355" s="41">
        <f>350-280</f>
        <v>70</v>
      </c>
      <c r="F2355" s="41">
        <v>0</v>
      </c>
      <c r="G2355" s="41">
        <v>0</v>
      </c>
      <c r="H2355" s="41">
        <v>0</v>
      </c>
      <c r="I2355" s="41">
        <v>0</v>
      </c>
      <c r="J2355" s="1030"/>
      <c r="K2355" s="1031"/>
      <c r="L2355" s="1031"/>
      <c r="M2355" s="1031"/>
      <c r="N2355" s="1031"/>
      <c r="O2355" s="1031"/>
    </row>
    <row r="2356" spans="1:16" s="42" customFormat="1" x14ac:dyDescent="0.3">
      <c r="A2356" s="120"/>
      <c r="B2356" s="86" t="s">
        <v>33</v>
      </c>
      <c r="C2356" s="41">
        <f t="shared" si="456"/>
        <v>70</v>
      </c>
      <c r="D2356" s="41">
        <v>0</v>
      </c>
      <c r="E2356" s="41">
        <f>350-280</f>
        <v>70</v>
      </c>
      <c r="F2356" s="41">
        <v>0</v>
      </c>
      <c r="G2356" s="41">
        <v>0</v>
      </c>
      <c r="H2356" s="41">
        <v>0</v>
      </c>
      <c r="I2356" s="41">
        <v>0</v>
      </c>
      <c r="J2356" s="1030"/>
      <c r="K2356" s="1031"/>
      <c r="L2356" s="1031"/>
      <c r="M2356" s="1031"/>
      <c r="N2356" s="1031"/>
      <c r="O2356" s="1031"/>
    </row>
    <row r="2357" spans="1:16" s="65" customFormat="1" ht="25.5" customHeight="1" x14ac:dyDescent="0.3">
      <c r="A2357" s="546" t="s">
        <v>900</v>
      </c>
      <c r="B2357" s="84" t="s">
        <v>32</v>
      </c>
      <c r="C2357" s="41">
        <f t="shared" si="456"/>
        <v>80</v>
      </c>
      <c r="D2357" s="41">
        <v>0</v>
      </c>
      <c r="E2357" s="41">
        <v>80</v>
      </c>
      <c r="F2357" s="41">
        <v>0</v>
      </c>
      <c r="G2357" s="41">
        <v>0</v>
      </c>
      <c r="H2357" s="41">
        <v>0</v>
      </c>
      <c r="I2357" s="41">
        <v>0</v>
      </c>
      <c r="J2357" s="1030"/>
      <c r="K2357" s="1031"/>
      <c r="L2357" s="1031"/>
      <c r="M2357" s="1031"/>
      <c r="N2357" s="1031"/>
      <c r="O2357" s="1031"/>
    </row>
    <row r="2358" spans="1:16" s="42" customFormat="1" x14ac:dyDescent="0.3">
      <c r="A2358" s="120"/>
      <c r="B2358" s="86" t="s">
        <v>33</v>
      </c>
      <c r="C2358" s="41">
        <f t="shared" si="456"/>
        <v>80</v>
      </c>
      <c r="D2358" s="41">
        <v>0</v>
      </c>
      <c r="E2358" s="41">
        <v>80</v>
      </c>
      <c r="F2358" s="41">
        <v>0</v>
      </c>
      <c r="G2358" s="41">
        <v>0</v>
      </c>
      <c r="H2358" s="41">
        <v>0</v>
      </c>
      <c r="I2358" s="41">
        <v>0</v>
      </c>
      <c r="J2358" s="1030"/>
      <c r="K2358" s="1031"/>
      <c r="L2358" s="1031"/>
      <c r="M2358" s="1031"/>
      <c r="N2358" s="1031"/>
      <c r="O2358" s="1031"/>
    </row>
    <row r="2359" spans="1:16" s="126" customFormat="1" ht="24.9" x14ac:dyDescent="0.3">
      <c r="A2359" s="133" t="s">
        <v>901</v>
      </c>
      <c r="B2359" s="514" t="s">
        <v>32</v>
      </c>
      <c r="C2359" s="122">
        <f t="shared" si="456"/>
        <v>41</v>
      </c>
      <c r="D2359" s="122">
        <f>D2361+D2363</f>
        <v>0</v>
      </c>
      <c r="E2359" s="122">
        <f t="shared" ref="E2359:I2360" si="457">E2361+E2363</f>
        <v>41</v>
      </c>
      <c r="F2359" s="122">
        <f t="shared" si="457"/>
        <v>0</v>
      </c>
      <c r="G2359" s="122">
        <f t="shared" si="457"/>
        <v>0</v>
      </c>
      <c r="H2359" s="122">
        <f t="shared" si="457"/>
        <v>0</v>
      </c>
      <c r="I2359" s="122">
        <f t="shared" si="457"/>
        <v>0</v>
      </c>
    </row>
    <row r="2360" spans="1:16" s="126" customFormat="1" x14ac:dyDescent="0.3">
      <c r="A2360" s="134"/>
      <c r="B2360" s="515" t="s">
        <v>33</v>
      </c>
      <c r="C2360" s="122">
        <f t="shared" si="456"/>
        <v>41</v>
      </c>
      <c r="D2360" s="122">
        <f>D2362+D2364</f>
        <v>0</v>
      </c>
      <c r="E2360" s="122">
        <f t="shared" si="457"/>
        <v>41</v>
      </c>
      <c r="F2360" s="122">
        <f t="shared" si="457"/>
        <v>0</v>
      </c>
      <c r="G2360" s="122">
        <f t="shared" si="457"/>
        <v>0</v>
      </c>
      <c r="H2360" s="122">
        <f t="shared" si="457"/>
        <v>0</v>
      </c>
      <c r="I2360" s="122">
        <f t="shared" si="457"/>
        <v>0</v>
      </c>
    </row>
    <row r="2361" spans="1:16" s="168" customFormat="1" ht="14.15" x14ac:dyDescent="0.35">
      <c r="A2361" s="317" t="s">
        <v>902</v>
      </c>
      <c r="B2361" s="547" t="s">
        <v>32</v>
      </c>
      <c r="C2361" s="97">
        <f t="shared" si="456"/>
        <v>11</v>
      </c>
      <c r="D2361" s="49">
        <v>0</v>
      </c>
      <c r="E2361" s="49">
        <v>11</v>
      </c>
      <c r="F2361" s="49">
        <v>0</v>
      </c>
      <c r="G2361" s="49">
        <v>0</v>
      </c>
      <c r="H2361" s="49">
        <v>0</v>
      </c>
      <c r="I2361" s="49">
        <v>0</v>
      </c>
      <c r="J2361" s="1026"/>
      <c r="K2361" s="1027"/>
      <c r="L2361" s="1027"/>
      <c r="M2361" s="1027"/>
      <c r="N2361" s="1027"/>
      <c r="O2361" s="983"/>
      <c r="P2361" s="983"/>
    </row>
    <row r="2362" spans="1:16" s="168" customFormat="1" x14ac:dyDescent="0.3">
      <c r="A2362" s="186"/>
      <c r="B2362" s="80" t="s">
        <v>33</v>
      </c>
      <c r="C2362" s="97">
        <f t="shared" si="456"/>
        <v>11</v>
      </c>
      <c r="D2362" s="49">
        <v>0</v>
      </c>
      <c r="E2362" s="49">
        <v>11</v>
      </c>
      <c r="F2362" s="49">
        <v>0</v>
      </c>
      <c r="G2362" s="49">
        <v>0</v>
      </c>
      <c r="H2362" s="49">
        <v>0</v>
      </c>
      <c r="I2362" s="49">
        <v>0</v>
      </c>
      <c r="J2362" s="1026"/>
      <c r="K2362" s="1027"/>
      <c r="L2362" s="1027"/>
      <c r="M2362" s="1027"/>
      <c r="N2362" s="1027"/>
      <c r="O2362" s="983"/>
      <c r="P2362" s="983"/>
    </row>
    <row r="2363" spans="1:16" s="168" customFormat="1" ht="14.15" x14ac:dyDescent="0.3">
      <c r="A2363" s="314" t="s">
        <v>903</v>
      </c>
      <c r="B2363" s="547" t="s">
        <v>32</v>
      </c>
      <c r="C2363" s="97">
        <f t="shared" si="456"/>
        <v>30</v>
      </c>
      <c r="D2363" s="49">
        <v>0</v>
      </c>
      <c r="E2363" s="49">
        <v>30</v>
      </c>
      <c r="F2363" s="49">
        <v>0</v>
      </c>
      <c r="G2363" s="49">
        <v>0</v>
      </c>
      <c r="H2363" s="49">
        <v>0</v>
      </c>
      <c r="I2363" s="49">
        <v>0</v>
      </c>
      <c r="J2363" s="1026"/>
      <c r="K2363" s="1027"/>
      <c r="L2363" s="1027"/>
      <c r="M2363" s="1027"/>
      <c r="N2363" s="1027"/>
      <c r="O2363" s="983"/>
      <c r="P2363" s="983"/>
    </row>
    <row r="2364" spans="1:16" s="168" customFormat="1" x14ac:dyDescent="0.3">
      <c r="A2364" s="186"/>
      <c r="B2364" s="80" t="s">
        <v>33</v>
      </c>
      <c r="C2364" s="97">
        <f t="shared" si="456"/>
        <v>30</v>
      </c>
      <c r="D2364" s="49">
        <v>0</v>
      </c>
      <c r="E2364" s="49">
        <v>30</v>
      </c>
      <c r="F2364" s="49">
        <v>0</v>
      </c>
      <c r="G2364" s="49">
        <v>0</v>
      </c>
      <c r="H2364" s="49">
        <v>0</v>
      </c>
      <c r="I2364" s="49">
        <v>0</v>
      </c>
      <c r="J2364" s="1026"/>
      <c r="K2364" s="1027"/>
      <c r="L2364" s="1027"/>
      <c r="M2364" s="1027"/>
      <c r="N2364" s="1027"/>
      <c r="O2364" s="983"/>
      <c r="P2364" s="983"/>
    </row>
    <row r="2365" spans="1:16" s="126" customFormat="1" ht="28.3" x14ac:dyDescent="0.35">
      <c r="A2365" s="548" t="s">
        <v>904</v>
      </c>
      <c r="B2365" s="514" t="s">
        <v>32</v>
      </c>
      <c r="C2365" s="122">
        <f t="shared" si="456"/>
        <v>1249</v>
      </c>
      <c r="D2365" s="122">
        <f>D2367</f>
        <v>0</v>
      </c>
      <c r="E2365" s="122">
        <f t="shared" ref="E2365:I2366" si="458">E2367</f>
        <v>1249</v>
      </c>
      <c r="F2365" s="122">
        <f t="shared" si="458"/>
        <v>0</v>
      </c>
      <c r="G2365" s="122">
        <f t="shared" si="458"/>
        <v>0</v>
      </c>
      <c r="H2365" s="122">
        <f t="shared" si="458"/>
        <v>0</v>
      </c>
      <c r="I2365" s="122">
        <f t="shared" si="458"/>
        <v>0</v>
      </c>
    </row>
    <row r="2366" spans="1:16" s="126" customFormat="1" x14ac:dyDescent="0.3">
      <c r="A2366" s="134"/>
      <c r="B2366" s="515" t="s">
        <v>33</v>
      </c>
      <c r="C2366" s="122">
        <f t="shared" si="456"/>
        <v>1249</v>
      </c>
      <c r="D2366" s="122">
        <f>D2368</f>
        <v>0</v>
      </c>
      <c r="E2366" s="122">
        <f t="shared" si="458"/>
        <v>1249</v>
      </c>
      <c r="F2366" s="122">
        <f t="shared" si="458"/>
        <v>0</v>
      </c>
      <c r="G2366" s="122">
        <f t="shared" si="458"/>
        <v>0</v>
      </c>
      <c r="H2366" s="122">
        <f t="shared" si="458"/>
        <v>0</v>
      </c>
      <c r="I2366" s="122">
        <f t="shared" si="458"/>
        <v>0</v>
      </c>
    </row>
    <row r="2367" spans="1:16" s="168" customFormat="1" ht="28.3" x14ac:dyDescent="0.3">
      <c r="A2367" s="314" t="s">
        <v>905</v>
      </c>
      <c r="B2367" s="547" t="s">
        <v>32</v>
      </c>
      <c r="C2367" s="97">
        <f t="shared" si="456"/>
        <v>1249</v>
      </c>
      <c r="D2367" s="49">
        <v>0</v>
      </c>
      <c r="E2367" s="49">
        <v>1249</v>
      </c>
      <c r="F2367" s="49">
        <v>0</v>
      </c>
      <c r="G2367" s="49">
        <v>0</v>
      </c>
      <c r="H2367" s="49">
        <v>0</v>
      </c>
      <c r="I2367" s="49">
        <v>0</v>
      </c>
      <c r="J2367" s="1026"/>
      <c r="K2367" s="1027"/>
      <c r="L2367" s="1027"/>
      <c r="M2367" s="1027"/>
      <c r="N2367" s="1027"/>
      <c r="O2367" s="983"/>
      <c r="P2367" s="983"/>
    </row>
    <row r="2368" spans="1:16" s="168" customFormat="1" x14ac:dyDescent="0.3">
      <c r="A2368" s="186"/>
      <c r="B2368" s="80" t="s">
        <v>33</v>
      </c>
      <c r="C2368" s="97">
        <f t="shared" si="456"/>
        <v>1249</v>
      </c>
      <c r="D2368" s="49">
        <v>0</v>
      </c>
      <c r="E2368" s="49">
        <v>1249</v>
      </c>
      <c r="F2368" s="49">
        <v>0</v>
      </c>
      <c r="G2368" s="49">
        <v>0</v>
      </c>
      <c r="H2368" s="49">
        <v>0</v>
      </c>
      <c r="I2368" s="49">
        <v>0</v>
      </c>
      <c r="J2368" s="1026"/>
      <c r="K2368" s="1027"/>
      <c r="L2368" s="1027"/>
      <c r="M2368" s="1027"/>
      <c r="N2368" s="1027"/>
      <c r="O2368" s="983"/>
      <c r="P2368" s="983"/>
    </row>
    <row r="2369" spans="1:16" s="14" customFormat="1" x14ac:dyDescent="0.3">
      <c r="A2369" s="61" t="s">
        <v>55</v>
      </c>
      <c r="B2369" s="535" t="s">
        <v>32</v>
      </c>
      <c r="C2369" s="36">
        <f t="shared" si="440"/>
        <v>9035.41</v>
      </c>
      <c r="D2369" s="36">
        <f t="shared" ref="D2369:I2370" si="459">D2371+D2377+D2387+D2391</f>
        <v>823.41000000000008</v>
      </c>
      <c r="E2369" s="36">
        <f t="shared" si="459"/>
        <v>8166</v>
      </c>
      <c r="F2369" s="36">
        <f t="shared" si="459"/>
        <v>0</v>
      </c>
      <c r="G2369" s="36">
        <f t="shared" si="459"/>
        <v>0</v>
      </c>
      <c r="H2369" s="36">
        <f t="shared" si="459"/>
        <v>0</v>
      </c>
      <c r="I2369" s="36">
        <f t="shared" si="459"/>
        <v>46</v>
      </c>
      <c r="J2369" s="540"/>
      <c r="K2369" s="540"/>
      <c r="L2369" s="540"/>
      <c r="M2369" s="540"/>
      <c r="N2369" s="540"/>
    </row>
    <row r="2370" spans="1:16" s="14" customFormat="1" x14ac:dyDescent="0.3">
      <c r="A2370" s="19"/>
      <c r="B2370" s="536" t="s">
        <v>33</v>
      </c>
      <c r="C2370" s="36">
        <f t="shared" si="440"/>
        <v>9035.41</v>
      </c>
      <c r="D2370" s="36">
        <f t="shared" si="459"/>
        <v>823.41000000000008</v>
      </c>
      <c r="E2370" s="36">
        <f t="shared" si="459"/>
        <v>8166</v>
      </c>
      <c r="F2370" s="36">
        <f t="shared" si="459"/>
        <v>0</v>
      </c>
      <c r="G2370" s="36">
        <f t="shared" si="459"/>
        <v>0</v>
      </c>
      <c r="H2370" s="36">
        <f t="shared" si="459"/>
        <v>0</v>
      </c>
      <c r="I2370" s="36">
        <f t="shared" si="459"/>
        <v>46</v>
      </c>
    </row>
    <row r="2371" spans="1:16" s="14" customFormat="1" x14ac:dyDescent="0.3">
      <c r="A2371" s="149" t="s">
        <v>93</v>
      </c>
      <c r="B2371" s="535" t="s">
        <v>32</v>
      </c>
      <c r="C2371" s="36">
        <f t="shared" si="440"/>
        <v>523</v>
      </c>
      <c r="D2371" s="36">
        <f>D2373+D2375</f>
        <v>279</v>
      </c>
      <c r="E2371" s="36">
        <f t="shared" ref="E2371:I2372" si="460">E2373+E2375</f>
        <v>198</v>
      </c>
      <c r="F2371" s="36">
        <f t="shared" si="460"/>
        <v>0</v>
      </c>
      <c r="G2371" s="36">
        <f t="shared" si="460"/>
        <v>0</v>
      </c>
      <c r="H2371" s="36">
        <f t="shared" si="460"/>
        <v>0</v>
      </c>
      <c r="I2371" s="36">
        <f t="shared" si="460"/>
        <v>46</v>
      </c>
    </row>
    <row r="2372" spans="1:16" s="14" customFormat="1" x14ac:dyDescent="0.3">
      <c r="A2372" s="549"/>
      <c r="B2372" s="536" t="s">
        <v>33</v>
      </c>
      <c r="C2372" s="36">
        <f t="shared" si="440"/>
        <v>523</v>
      </c>
      <c r="D2372" s="36">
        <f>D2374+D2376</f>
        <v>279</v>
      </c>
      <c r="E2372" s="36">
        <f t="shared" si="460"/>
        <v>198</v>
      </c>
      <c r="F2372" s="36">
        <f t="shared" si="460"/>
        <v>0</v>
      </c>
      <c r="G2372" s="36">
        <f t="shared" si="460"/>
        <v>0</v>
      </c>
      <c r="H2372" s="36">
        <f t="shared" si="460"/>
        <v>0</v>
      </c>
      <c r="I2372" s="36">
        <f t="shared" si="460"/>
        <v>46</v>
      </c>
    </row>
    <row r="2373" spans="1:16" s="236" customFormat="1" ht="24.9" x14ac:dyDescent="0.3">
      <c r="A2373" s="550" t="s">
        <v>906</v>
      </c>
      <c r="B2373" s="551" t="s">
        <v>32</v>
      </c>
      <c r="C2373" s="206">
        <f>D2373+E2373+F2373+G2373+H2373+I2373</f>
        <v>325</v>
      </c>
      <c r="D2373" s="206">
        <v>279</v>
      </c>
      <c r="E2373" s="206">
        <v>0</v>
      </c>
      <c r="F2373" s="206">
        <v>0</v>
      </c>
      <c r="G2373" s="206">
        <v>0</v>
      </c>
      <c r="H2373" s="206">
        <v>0</v>
      </c>
      <c r="I2373" s="206">
        <f>325-279</f>
        <v>46</v>
      </c>
    </row>
    <row r="2374" spans="1:16" s="147" customFormat="1" x14ac:dyDescent="0.3">
      <c r="A2374" s="172"/>
      <c r="B2374" s="552" t="s">
        <v>33</v>
      </c>
      <c r="C2374" s="143">
        <f>D2374+E2374+F2374+G2374+H2374+I2374</f>
        <v>325</v>
      </c>
      <c r="D2374" s="143">
        <v>279</v>
      </c>
      <c r="E2374" s="41">
        <v>0</v>
      </c>
      <c r="F2374" s="143">
        <v>0</v>
      </c>
      <c r="G2374" s="143">
        <v>0</v>
      </c>
      <c r="H2374" s="143">
        <v>0</v>
      </c>
      <c r="I2374" s="143">
        <f>325-279</f>
        <v>46</v>
      </c>
    </row>
    <row r="2375" spans="1:16" s="105" customFormat="1" ht="14.15" x14ac:dyDescent="0.35">
      <c r="A2375" s="341" t="s">
        <v>907</v>
      </c>
      <c r="B2375" s="533" t="s">
        <v>32</v>
      </c>
      <c r="C2375" s="108">
        <f>D2375+E2375+F2375+G2375+H2375+I2375</f>
        <v>198</v>
      </c>
      <c r="D2375" s="108">
        <v>0</v>
      </c>
      <c r="E2375" s="108">
        <v>198</v>
      </c>
      <c r="F2375" s="108">
        <v>0</v>
      </c>
      <c r="G2375" s="108">
        <v>0</v>
      </c>
      <c r="H2375" s="108">
        <v>0</v>
      </c>
      <c r="I2375" s="108"/>
    </row>
    <row r="2376" spans="1:16" s="147" customFormat="1" x14ac:dyDescent="0.3">
      <c r="A2376" s="172"/>
      <c r="B2376" s="552" t="s">
        <v>33</v>
      </c>
      <c r="C2376" s="143">
        <f>D2376+E2376+F2376+G2376+H2376+I2376</f>
        <v>198</v>
      </c>
      <c r="D2376" s="143">
        <v>0</v>
      </c>
      <c r="E2376" s="41">
        <v>198</v>
      </c>
      <c r="F2376" s="143">
        <v>0</v>
      </c>
      <c r="G2376" s="143">
        <v>0</v>
      </c>
      <c r="H2376" s="143">
        <v>0</v>
      </c>
      <c r="I2376" s="143"/>
    </row>
    <row r="2377" spans="1:16" s="126" customFormat="1" x14ac:dyDescent="0.3">
      <c r="A2377" s="308" t="s">
        <v>908</v>
      </c>
      <c r="B2377" s="514" t="s">
        <v>32</v>
      </c>
      <c r="C2377" s="122">
        <f t="shared" si="440"/>
        <v>8135.11</v>
      </c>
      <c r="D2377" s="122">
        <f>D2379+D2381+D2383+D2385</f>
        <v>372.11</v>
      </c>
      <c r="E2377" s="122">
        <f t="shared" ref="E2377:I2378" si="461">E2379+E2381+E2383+E2385</f>
        <v>7763</v>
      </c>
      <c r="F2377" s="122">
        <f t="shared" si="461"/>
        <v>0</v>
      </c>
      <c r="G2377" s="122">
        <f t="shared" si="461"/>
        <v>0</v>
      </c>
      <c r="H2377" s="122">
        <f t="shared" si="461"/>
        <v>0</v>
      </c>
      <c r="I2377" s="122">
        <f t="shared" si="461"/>
        <v>0</v>
      </c>
    </row>
    <row r="2378" spans="1:16" s="126" customFormat="1" x14ac:dyDescent="0.3">
      <c r="A2378" s="134"/>
      <c r="B2378" s="515" t="s">
        <v>33</v>
      </c>
      <c r="C2378" s="122">
        <f t="shared" si="440"/>
        <v>8135.11</v>
      </c>
      <c r="D2378" s="122">
        <f>D2380+D2382+D2384+D2386</f>
        <v>372.11</v>
      </c>
      <c r="E2378" s="122">
        <f t="shared" si="461"/>
        <v>7763</v>
      </c>
      <c r="F2378" s="122">
        <f t="shared" si="461"/>
        <v>0</v>
      </c>
      <c r="G2378" s="122">
        <f t="shared" si="461"/>
        <v>0</v>
      </c>
      <c r="H2378" s="122">
        <f t="shared" si="461"/>
        <v>0</v>
      </c>
      <c r="I2378" s="122">
        <f t="shared" si="461"/>
        <v>0</v>
      </c>
    </row>
    <row r="2379" spans="1:16" s="105" customFormat="1" ht="17.25" customHeight="1" x14ac:dyDescent="0.3">
      <c r="A2379" s="418" t="s">
        <v>909</v>
      </c>
      <c r="B2379" s="533" t="s">
        <v>32</v>
      </c>
      <c r="C2379" s="108">
        <f t="shared" si="440"/>
        <v>3147</v>
      </c>
      <c r="D2379" s="108">
        <v>0</v>
      </c>
      <c r="E2379" s="108">
        <v>3147</v>
      </c>
      <c r="F2379" s="108">
        <v>0</v>
      </c>
      <c r="G2379" s="108">
        <v>0</v>
      </c>
      <c r="H2379" s="108">
        <v>0</v>
      </c>
      <c r="I2379" s="108">
        <v>0</v>
      </c>
      <c r="J2379" s="1028"/>
      <c r="K2379" s="1029"/>
      <c r="L2379" s="1029"/>
      <c r="M2379" s="1029"/>
      <c r="N2379" s="1029"/>
      <c r="O2379" s="1029"/>
      <c r="P2379" s="1029"/>
    </row>
    <row r="2380" spans="1:16" s="78" customFormat="1" x14ac:dyDescent="0.3">
      <c r="A2380" s="172"/>
      <c r="B2380" s="552" t="s">
        <v>33</v>
      </c>
      <c r="C2380" s="108">
        <f t="shared" si="440"/>
        <v>3147</v>
      </c>
      <c r="D2380" s="108">
        <v>0</v>
      </c>
      <c r="E2380" s="108">
        <v>3147</v>
      </c>
      <c r="F2380" s="108">
        <v>0</v>
      </c>
      <c r="G2380" s="108">
        <v>0</v>
      </c>
      <c r="H2380" s="108">
        <v>0</v>
      </c>
      <c r="I2380" s="108">
        <v>0</v>
      </c>
      <c r="J2380" s="1028"/>
      <c r="K2380" s="1029"/>
      <c r="L2380" s="1029"/>
      <c r="M2380" s="1029"/>
      <c r="N2380" s="1029"/>
      <c r="O2380" s="1029"/>
      <c r="P2380" s="1029"/>
    </row>
    <row r="2381" spans="1:16" s="105" customFormat="1" ht="16.5" customHeight="1" x14ac:dyDescent="0.3">
      <c r="A2381" s="517" t="s">
        <v>910</v>
      </c>
      <c r="B2381" s="533" t="s">
        <v>32</v>
      </c>
      <c r="C2381" s="108">
        <f t="shared" si="440"/>
        <v>4165</v>
      </c>
      <c r="D2381" s="108">
        <v>0</v>
      </c>
      <c r="E2381" s="108">
        <v>4165</v>
      </c>
      <c r="F2381" s="108">
        <v>0</v>
      </c>
      <c r="G2381" s="108">
        <v>0</v>
      </c>
      <c r="H2381" s="108">
        <v>0</v>
      </c>
      <c r="I2381" s="108">
        <v>0</v>
      </c>
      <c r="J2381" s="1028"/>
      <c r="K2381" s="1029"/>
      <c r="L2381" s="1029"/>
      <c r="M2381" s="1029"/>
      <c r="N2381" s="1029"/>
      <c r="O2381" s="1029"/>
      <c r="P2381" s="1029"/>
    </row>
    <row r="2382" spans="1:16" s="78" customFormat="1" x14ac:dyDescent="0.3">
      <c r="A2382" s="172"/>
      <c r="B2382" s="552" t="s">
        <v>33</v>
      </c>
      <c r="C2382" s="108">
        <f t="shared" si="440"/>
        <v>4165</v>
      </c>
      <c r="D2382" s="108">
        <v>0</v>
      </c>
      <c r="E2382" s="108">
        <v>4165</v>
      </c>
      <c r="F2382" s="108">
        <v>0</v>
      </c>
      <c r="G2382" s="108">
        <v>0</v>
      </c>
      <c r="H2382" s="108">
        <v>0</v>
      </c>
      <c r="I2382" s="108">
        <v>0</v>
      </c>
      <c r="J2382" s="1028"/>
      <c r="K2382" s="1029"/>
      <c r="L2382" s="1029"/>
      <c r="M2382" s="1029"/>
      <c r="N2382" s="1029"/>
      <c r="O2382" s="1029"/>
      <c r="P2382" s="1029"/>
    </row>
    <row r="2383" spans="1:16" s="105" customFormat="1" ht="16.5" customHeight="1" x14ac:dyDescent="0.3">
      <c r="A2383" s="517" t="s">
        <v>911</v>
      </c>
      <c r="B2383" s="533" t="s">
        <v>32</v>
      </c>
      <c r="C2383" s="108">
        <f t="shared" si="440"/>
        <v>372.11</v>
      </c>
      <c r="D2383" s="108">
        <v>372.11</v>
      </c>
      <c r="E2383" s="108">
        <v>0</v>
      </c>
      <c r="F2383" s="108">
        <v>0</v>
      </c>
      <c r="G2383" s="108">
        <v>0</v>
      </c>
      <c r="H2383" s="108">
        <v>0</v>
      </c>
      <c r="I2383" s="108">
        <v>0</v>
      </c>
      <c r="J2383" s="1028"/>
      <c r="K2383" s="1029"/>
      <c r="L2383" s="1029"/>
      <c r="M2383" s="1029"/>
      <c r="N2383" s="1029"/>
      <c r="O2383" s="1029"/>
      <c r="P2383" s="1029"/>
    </row>
    <row r="2384" spans="1:16" s="78" customFormat="1" x14ac:dyDescent="0.3">
      <c r="A2384" s="172"/>
      <c r="B2384" s="552" t="s">
        <v>33</v>
      </c>
      <c r="C2384" s="108">
        <f t="shared" si="440"/>
        <v>372.11</v>
      </c>
      <c r="D2384" s="108">
        <v>372.11</v>
      </c>
      <c r="E2384" s="108">
        <v>0</v>
      </c>
      <c r="F2384" s="108">
        <v>0</v>
      </c>
      <c r="G2384" s="108">
        <v>0</v>
      </c>
      <c r="H2384" s="108">
        <v>0</v>
      </c>
      <c r="I2384" s="108">
        <v>0</v>
      </c>
      <c r="J2384" s="1028"/>
      <c r="K2384" s="1029"/>
      <c r="L2384" s="1029"/>
      <c r="M2384" s="1029"/>
      <c r="N2384" s="1029"/>
      <c r="O2384" s="1029"/>
      <c r="P2384" s="1029"/>
    </row>
    <row r="2385" spans="1:16" s="105" customFormat="1" ht="16.5" customHeight="1" x14ac:dyDescent="0.35">
      <c r="A2385" s="327" t="s">
        <v>911</v>
      </c>
      <c r="B2385" s="533" t="s">
        <v>32</v>
      </c>
      <c r="C2385" s="108">
        <f t="shared" si="440"/>
        <v>451</v>
      </c>
      <c r="D2385" s="108">
        <v>0</v>
      </c>
      <c r="E2385" s="108">
        <v>451</v>
      </c>
      <c r="F2385" s="108">
        <v>0</v>
      </c>
      <c r="G2385" s="108">
        <v>0</v>
      </c>
      <c r="H2385" s="108">
        <v>0</v>
      </c>
      <c r="I2385" s="108">
        <v>0</v>
      </c>
      <c r="J2385" s="1028"/>
      <c r="K2385" s="1029"/>
      <c r="L2385" s="1029"/>
      <c r="M2385" s="1029"/>
      <c r="N2385" s="1029"/>
      <c r="O2385" s="1029"/>
      <c r="P2385" s="1029"/>
    </row>
    <row r="2386" spans="1:16" s="78" customFormat="1" x14ac:dyDescent="0.3">
      <c r="A2386" s="172"/>
      <c r="B2386" s="552" t="s">
        <v>33</v>
      </c>
      <c r="C2386" s="108">
        <f t="shared" si="440"/>
        <v>451</v>
      </c>
      <c r="D2386" s="108">
        <v>0</v>
      </c>
      <c r="E2386" s="108">
        <v>451</v>
      </c>
      <c r="F2386" s="108">
        <v>0</v>
      </c>
      <c r="G2386" s="108">
        <v>0</v>
      </c>
      <c r="H2386" s="108">
        <v>0</v>
      </c>
      <c r="I2386" s="108">
        <v>0</v>
      </c>
      <c r="J2386" s="1028"/>
      <c r="K2386" s="1029"/>
      <c r="L2386" s="1029"/>
      <c r="M2386" s="1029"/>
      <c r="N2386" s="1029"/>
      <c r="O2386" s="1029"/>
      <c r="P2386" s="1029"/>
    </row>
    <row r="2387" spans="1:16" s="125" customFormat="1" x14ac:dyDescent="0.3">
      <c r="A2387" s="301" t="s">
        <v>912</v>
      </c>
      <c r="B2387" s="553" t="s">
        <v>32</v>
      </c>
      <c r="C2387" s="392">
        <f t="shared" si="440"/>
        <v>205</v>
      </c>
      <c r="D2387" s="392">
        <f>D2389</f>
        <v>0</v>
      </c>
      <c r="E2387" s="392">
        <f t="shared" ref="E2387:I2388" si="462">E2389</f>
        <v>205</v>
      </c>
      <c r="F2387" s="392">
        <f t="shared" si="462"/>
        <v>0</v>
      </c>
      <c r="G2387" s="392">
        <f t="shared" si="462"/>
        <v>0</v>
      </c>
      <c r="H2387" s="392">
        <f t="shared" si="462"/>
        <v>0</v>
      </c>
      <c r="I2387" s="392">
        <f t="shared" si="462"/>
        <v>0</v>
      </c>
    </row>
    <row r="2388" spans="1:16" s="125" customFormat="1" x14ac:dyDescent="0.3">
      <c r="A2388" s="554"/>
      <c r="B2388" s="555" t="s">
        <v>33</v>
      </c>
      <c r="C2388" s="392">
        <f t="shared" si="440"/>
        <v>205</v>
      </c>
      <c r="D2388" s="392">
        <f>D2390</f>
        <v>0</v>
      </c>
      <c r="E2388" s="392">
        <f t="shared" si="462"/>
        <v>205</v>
      </c>
      <c r="F2388" s="392">
        <f t="shared" si="462"/>
        <v>0</v>
      </c>
      <c r="G2388" s="392">
        <f t="shared" si="462"/>
        <v>0</v>
      </c>
      <c r="H2388" s="392">
        <f t="shared" si="462"/>
        <v>0</v>
      </c>
      <c r="I2388" s="392">
        <f t="shared" si="462"/>
        <v>0</v>
      </c>
    </row>
    <row r="2389" spans="1:16" s="93" customFormat="1" x14ac:dyDescent="0.3">
      <c r="A2389" s="91" t="s">
        <v>913</v>
      </c>
      <c r="B2389" s="547" t="s">
        <v>32</v>
      </c>
      <c r="C2389" s="81">
        <f t="shared" ref="C2389:C2394" si="463">D2389+E2389+F2389+G2389+H2389+I2389</f>
        <v>205</v>
      </c>
      <c r="D2389" s="81">
        <v>0</v>
      </c>
      <c r="E2389" s="108">
        <f>95+110</f>
        <v>205</v>
      </c>
      <c r="F2389" s="81">
        <v>0</v>
      </c>
      <c r="G2389" s="81">
        <v>0</v>
      </c>
      <c r="H2389" s="81">
        <v>0</v>
      </c>
      <c r="I2389" s="81">
        <v>0</v>
      </c>
      <c r="J2389" s="1013"/>
      <c r="K2389" s="1014"/>
      <c r="L2389" s="1014"/>
      <c r="M2389" s="1014"/>
      <c r="N2389" s="1014"/>
    </row>
    <row r="2390" spans="1:16" s="78" customFormat="1" x14ac:dyDescent="0.3">
      <c r="A2390" s="172"/>
      <c r="B2390" s="552" t="s">
        <v>33</v>
      </c>
      <c r="C2390" s="108">
        <f t="shared" si="463"/>
        <v>205</v>
      </c>
      <c r="D2390" s="108">
        <v>0</v>
      </c>
      <c r="E2390" s="108">
        <f>95+110</f>
        <v>205</v>
      </c>
      <c r="F2390" s="108">
        <v>0</v>
      </c>
      <c r="G2390" s="108">
        <v>0</v>
      </c>
      <c r="H2390" s="108">
        <v>0</v>
      </c>
      <c r="I2390" s="108">
        <v>0</v>
      </c>
      <c r="J2390" s="1013"/>
      <c r="K2390" s="1014"/>
      <c r="L2390" s="1014"/>
      <c r="M2390" s="1014"/>
      <c r="N2390" s="1014"/>
    </row>
    <row r="2391" spans="1:16" s="125" customFormat="1" x14ac:dyDescent="0.3">
      <c r="A2391" s="301" t="s">
        <v>880</v>
      </c>
      <c r="B2391" s="553" t="s">
        <v>32</v>
      </c>
      <c r="C2391" s="392">
        <f t="shared" si="463"/>
        <v>172.3</v>
      </c>
      <c r="D2391" s="392">
        <f>D2393</f>
        <v>172.3</v>
      </c>
      <c r="E2391" s="392">
        <f t="shared" ref="E2391:I2392" si="464">E2393</f>
        <v>0</v>
      </c>
      <c r="F2391" s="392">
        <f t="shared" si="464"/>
        <v>0</v>
      </c>
      <c r="G2391" s="392">
        <f t="shared" si="464"/>
        <v>0</v>
      </c>
      <c r="H2391" s="392">
        <f t="shared" si="464"/>
        <v>0</v>
      </c>
      <c r="I2391" s="392">
        <f t="shared" si="464"/>
        <v>0</v>
      </c>
    </row>
    <row r="2392" spans="1:16" s="125" customFormat="1" x14ac:dyDescent="0.3">
      <c r="A2392" s="554"/>
      <c r="B2392" s="555" t="s">
        <v>33</v>
      </c>
      <c r="C2392" s="392">
        <f t="shared" si="463"/>
        <v>172.3</v>
      </c>
      <c r="D2392" s="392">
        <f>D2394</f>
        <v>172.3</v>
      </c>
      <c r="E2392" s="392">
        <f t="shared" si="464"/>
        <v>0</v>
      </c>
      <c r="F2392" s="392">
        <f t="shared" si="464"/>
        <v>0</v>
      </c>
      <c r="G2392" s="392">
        <f t="shared" si="464"/>
        <v>0</v>
      </c>
      <c r="H2392" s="392">
        <f t="shared" si="464"/>
        <v>0</v>
      </c>
      <c r="I2392" s="392">
        <f t="shared" si="464"/>
        <v>0</v>
      </c>
    </row>
    <row r="2393" spans="1:16" s="105" customFormat="1" ht="14.15" x14ac:dyDescent="0.35">
      <c r="A2393" s="326" t="s">
        <v>914</v>
      </c>
      <c r="B2393" s="533" t="s">
        <v>32</v>
      </c>
      <c r="C2393" s="108">
        <f t="shared" si="463"/>
        <v>172.3</v>
      </c>
      <c r="D2393" s="108">
        <v>172.3</v>
      </c>
      <c r="E2393" s="108">
        <v>0</v>
      </c>
      <c r="F2393" s="108">
        <v>0</v>
      </c>
      <c r="G2393" s="108">
        <v>0</v>
      </c>
      <c r="H2393" s="108">
        <v>0</v>
      </c>
      <c r="I2393" s="108">
        <v>0</v>
      </c>
      <c r="J2393" s="1013"/>
      <c r="K2393" s="1014"/>
      <c r="L2393" s="1014"/>
      <c r="M2393" s="1014"/>
      <c r="N2393" s="1014"/>
    </row>
    <row r="2394" spans="1:16" s="78" customFormat="1" x14ac:dyDescent="0.3">
      <c r="A2394" s="172"/>
      <c r="B2394" s="552" t="s">
        <v>33</v>
      </c>
      <c r="C2394" s="108">
        <f t="shared" si="463"/>
        <v>172.3</v>
      </c>
      <c r="D2394" s="108">
        <v>172.3</v>
      </c>
      <c r="E2394" s="108">
        <v>0</v>
      </c>
      <c r="F2394" s="108">
        <v>0</v>
      </c>
      <c r="G2394" s="108">
        <v>0</v>
      </c>
      <c r="H2394" s="108">
        <v>0</v>
      </c>
      <c r="I2394" s="108">
        <v>0</v>
      </c>
      <c r="J2394" s="1013"/>
      <c r="K2394" s="1014"/>
      <c r="L2394" s="1014"/>
      <c r="M2394" s="1014"/>
      <c r="N2394" s="1014"/>
    </row>
    <row r="2395" spans="1:16" x14ac:dyDescent="0.3">
      <c r="A2395" s="1015" t="s">
        <v>915</v>
      </c>
      <c r="B2395" s="1016"/>
      <c r="C2395" s="1017"/>
      <c r="D2395" s="1017"/>
      <c r="E2395" s="1017"/>
      <c r="F2395" s="1017"/>
      <c r="G2395" s="1017"/>
      <c r="H2395" s="1017"/>
      <c r="I2395" s="1018"/>
    </row>
    <row r="2396" spans="1:16" x14ac:dyDescent="0.3">
      <c r="A2396" s="257" t="s">
        <v>57</v>
      </c>
      <c r="B2396" s="507" t="s">
        <v>32</v>
      </c>
      <c r="C2396" s="48">
        <f t="shared" ref="C2396:C2425" si="465">D2396+E2396+F2396+G2396+H2396+I2396</f>
        <v>537</v>
      </c>
      <c r="D2396" s="41">
        <f t="shared" ref="D2396:I2403" si="466">D2398</f>
        <v>63</v>
      </c>
      <c r="E2396" s="41">
        <f t="shared" si="466"/>
        <v>474</v>
      </c>
      <c r="F2396" s="41">
        <f t="shared" si="466"/>
        <v>0</v>
      </c>
      <c r="G2396" s="41">
        <f t="shared" si="466"/>
        <v>0</v>
      </c>
      <c r="H2396" s="41">
        <f t="shared" si="466"/>
        <v>0</v>
      </c>
      <c r="I2396" s="41">
        <f t="shared" si="466"/>
        <v>0</v>
      </c>
    </row>
    <row r="2397" spans="1:16" x14ac:dyDescent="0.3">
      <c r="A2397" s="63" t="s">
        <v>87</v>
      </c>
      <c r="B2397" s="86" t="s">
        <v>33</v>
      </c>
      <c r="C2397" s="48">
        <f t="shared" si="465"/>
        <v>537</v>
      </c>
      <c r="D2397" s="41">
        <f t="shared" si="466"/>
        <v>63</v>
      </c>
      <c r="E2397" s="41">
        <f t="shared" si="466"/>
        <v>474</v>
      </c>
      <c r="F2397" s="41">
        <f t="shared" si="466"/>
        <v>0</v>
      </c>
      <c r="G2397" s="41">
        <f t="shared" si="466"/>
        <v>0</v>
      </c>
      <c r="H2397" s="41">
        <f t="shared" si="466"/>
        <v>0</v>
      </c>
      <c r="I2397" s="41">
        <f t="shared" si="466"/>
        <v>0</v>
      </c>
    </row>
    <row r="2398" spans="1:16" x14ac:dyDescent="0.3">
      <c r="A2398" s="61" t="s">
        <v>50</v>
      </c>
      <c r="B2398" s="84" t="s">
        <v>32</v>
      </c>
      <c r="C2398" s="48">
        <f t="shared" si="465"/>
        <v>537</v>
      </c>
      <c r="D2398" s="41">
        <f t="shared" si="466"/>
        <v>63</v>
      </c>
      <c r="E2398" s="41">
        <f t="shared" si="466"/>
        <v>474</v>
      </c>
      <c r="F2398" s="41">
        <f t="shared" si="466"/>
        <v>0</v>
      </c>
      <c r="G2398" s="41">
        <f t="shared" si="466"/>
        <v>0</v>
      </c>
      <c r="H2398" s="41">
        <f t="shared" si="466"/>
        <v>0</v>
      </c>
      <c r="I2398" s="41">
        <f t="shared" si="466"/>
        <v>0</v>
      </c>
    </row>
    <row r="2399" spans="1:16" x14ac:dyDescent="0.3">
      <c r="A2399" s="63" t="s">
        <v>51</v>
      </c>
      <c r="B2399" s="86" t="s">
        <v>33</v>
      </c>
      <c r="C2399" s="48">
        <f t="shared" si="465"/>
        <v>537</v>
      </c>
      <c r="D2399" s="41">
        <f t="shared" si="466"/>
        <v>63</v>
      </c>
      <c r="E2399" s="41">
        <f t="shared" si="466"/>
        <v>474</v>
      </c>
      <c r="F2399" s="41">
        <f t="shared" si="466"/>
        <v>0</v>
      </c>
      <c r="G2399" s="41">
        <f t="shared" si="466"/>
        <v>0</v>
      </c>
      <c r="H2399" s="41">
        <f t="shared" si="466"/>
        <v>0</v>
      </c>
      <c r="I2399" s="41">
        <f t="shared" si="466"/>
        <v>0</v>
      </c>
    </row>
    <row r="2400" spans="1:16" ht="12.9" x14ac:dyDescent="0.35">
      <c r="A2400" s="54" t="s">
        <v>40</v>
      </c>
      <c r="B2400" s="35" t="s">
        <v>32</v>
      </c>
      <c r="C2400" s="48">
        <f t="shared" si="465"/>
        <v>537</v>
      </c>
      <c r="D2400" s="41">
        <f t="shared" si="466"/>
        <v>63</v>
      </c>
      <c r="E2400" s="41">
        <f t="shared" si="466"/>
        <v>474</v>
      </c>
      <c r="F2400" s="41">
        <f t="shared" si="466"/>
        <v>0</v>
      </c>
      <c r="G2400" s="41">
        <f t="shared" si="466"/>
        <v>0</v>
      </c>
      <c r="H2400" s="41">
        <f t="shared" si="466"/>
        <v>0</v>
      </c>
      <c r="I2400" s="41">
        <f t="shared" si="466"/>
        <v>0</v>
      </c>
    </row>
    <row r="2401" spans="1:9" ht="12.9" x14ac:dyDescent="0.35">
      <c r="A2401" s="43"/>
      <c r="B2401" s="38" t="s">
        <v>33</v>
      </c>
      <c r="C2401" s="48">
        <f t="shared" si="465"/>
        <v>537</v>
      </c>
      <c r="D2401" s="41">
        <f t="shared" si="466"/>
        <v>63</v>
      </c>
      <c r="E2401" s="41">
        <f t="shared" si="466"/>
        <v>474</v>
      </c>
      <c r="F2401" s="41">
        <f t="shared" si="466"/>
        <v>0</v>
      </c>
      <c r="G2401" s="41">
        <f t="shared" si="466"/>
        <v>0</v>
      </c>
      <c r="H2401" s="41">
        <f>H2403</f>
        <v>0</v>
      </c>
      <c r="I2401" s="41">
        <f t="shared" si="466"/>
        <v>0</v>
      </c>
    </row>
    <row r="2402" spans="1:9" ht="12.9" x14ac:dyDescent="0.35">
      <c r="A2402" s="54" t="s">
        <v>41</v>
      </c>
      <c r="B2402" s="35" t="s">
        <v>32</v>
      </c>
      <c r="C2402" s="48">
        <f t="shared" si="465"/>
        <v>537</v>
      </c>
      <c r="D2402" s="41">
        <f>D2404</f>
        <v>63</v>
      </c>
      <c r="E2402" s="41">
        <f t="shared" si="466"/>
        <v>474</v>
      </c>
      <c r="F2402" s="41">
        <f t="shared" si="466"/>
        <v>0</v>
      </c>
      <c r="G2402" s="41">
        <f t="shared" si="466"/>
        <v>0</v>
      </c>
      <c r="H2402" s="41">
        <f t="shared" si="466"/>
        <v>0</v>
      </c>
      <c r="I2402" s="41">
        <f t="shared" si="466"/>
        <v>0</v>
      </c>
    </row>
    <row r="2403" spans="1:9" ht="12.9" x14ac:dyDescent="0.35">
      <c r="A2403" s="43"/>
      <c r="B2403" s="38" t="s">
        <v>33</v>
      </c>
      <c r="C2403" s="48">
        <f t="shared" si="465"/>
        <v>537</v>
      </c>
      <c r="D2403" s="41">
        <f>D2405</f>
        <v>63</v>
      </c>
      <c r="E2403" s="41">
        <f t="shared" si="466"/>
        <v>474</v>
      </c>
      <c r="F2403" s="41">
        <f t="shared" si="466"/>
        <v>0</v>
      </c>
      <c r="G2403" s="41">
        <f t="shared" si="466"/>
        <v>0</v>
      </c>
      <c r="H2403" s="41">
        <f t="shared" si="466"/>
        <v>0</v>
      </c>
      <c r="I2403" s="41">
        <f t="shared" si="466"/>
        <v>0</v>
      </c>
    </row>
    <row r="2404" spans="1:9" s="452" customFormat="1" ht="16.5" customHeight="1" x14ac:dyDescent="0.35">
      <c r="A2404" s="54" t="s">
        <v>838</v>
      </c>
      <c r="B2404" s="84" t="s">
        <v>32</v>
      </c>
      <c r="C2404" s="143">
        <f t="shared" si="465"/>
        <v>537</v>
      </c>
      <c r="D2404" s="143">
        <f t="shared" ref="D2404:I2405" si="467">D2406+D2422</f>
        <v>63</v>
      </c>
      <c r="E2404" s="143">
        <f t="shared" si="467"/>
        <v>474</v>
      </c>
      <c r="F2404" s="143">
        <f t="shared" si="467"/>
        <v>0</v>
      </c>
      <c r="G2404" s="143">
        <f t="shared" si="467"/>
        <v>0</v>
      </c>
      <c r="H2404" s="143">
        <f t="shared" si="467"/>
        <v>0</v>
      </c>
      <c r="I2404" s="143">
        <f t="shared" si="467"/>
        <v>0</v>
      </c>
    </row>
    <row r="2405" spans="1:9" s="452" customFormat="1" ht="12.9" x14ac:dyDescent="0.35">
      <c r="A2405" s="43"/>
      <c r="B2405" s="86" t="s">
        <v>33</v>
      </c>
      <c r="C2405" s="143">
        <f t="shared" si="465"/>
        <v>537</v>
      </c>
      <c r="D2405" s="143">
        <f t="shared" si="467"/>
        <v>63</v>
      </c>
      <c r="E2405" s="143">
        <f t="shared" si="467"/>
        <v>474</v>
      </c>
      <c r="F2405" s="143">
        <f t="shared" si="467"/>
        <v>0</v>
      </c>
      <c r="G2405" s="143">
        <f t="shared" si="467"/>
        <v>0</v>
      </c>
      <c r="H2405" s="143">
        <f t="shared" si="467"/>
        <v>0</v>
      </c>
      <c r="I2405" s="143">
        <f t="shared" si="467"/>
        <v>0</v>
      </c>
    </row>
    <row r="2406" spans="1:9" s="452" customFormat="1" ht="16.5" customHeight="1" x14ac:dyDescent="0.3">
      <c r="A2406" s="163" t="s">
        <v>516</v>
      </c>
      <c r="B2406" s="164" t="s">
        <v>32</v>
      </c>
      <c r="C2406" s="143">
        <f t="shared" si="465"/>
        <v>148</v>
      </c>
      <c r="D2406" s="143">
        <f>D2408+D2410+D2412+D2414+D2416+D2418+D2420</f>
        <v>63</v>
      </c>
      <c r="E2406" s="143">
        <f t="shared" ref="E2406:I2407" si="468">E2408+E2410+E2412+E2414+E2416+E2418+E2420</f>
        <v>85</v>
      </c>
      <c r="F2406" s="143">
        <f t="shared" si="468"/>
        <v>0</v>
      </c>
      <c r="G2406" s="143">
        <f t="shared" si="468"/>
        <v>0</v>
      </c>
      <c r="H2406" s="143">
        <f t="shared" si="468"/>
        <v>0</v>
      </c>
      <c r="I2406" s="143">
        <f t="shared" si="468"/>
        <v>0</v>
      </c>
    </row>
    <row r="2407" spans="1:9" s="452" customFormat="1" x14ac:dyDescent="0.3">
      <c r="A2407" s="85"/>
      <c r="B2407" s="166" t="s">
        <v>33</v>
      </c>
      <c r="C2407" s="143">
        <f t="shared" si="465"/>
        <v>148</v>
      </c>
      <c r="D2407" s="143">
        <f>D2409+D2411+D2413+D2415+D2417+D2419+D2421</f>
        <v>63</v>
      </c>
      <c r="E2407" s="143">
        <f t="shared" si="468"/>
        <v>85</v>
      </c>
      <c r="F2407" s="143">
        <f t="shared" si="468"/>
        <v>0</v>
      </c>
      <c r="G2407" s="143">
        <f t="shared" si="468"/>
        <v>0</v>
      </c>
      <c r="H2407" s="143">
        <f t="shared" si="468"/>
        <v>0</v>
      </c>
      <c r="I2407" s="143">
        <f t="shared" si="468"/>
        <v>0</v>
      </c>
    </row>
    <row r="2408" spans="1:9" s="126" customFormat="1" ht="16.5" customHeight="1" x14ac:dyDescent="0.35">
      <c r="A2408" s="449" t="s">
        <v>916</v>
      </c>
      <c r="B2408" s="533" t="s">
        <v>32</v>
      </c>
      <c r="C2408" s="143">
        <f t="shared" si="465"/>
        <v>24</v>
      </c>
      <c r="D2408" s="143">
        <v>24</v>
      </c>
      <c r="E2408" s="41">
        <v>0</v>
      </c>
      <c r="F2408" s="143">
        <v>0</v>
      </c>
      <c r="G2408" s="143">
        <v>0</v>
      </c>
      <c r="H2408" s="143">
        <v>0</v>
      </c>
      <c r="I2408" s="143">
        <v>0</v>
      </c>
    </row>
    <row r="2409" spans="1:9" s="126" customFormat="1" x14ac:dyDescent="0.3">
      <c r="A2409" s="554"/>
      <c r="B2409" s="552" t="s">
        <v>33</v>
      </c>
      <c r="C2409" s="143">
        <f t="shared" si="465"/>
        <v>24</v>
      </c>
      <c r="D2409" s="143">
        <v>24</v>
      </c>
      <c r="E2409" s="41">
        <v>0</v>
      </c>
      <c r="F2409" s="143">
        <v>0</v>
      </c>
      <c r="G2409" s="143">
        <v>0</v>
      </c>
      <c r="H2409" s="143">
        <v>0</v>
      </c>
      <c r="I2409" s="143">
        <v>0</v>
      </c>
    </row>
    <row r="2410" spans="1:9" s="126" customFormat="1" ht="30" customHeight="1" x14ac:dyDescent="0.35">
      <c r="A2410" s="449" t="s">
        <v>917</v>
      </c>
      <c r="B2410" s="533" t="s">
        <v>32</v>
      </c>
      <c r="C2410" s="143">
        <f t="shared" si="465"/>
        <v>13</v>
      </c>
      <c r="D2410" s="143">
        <v>13</v>
      </c>
      <c r="E2410" s="41">
        <v>0</v>
      </c>
      <c r="F2410" s="143">
        <v>0</v>
      </c>
      <c r="G2410" s="143">
        <v>0</v>
      </c>
      <c r="H2410" s="143">
        <v>0</v>
      </c>
      <c r="I2410" s="143">
        <v>0</v>
      </c>
    </row>
    <row r="2411" spans="1:9" s="126" customFormat="1" x14ac:dyDescent="0.3">
      <c r="A2411" s="554"/>
      <c r="B2411" s="552" t="s">
        <v>33</v>
      </c>
      <c r="C2411" s="143">
        <f t="shared" si="465"/>
        <v>13</v>
      </c>
      <c r="D2411" s="143">
        <v>13</v>
      </c>
      <c r="E2411" s="41">
        <v>0</v>
      </c>
      <c r="F2411" s="143">
        <v>0</v>
      </c>
      <c r="G2411" s="143">
        <v>0</v>
      </c>
      <c r="H2411" s="143">
        <v>0</v>
      </c>
      <c r="I2411" s="143">
        <v>0</v>
      </c>
    </row>
    <row r="2412" spans="1:9" s="126" customFormat="1" ht="25.5" customHeight="1" x14ac:dyDescent="0.3">
      <c r="A2412" s="152" t="s">
        <v>918</v>
      </c>
      <c r="B2412" s="40" t="s">
        <v>32</v>
      </c>
      <c r="C2412" s="143">
        <f t="shared" si="465"/>
        <v>17</v>
      </c>
      <c r="D2412" s="143">
        <v>17</v>
      </c>
      <c r="E2412" s="41">
        <v>0</v>
      </c>
      <c r="F2412" s="143">
        <v>0</v>
      </c>
      <c r="G2412" s="143">
        <v>0</v>
      </c>
      <c r="H2412" s="143">
        <v>0</v>
      </c>
      <c r="I2412" s="143">
        <v>0</v>
      </c>
    </row>
    <row r="2413" spans="1:9" s="126" customFormat="1" x14ac:dyDescent="0.3">
      <c r="A2413" s="63"/>
      <c r="B2413" s="44" t="s">
        <v>33</v>
      </c>
      <c r="C2413" s="143">
        <f t="shared" si="465"/>
        <v>17</v>
      </c>
      <c r="D2413" s="143">
        <v>17</v>
      </c>
      <c r="E2413" s="41">
        <v>0</v>
      </c>
      <c r="F2413" s="143">
        <v>0</v>
      </c>
      <c r="G2413" s="143">
        <v>0</v>
      </c>
      <c r="H2413" s="143">
        <v>0</v>
      </c>
      <c r="I2413" s="143">
        <v>0</v>
      </c>
    </row>
    <row r="2414" spans="1:9" s="126" customFormat="1" ht="26.25" customHeight="1" x14ac:dyDescent="0.3">
      <c r="A2414" s="152" t="s">
        <v>919</v>
      </c>
      <c r="B2414" s="40" t="s">
        <v>32</v>
      </c>
      <c r="C2414" s="143">
        <f t="shared" si="465"/>
        <v>5</v>
      </c>
      <c r="D2414" s="143">
        <v>5</v>
      </c>
      <c r="E2414" s="41">
        <v>0</v>
      </c>
      <c r="F2414" s="143">
        <v>0</v>
      </c>
      <c r="G2414" s="143">
        <v>0</v>
      </c>
      <c r="H2414" s="143">
        <v>0</v>
      </c>
      <c r="I2414" s="143">
        <v>0</v>
      </c>
    </row>
    <row r="2415" spans="1:9" s="126" customFormat="1" x14ac:dyDescent="0.3">
      <c r="A2415" s="63"/>
      <c r="B2415" s="44" t="s">
        <v>33</v>
      </c>
      <c r="C2415" s="143">
        <f t="shared" si="465"/>
        <v>5</v>
      </c>
      <c r="D2415" s="143">
        <v>5</v>
      </c>
      <c r="E2415" s="41">
        <v>0</v>
      </c>
      <c r="F2415" s="143">
        <v>0</v>
      </c>
      <c r="G2415" s="143">
        <v>0</v>
      </c>
      <c r="H2415" s="143">
        <v>0</v>
      </c>
      <c r="I2415" s="143">
        <v>0</v>
      </c>
    </row>
    <row r="2416" spans="1:9" s="557" customFormat="1" ht="25.5" customHeight="1" x14ac:dyDescent="0.3">
      <c r="A2416" s="556" t="s">
        <v>920</v>
      </c>
      <c r="B2416" s="234" t="s">
        <v>32</v>
      </c>
      <c r="C2416" s="206">
        <f t="shared" si="465"/>
        <v>4</v>
      </c>
      <c r="D2416" s="206">
        <v>4</v>
      </c>
      <c r="E2416" s="206">
        <v>0</v>
      </c>
      <c r="F2416" s="206">
        <v>0</v>
      </c>
      <c r="G2416" s="206">
        <v>0</v>
      </c>
      <c r="H2416" s="206">
        <v>0</v>
      </c>
      <c r="I2416" s="206">
        <v>0</v>
      </c>
    </row>
    <row r="2417" spans="1:9" s="126" customFormat="1" x14ac:dyDescent="0.3">
      <c r="A2417" s="63"/>
      <c r="B2417" s="44" t="s">
        <v>33</v>
      </c>
      <c r="C2417" s="143">
        <f t="shared" si="465"/>
        <v>4</v>
      </c>
      <c r="D2417" s="143">
        <v>4</v>
      </c>
      <c r="E2417" s="41">
        <v>0</v>
      </c>
      <c r="F2417" s="143">
        <v>0</v>
      </c>
      <c r="G2417" s="143">
        <v>0</v>
      </c>
      <c r="H2417" s="143">
        <v>0</v>
      </c>
      <c r="I2417" s="143">
        <v>0</v>
      </c>
    </row>
    <row r="2418" spans="1:9" s="452" customFormat="1" ht="15" customHeight="1" x14ac:dyDescent="0.3">
      <c r="A2418" s="344" t="s">
        <v>921</v>
      </c>
      <c r="B2418" s="40" t="s">
        <v>32</v>
      </c>
      <c r="C2418" s="143">
        <f t="shared" si="465"/>
        <v>14</v>
      </c>
      <c r="D2418" s="143">
        <v>0</v>
      </c>
      <c r="E2418" s="41">
        <v>14</v>
      </c>
      <c r="F2418" s="143">
        <v>0</v>
      </c>
      <c r="G2418" s="143">
        <v>0</v>
      </c>
      <c r="H2418" s="143">
        <v>0</v>
      </c>
      <c r="I2418" s="143">
        <v>0</v>
      </c>
    </row>
    <row r="2419" spans="1:9" s="126" customFormat="1" x14ac:dyDescent="0.3">
      <c r="A2419" s="63"/>
      <c r="B2419" s="44" t="s">
        <v>33</v>
      </c>
      <c r="C2419" s="143">
        <f t="shared" si="465"/>
        <v>14</v>
      </c>
      <c r="D2419" s="143">
        <v>0</v>
      </c>
      <c r="E2419" s="41">
        <v>14</v>
      </c>
      <c r="F2419" s="143">
        <v>0</v>
      </c>
      <c r="G2419" s="143">
        <v>0</v>
      </c>
      <c r="H2419" s="143">
        <v>0</v>
      </c>
      <c r="I2419" s="143">
        <v>0</v>
      </c>
    </row>
    <row r="2420" spans="1:9" s="452" customFormat="1" ht="17.25" customHeight="1" x14ac:dyDescent="0.3">
      <c r="A2420" s="344" t="s">
        <v>922</v>
      </c>
      <c r="B2420" s="40" t="s">
        <v>32</v>
      </c>
      <c r="C2420" s="143">
        <f t="shared" si="465"/>
        <v>71</v>
      </c>
      <c r="D2420" s="143">
        <v>0</v>
      </c>
      <c r="E2420" s="41">
        <v>71</v>
      </c>
      <c r="F2420" s="143">
        <v>0</v>
      </c>
      <c r="G2420" s="143">
        <v>0</v>
      </c>
      <c r="H2420" s="143">
        <v>0</v>
      </c>
      <c r="I2420" s="143">
        <v>0</v>
      </c>
    </row>
    <row r="2421" spans="1:9" s="126" customFormat="1" x14ac:dyDescent="0.3">
      <c r="A2421" s="63"/>
      <c r="B2421" s="44" t="s">
        <v>33</v>
      </c>
      <c r="C2421" s="143">
        <f t="shared" si="465"/>
        <v>71</v>
      </c>
      <c r="D2421" s="143">
        <v>0</v>
      </c>
      <c r="E2421" s="41">
        <v>71</v>
      </c>
      <c r="F2421" s="143">
        <v>0</v>
      </c>
      <c r="G2421" s="143">
        <v>0</v>
      </c>
      <c r="H2421" s="143">
        <v>0</v>
      </c>
      <c r="I2421" s="143">
        <v>0</v>
      </c>
    </row>
    <row r="2422" spans="1:9" s="452" customFormat="1" ht="14.25" customHeight="1" x14ac:dyDescent="0.3">
      <c r="A2422" s="558" t="s">
        <v>923</v>
      </c>
      <c r="B2422" s="164" t="s">
        <v>32</v>
      </c>
      <c r="C2422" s="143">
        <f t="shared" si="465"/>
        <v>389</v>
      </c>
      <c r="D2422" s="143">
        <f>D2424</f>
        <v>0</v>
      </c>
      <c r="E2422" s="143">
        <f t="shared" ref="E2422:I2423" si="469">E2424</f>
        <v>389</v>
      </c>
      <c r="F2422" s="143">
        <f t="shared" si="469"/>
        <v>0</v>
      </c>
      <c r="G2422" s="143">
        <f t="shared" si="469"/>
        <v>0</v>
      </c>
      <c r="H2422" s="143">
        <f t="shared" si="469"/>
        <v>0</v>
      </c>
      <c r="I2422" s="143">
        <f t="shared" si="469"/>
        <v>0</v>
      </c>
    </row>
    <row r="2423" spans="1:9" s="452" customFormat="1" x14ac:dyDescent="0.3">
      <c r="A2423" s="85"/>
      <c r="B2423" s="166" t="s">
        <v>33</v>
      </c>
      <c r="C2423" s="143">
        <f t="shared" si="465"/>
        <v>389</v>
      </c>
      <c r="D2423" s="143">
        <f>D2425</f>
        <v>0</v>
      </c>
      <c r="E2423" s="143">
        <f t="shared" si="469"/>
        <v>389</v>
      </c>
      <c r="F2423" s="143">
        <f t="shared" si="469"/>
        <v>0</v>
      </c>
      <c r="G2423" s="143">
        <f t="shared" si="469"/>
        <v>0</v>
      </c>
      <c r="H2423" s="143">
        <f t="shared" si="469"/>
        <v>0</v>
      </c>
      <c r="I2423" s="143">
        <f t="shared" si="469"/>
        <v>0</v>
      </c>
    </row>
    <row r="2424" spans="1:9" s="452" customFormat="1" ht="13.5" customHeight="1" x14ac:dyDescent="0.3">
      <c r="A2424" s="491" t="s">
        <v>924</v>
      </c>
      <c r="B2424" s="533" t="s">
        <v>32</v>
      </c>
      <c r="C2424" s="143">
        <f t="shared" si="465"/>
        <v>389</v>
      </c>
      <c r="D2424" s="143">
        <v>0</v>
      </c>
      <c r="E2424" s="41">
        <v>389</v>
      </c>
      <c r="F2424" s="143">
        <v>0</v>
      </c>
      <c r="G2424" s="143">
        <v>0</v>
      </c>
      <c r="H2424" s="143">
        <v>0</v>
      </c>
      <c r="I2424" s="143">
        <v>0</v>
      </c>
    </row>
    <row r="2425" spans="1:9" s="126" customFormat="1" x14ac:dyDescent="0.3">
      <c r="A2425" s="554"/>
      <c r="B2425" s="552" t="s">
        <v>33</v>
      </c>
      <c r="C2425" s="143">
        <f t="shared" si="465"/>
        <v>389</v>
      </c>
      <c r="D2425" s="143">
        <v>0</v>
      </c>
      <c r="E2425" s="41">
        <v>389</v>
      </c>
      <c r="F2425" s="143">
        <v>0</v>
      </c>
      <c r="G2425" s="143">
        <v>0</v>
      </c>
      <c r="H2425" s="143">
        <v>0</v>
      </c>
      <c r="I2425" s="143">
        <v>0</v>
      </c>
    </row>
    <row r="2426" spans="1:9" x14ac:dyDescent="0.3">
      <c r="A2426" s="1019" t="s">
        <v>213</v>
      </c>
      <c r="B2426" s="1017"/>
      <c r="C2426" s="1017"/>
      <c r="D2426" s="1017"/>
      <c r="E2426" s="1017"/>
      <c r="F2426" s="1017"/>
      <c r="G2426" s="1017"/>
      <c r="H2426" s="1017"/>
      <c r="I2426" s="1018"/>
    </row>
    <row r="2427" spans="1:9" x14ac:dyDescent="0.3">
      <c r="A2427" s="15" t="s">
        <v>57</v>
      </c>
      <c r="B2427" s="559" t="s">
        <v>32</v>
      </c>
      <c r="C2427" s="36">
        <f t="shared" ref="C2427:C2568" si="470">D2427+E2427+F2427+G2427+H2427+I2427</f>
        <v>4675</v>
      </c>
      <c r="D2427" s="36">
        <f t="shared" ref="D2427:I2428" si="471">D2429+D2559</f>
        <v>420</v>
      </c>
      <c r="E2427" s="36">
        <f t="shared" si="471"/>
        <v>3625</v>
      </c>
      <c r="F2427" s="36">
        <f t="shared" si="471"/>
        <v>630</v>
      </c>
      <c r="G2427" s="36">
        <f t="shared" si="471"/>
        <v>0</v>
      </c>
      <c r="H2427" s="36">
        <f t="shared" si="471"/>
        <v>0</v>
      </c>
      <c r="I2427" s="36">
        <f t="shared" si="471"/>
        <v>0</v>
      </c>
    </row>
    <row r="2428" spans="1:9" x14ac:dyDescent="0.3">
      <c r="A2428" s="63" t="s">
        <v>87</v>
      </c>
      <c r="B2428" s="536" t="s">
        <v>33</v>
      </c>
      <c r="C2428" s="36">
        <f t="shared" si="470"/>
        <v>4675</v>
      </c>
      <c r="D2428" s="36">
        <f t="shared" si="471"/>
        <v>420</v>
      </c>
      <c r="E2428" s="36">
        <f t="shared" si="471"/>
        <v>3625</v>
      </c>
      <c r="F2428" s="36">
        <f t="shared" si="471"/>
        <v>630</v>
      </c>
      <c r="G2428" s="36">
        <f t="shared" si="471"/>
        <v>0</v>
      </c>
      <c r="H2428" s="36">
        <f t="shared" si="471"/>
        <v>0</v>
      </c>
      <c r="I2428" s="36">
        <f t="shared" si="471"/>
        <v>0</v>
      </c>
    </row>
    <row r="2429" spans="1:9" x14ac:dyDescent="0.3">
      <c r="A2429" s="34" t="s">
        <v>34</v>
      </c>
      <c r="B2429" s="507" t="s">
        <v>32</v>
      </c>
      <c r="C2429" s="48">
        <f t="shared" si="470"/>
        <v>2475</v>
      </c>
      <c r="D2429" s="41">
        <f t="shared" ref="D2429:I2430" si="472">D2431</f>
        <v>111</v>
      </c>
      <c r="E2429" s="41">
        <f t="shared" si="472"/>
        <v>2364</v>
      </c>
      <c r="F2429" s="41">
        <f t="shared" si="472"/>
        <v>0</v>
      </c>
      <c r="G2429" s="41">
        <f t="shared" si="472"/>
        <v>0</v>
      </c>
      <c r="H2429" s="41">
        <f t="shared" si="472"/>
        <v>0</v>
      </c>
      <c r="I2429" s="41">
        <f t="shared" si="472"/>
        <v>0</v>
      </c>
    </row>
    <row r="2430" spans="1:9" x14ac:dyDescent="0.3">
      <c r="A2430" s="63" t="s">
        <v>35</v>
      </c>
      <c r="B2430" s="86" t="s">
        <v>33</v>
      </c>
      <c r="C2430" s="48">
        <f t="shared" si="470"/>
        <v>2475</v>
      </c>
      <c r="D2430" s="41">
        <f t="shared" si="472"/>
        <v>111</v>
      </c>
      <c r="E2430" s="41">
        <f t="shared" si="472"/>
        <v>2364</v>
      </c>
      <c r="F2430" s="41">
        <f t="shared" si="472"/>
        <v>0</v>
      </c>
      <c r="G2430" s="41">
        <f t="shared" si="472"/>
        <v>0</v>
      </c>
      <c r="H2430" s="41">
        <f t="shared" si="472"/>
        <v>0</v>
      </c>
      <c r="I2430" s="41">
        <f t="shared" si="472"/>
        <v>0</v>
      </c>
    </row>
    <row r="2431" spans="1:9" ht="12.9" x14ac:dyDescent="0.35">
      <c r="A2431" s="54" t="s">
        <v>40</v>
      </c>
      <c r="B2431" s="35" t="s">
        <v>32</v>
      </c>
      <c r="C2431" s="48">
        <f t="shared" si="470"/>
        <v>2475</v>
      </c>
      <c r="D2431" s="41">
        <f t="shared" ref="D2431:I2432" si="473">D2433+D2549</f>
        <v>111</v>
      </c>
      <c r="E2431" s="41">
        <f t="shared" si="473"/>
        <v>2364</v>
      </c>
      <c r="F2431" s="41">
        <f t="shared" si="473"/>
        <v>0</v>
      </c>
      <c r="G2431" s="41">
        <f t="shared" si="473"/>
        <v>0</v>
      </c>
      <c r="H2431" s="41">
        <f t="shared" si="473"/>
        <v>0</v>
      </c>
      <c r="I2431" s="41">
        <f t="shared" si="473"/>
        <v>0</v>
      </c>
    </row>
    <row r="2432" spans="1:9" ht="12.9" x14ac:dyDescent="0.35">
      <c r="A2432" s="43"/>
      <c r="B2432" s="38" t="s">
        <v>33</v>
      </c>
      <c r="C2432" s="48">
        <f t="shared" si="470"/>
        <v>2475</v>
      </c>
      <c r="D2432" s="41">
        <f t="shared" si="473"/>
        <v>111</v>
      </c>
      <c r="E2432" s="41">
        <f t="shared" si="473"/>
        <v>2364</v>
      </c>
      <c r="F2432" s="41">
        <f t="shared" si="473"/>
        <v>0</v>
      </c>
      <c r="G2432" s="41">
        <f t="shared" si="473"/>
        <v>0</v>
      </c>
      <c r="H2432" s="41">
        <f t="shared" si="473"/>
        <v>0</v>
      </c>
      <c r="I2432" s="41">
        <f t="shared" si="473"/>
        <v>0</v>
      </c>
    </row>
    <row r="2433" spans="1:9" x14ac:dyDescent="0.3">
      <c r="A2433" s="389" t="s">
        <v>53</v>
      </c>
      <c r="B2433" s="84" t="s">
        <v>32</v>
      </c>
      <c r="C2433" s="48">
        <f t="shared" si="470"/>
        <v>1534</v>
      </c>
      <c r="D2433" s="48">
        <f>D2435</f>
        <v>111</v>
      </c>
      <c r="E2433" s="48">
        <f t="shared" ref="E2433:I2434" si="474">E2435</f>
        <v>1423</v>
      </c>
      <c r="F2433" s="48">
        <f t="shared" si="474"/>
        <v>0</v>
      </c>
      <c r="G2433" s="48">
        <f t="shared" si="474"/>
        <v>0</v>
      </c>
      <c r="H2433" s="48">
        <f t="shared" si="474"/>
        <v>0</v>
      </c>
      <c r="I2433" s="48">
        <f t="shared" si="474"/>
        <v>0</v>
      </c>
    </row>
    <row r="2434" spans="1:9" x14ac:dyDescent="0.3">
      <c r="A2434" s="63"/>
      <c r="B2434" s="86" t="s">
        <v>33</v>
      </c>
      <c r="C2434" s="48">
        <f t="shared" si="470"/>
        <v>1534</v>
      </c>
      <c r="D2434" s="48">
        <f>D2436</f>
        <v>111</v>
      </c>
      <c r="E2434" s="48">
        <f t="shared" si="474"/>
        <v>1423</v>
      </c>
      <c r="F2434" s="48">
        <f t="shared" si="474"/>
        <v>0</v>
      </c>
      <c r="G2434" s="48">
        <f t="shared" si="474"/>
        <v>0</v>
      </c>
      <c r="H2434" s="48">
        <f t="shared" si="474"/>
        <v>0</v>
      </c>
      <c r="I2434" s="48">
        <f t="shared" si="474"/>
        <v>0</v>
      </c>
    </row>
    <row r="2435" spans="1:9" s="14" customFormat="1" x14ac:dyDescent="0.3">
      <c r="A2435" s="61" t="s">
        <v>838</v>
      </c>
      <c r="B2435" s="559" t="s">
        <v>32</v>
      </c>
      <c r="C2435" s="36">
        <f t="shared" si="470"/>
        <v>1534</v>
      </c>
      <c r="D2435" s="36">
        <f t="shared" ref="D2435:I2436" si="475">D2437+D2503+D2525+D2529+D2535+D2539+D2547</f>
        <v>111</v>
      </c>
      <c r="E2435" s="36">
        <f t="shared" si="475"/>
        <v>1423</v>
      </c>
      <c r="F2435" s="36">
        <f t="shared" si="475"/>
        <v>0</v>
      </c>
      <c r="G2435" s="36">
        <f t="shared" si="475"/>
        <v>0</v>
      </c>
      <c r="H2435" s="36">
        <f t="shared" si="475"/>
        <v>0</v>
      </c>
      <c r="I2435" s="36">
        <f t="shared" si="475"/>
        <v>0</v>
      </c>
    </row>
    <row r="2436" spans="1:9" s="14" customFormat="1" x14ac:dyDescent="0.3">
      <c r="A2436" s="19"/>
      <c r="B2436" s="536" t="s">
        <v>33</v>
      </c>
      <c r="C2436" s="36">
        <f t="shared" si="470"/>
        <v>1534</v>
      </c>
      <c r="D2436" s="36">
        <f t="shared" si="475"/>
        <v>111</v>
      </c>
      <c r="E2436" s="36">
        <f t="shared" si="475"/>
        <v>1423</v>
      </c>
      <c r="F2436" s="36">
        <f t="shared" si="475"/>
        <v>0</v>
      </c>
      <c r="G2436" s="36">
        <f t="shared" si="475"/>
        <v>0</v>
      </c>
      <c r="H2436" s="36">
        <f t="shared" si="475"/>
        <v>0</v>
      </c>
      <c r="I2436" s="36">
        <f t="shared" si="475"/>
        <v>0</v>
      </c>
    </row>
    <row r="2437" spans="1:9" s="145" customFormat="1" ht="24.9" x14ac:dyDescent="0.3">
      <c r="A2437" s="560" t="s">
        <v>543</v>
      </c>
      <c r="B2437" s="553" t="s">
        <v>32</v>
      </c>
      <c r="C2437" s="41">
        <f t="shared" si="470"/>
        <v>959</v>
      </c>
      <c r="D2437" s="41">
        <f>D2439+D2441+D2443+D2445+D2447+D2449+D2451+D2453+D2455+D2457+D2459+D2461+D2463+D2465+D2467+D2469+D2471+D2473+D2475+D2477+D2479+D2481+D2483+D2485+D2487+D2489+D2491+D2493+D2495+D2497+D2499+D2501</f>
        <v>0</v>
      </c>
      <c r="E2437" s="41">
        <f t="shared" ref="E2437:I2438" si="476">E2439+E2441+E2443+E2445+E2447+E2449+E2451+E2453+E2455+E2457+E2459+E2461+E2463+E2465+E2467+E2469+E2471+E2473+E2475+E2477+E2479+E2481+E2483+E2485+E2487+E2489+E2491+E2493+E2495+E2497+E2499+E2501</f>
        <v>959</v>
      </c>
      <c r="F2437" s="41">
        <f t="shared" si="476"/>
        <v>0</v>
      </c>
      <c r="G2437" s="41">
        <f t="shared" si="476"/>
        <v>0</v>
      </c>
      <c r="H2437" s="41">
        <f t="shared" si="476"/>
        <v>0</v>
      </c>
      <c r="I2437" s="41">
        <f t="shared" si="476"/>
        <v>0</v>
      </c>
    </row>
    <row r="2438" spans="1:9" s="145" customFormat="1" ht="12.9" x14ac:dyDescent="0.35">
      <c r="A2438" s="69"/>
      <c r="B2438" s="555" t="s">
        <v>33</v>
      </c>
      <c r="C2438" s="41">
        <f t="shared" si="470"/>
        <v>959</v>
      </c>
      <c r="D2438" s="41">
        <f>D2440+D2442+D2444+D2446+D2448+D2450+D2452+D2454+D2456+D2458+D2460+D2462+D2464+D2466+D2468+D2470+D2472+D2474+D2476+D2478+D2480+D2482+D2484+D2486+D2488+D2490+D2492+D2494+D2496+D2498+D2500+D2502</f>
        <v>0</v>
      </c>
      <c r="E2438" s="41">
        <f t="shared" si="476"/>
        <v>959</v>
      </c>
      <c r="F2438" s="41">
        <f t="shared" si="476"/>
        <v>0</v>
      </c>
      <c r="G2438" s="41">
        <f t="shared" si="476"/>
        <v>0</v>
      </c>
      <c r="H2438" s="41">
        <f t="shared" si="476"/>
        <v>0</v>
      </c>
      <c r="I2438" s="41">
        <f t="shared" si="476"/>
        <v>0</v>
      </c>
    </row>
    <row r="2439" spans="1:9" s="147" customFormat="1" ht="28.3" x14ac:dyDescent="0.35">
      <c r="A2439" s="561" t="s">
        <v>925</v>
      </c>
      <c r="B2439" s="533" t="s">
        <v>32</v>
      </c>
      <c r="C2439" s="41">
        <f t="shared" si="470"/>
        <v>17</v>
      </c>
      <c r="D2439" s="41">
        <v>0</v>
      </c>
      <c r="E2439" s="41">
        <v>17</v>
      </c>
      <c r="F2439" s="41">
        <v>0</v>
      </c>
      <c r="G2439" s="41">
        <v>0</v>
      </c>
      <c r="H2439" s="41">
        <v>0</v>
      </c>
      <c r="I2439" s="41">
        <v>0</v>
      </c>
    </row>
    <row r="2440" spans="1:9" s="145" customFormat="1" ht="12.9" x14ac:dyDescent="0.35">
      <c r="A2440" s="69"/>
      <c r="B2440" s="552" t="s">
        <v>33</v>
      </c>
      <c r="C2440" s="41">
        <f t="shared" si="470"/>
        <v>17</v>
      </c>
      <c r="D2440" s="41">
        <v>0</v>
      </c>
      <c r="E2440" s="41">
        <v>17</v>
      </c>
      <c r="F2440" s="41">
        <v>0</v>
      </c>
      <c r="G2440" s="41">
        <v>0</v>
      </c>
      <c r="H2440" s="41">
        <v>0</v>
      </c>
      <c r="I2440" s="41">
        <v>0</v>
      </c>
    </row>
    <row r="2441" spans="1:9" s="147" customFormat="1" ht="14.15" x14ac:dyDescent="0.35">
      <c r="A2441" s="562" t="s">
        <v>926</v>
      </c>
      <c r="B2441" s="533" t="s">
        <v>32</v>
      </c>
      <c r="C2441" s="41">
        <f t="shared" si="470"/>
        <v>9</v>
      </c>
      <c r="D2441" s="41">
        <v>0</v>
      </c>
      <c r="E2441" s="41">
        <v>9</v>
      </c>
      <c r="F2441" s="41">
        <v>0</v>
      </c>
      <c r="G2441" s="41">
        <v>0</v>
      </c>
      <c r="H2441" s="41">
        <v>0</v>
      </c>
      <c r="I2441" s="41">
        <v>0</v>
      </c>
    </row>
    <row r="2442" spans="1:9" s="145" customFormat="1" ht="12.9" x14ac:dyDescent="0.35">
      <c r="A2442" s="69"/>
      <c r="B2442" s="552" t="s">
        <v>33</v>
      </c>
      <c r="C2442" s="41">
        <f t="shared" si="470"/>
        <v>9</v>
      </c>
      <c r="D2442" s="41">
        <v>0</v>
      </c>
      <c r="E2442" s="41">
        <v>9</v>
      </c>
      <c r="F2442" s="41">
        <v>0</v>
      </c>
      <c r="G2442" s="41">
        <v>0</v>
      </c>
      <c r="H2442" s="41">
        <v>0</v>
      </c>
      <c r="I2442" s="41">
        <v>0</v>
      </c>
    </row>
    <row r="2443" spans="1:9" s="147" customFormat="1" ht="28.3" x14ac:dyDescent="0.35">
      <c r="A2443" s="561" t="s">
        <v>927</v>
      </c>
      <c r="B2443" s="533" t="s">
        <v>32</v>
      </c>
      <c r="C2443" s="41">
        <f t="shared" si="470"/>
        <v>149</v>
      </c>
      <c r="D2443" s="41">
        <v>0</v>
      </c>
      <c r="E2443" s="41">
        <v>149</v>
      </c>
      <c r="F2443" s="41">
        <v>0</v>
      </c>
      <c r="G2443" s="41">
        <v>0</v>
      </c>
      <c r="H2443" s="41">
        <v>0</v>
      </c>
      <c r="I2443" s="41">
        <v>0</v>
      </c>
    </row>
    <row r="2444" spans="1:9" s="145" customFormat="1" ht="12.9" x14ac:dyDescent="0.35">
      <c r="A2444" s="69"/>
      <c r="B2444" s="552" t="s">
        <v>33</v>
      </c>
      <c r="C2444" s="41">
        <f t="shared" si="470"/>
        <v>149</v>
      </c>
      <c r="D2444" s="41">
        <v>0</v>
      </c>
      <c r="E2444" s="41">
        <v>149</v>
      </c>
      <c r="F2444" s="41">
        <v>0</v>
      </c>
      <c r="G2444" s="41">
        <v>0</v>
      </c>
      <c r="H2444" s="41">
        <v>0</v>
      </c>
      <c r="I2444" s="41">
        <v>0</v>
      </c>
    </row>
    <row r="2445" spans="1:9" s="147" customFormat="1" ht="14.15" x14ac:dyDescent="0.35">
      <c r="A2445" s="350" t="s">
        <v>928</v>
      </c>
      <c r="B2445" s="533" t="s">
        <v>32</v>
      </c>
      <c r="C2445" s="41">
        <f t="shared" si="470"/>
        <v>9</v>
      </c>
      <c r="D2445" s="41">
        <v>0</v>
      </c>
      <c r="E2445" s="41">
        <v>9</v>
      </c>
      <c r="F2445" s="41">
        <v>0</v>
      </c>
      <c r="G2445" s="41">
        <v>0</v>
      </c>
      <c r="H2445" s="41">
        <v>0</v>
      </c>
      <c r="I2445" s="41">
        <v>0</v>
      </c>
    </row>
    <row r="2446" spans="1:9" s="145" customFormat="1" ht="12.9" x14ac:dyDescent="0.35">
      <c r="A2446" s="69"/>
      <c r="B2446" s="552" t="s">
        <v>33</v>
      </c>
      <c r="C2446" s="41">
        <f t="shared" si="470"/>
        <v>9</v>
      </c>
      <c r="D2446" s="41">
        <v>0</v>
      </c>
      <c r="E2446" s="41">
        <v>9</v>
      </c>
      <c r="F2446" s="41">
        <v>0</v>
      </c>
      <c r="G2446" s="41">
        <v>0</v>
      </c>
      <c r="H2446" s="41">
        <v>0</v>
      </c>
      <c r="I2446" s="41">
        <v>0</v>
      </c>
    </row>
    <row r="2447" spans="1:9" s="145" customFormat="1" ht="14.15" x14ac:dyDescent="0.35">
      <c r="A2447" s="348" t="s">
        <v>929</v>
      </c>
      <c r="B2447" s="533" t="s">
        <v>32</v>
      </c>
      <c r="C2447" s="41">
        <f t="shared" si="470"/>
        <v>13</v>
      </c>
      <c r="D2447" s="41">
        <v>0</v>
      </c>
      <c r="E2447" s="41">
        <v>13</v>
      </c>
      <c r="F2447" s="41">
        <v>0</v>
      </c>
      <c r="G2447" s="41">
        <v>0</v>
      </c>
      <c r="H2447" s="41">
        <v>0</v>
      </c>
      <c r="I2447" s="41">
        <v>0</v>
      </c>
    </row>
    <row r="2448" spans="1:9" s="145" customFormat="1" ht="12.9" x14ac:dyDescent="0.35">
      <c r="A2448" s="69"/>
      <c r="B2448" s="552" t="s">
        <v>33</v>
      </c>
      <c r="C2448" s="41">
        <f t="shared" si="470"/>
        <v>13</v>
      </c>
      <c r="D2448" s="41">
        <v>0</v>
      </c>
      <c r="E2448" s="41">
        <v>13</v>
      </c>
      <c r="F2448" s="41">
        <v>0</v>
      </c>
      <c r="G2448" s="41">
        <v>0</v>
      </c>
      <c r="H2448" s="41">
        <v>0</v>
      </c>
      <c r="I2448" s="41">
        <v>0</v>
      </c>
    </row>
    <row r="2449" spans="1:9" s="147" customFormat="1" ht="14.15" x14ac:dyDescent="0.35">
      <c r="A2449" s="347" t="s">
        <v>928</v>
      </c>
      <c r="B2449" s="533" t="s">
        <v>32</v>
      </c>
      <c r="C2449" s="41">
        <f t="shared" si="470"/>
        <v>9</v>
      </c>
      <c r="D2449" s="41">
        <v>0</v>
      </c>
      <c r="E2449" s="41">
        <v>9</v>
      </c>
      <c r="F2449" s="41">
        <v>0</v>
      </c>
      <c r="G2449" s="41">
        <v>0</v>
      </c>
      <c r="H2449" s="41">
        <v>0</v>
      </c>
      <c r="I2449" s="41">
        <v>0</v>
      </c>
    </row>
    <row r="2450" spans="1:9" s="145" customFormat="1" ht="12.9" x14ac:dyDescent="0.35">
      <c r="A2450" s="69"/>
      <c r="B2450" s="552" t="s">
        <v>33</v>
      </c>
      <c r="C2450" s="41">
        <f t="shared" si="470"/>
        <v>9</v>
      </c>
      <c r="D2450" s="41">
        <v>0</v>
      </c>
      <c r="E2450" s="41">
        <v>9</v>
      </c>
      <c r="F2450" s="41">
        <v>0</v>
      </c>
      <c r="G2450" s="41">
        <v>0</v>
      </c>
      <c r="H2450" s="41">
        <v>0</v>
      </c>
      <c r="I2450" s="41">
        <v>0</v>
      </c>
    </row>
    <row r="2451" spans="1:9" s="147" customFormat="1" ht="14.15" x14ac:dyDescent="0.35">
      <c r="A2451" s="347" t="s">
        <v>929</v>
      </c>
      <c r="B2451" s="533" t="s">
        <v>32</v>
      </c>
      <c r="C2451" s="41">
        <f t="shared" si="470"/>
        <v>13</v>
      </c>
      <c r="D2451" s="41">
        <v>0</v>
      </c>
      <c r="E2451" s="41">
        <v>13</v>
      </c>
      <c r="F2451" s="41">
        <v>0</v>
      </c>
      <c r="G2451" s="41">
        <v>0</v>
      </c>
      <c r="H2451" s="41">
        <v>0</v>
      </c>
      <c r="I2451" s="41">
        <v>0</v>
      </c>
    </row>
    <row r="2452" spans="1:9" s="145" customFormat="1" ht="12.9" x14ac:dyDescent="0.35">
      <c r="A2452" s="69"/>
      <c r="B2452" s="552" t="s">
        <v>33</v>
      </c>
      <c r="C2452" s="41">
        <f t="shared" si="470"/>
        <v>13</v>
      </c>
      <c r="D2452" s="41">
        <v>0</v>
      </c>
      <c r="E2452" s="41">
        <v>13</v>
      </c>
      <c r="F2452" s="41">
        <v>0</v>
      </c>
      <c r="G2452" s="41">
        <v>0</v>
      </c>
      <c r="H2452" s="41">
        <v>0</v>
      </c>
      <c r="I2452" s="41">
        <v>0</v>
      </c>
    </row>
    <row r="2453" spans="1:9" s="147" customFormat="1" ht="17.25" customHeight="1" x14ac:dyDescent="0.3">
      <c r="A2453" s="563" t="s">
        <v>928</v>
      </c>
      <c r="B2453" s="533" t="s">
        <v>32</v>
      </c>
      <c r="C2453" s="41">
        <f t="shared" si="470"/>
        <v>37</v>
      </c>
      <c r="D2453" s="41">
        <v>0</v>
      </c>
      <c r="E2453" s="41">
        <v>37</v>
      </c>
      <c r="F2453" s="41">
        <v>0</v>
      </c>
      <c r="G2453" s="41">
        <v>0</v>
      </c>
      <c r="H2453" s="41">
        <v>0</v>
      </c>
      <c r="I2453" s="41">
        <v>0</v>
      </c>
    </row>
    <row r="2454" spans="1:9" s="145" customFormat="1" ht="12.9" x14ac:dyDescent="0.35">
      <c r="A2454" s="69"/>
      <c r="B2454" s="552" t="s">
        <v>33</v>
      </c>
      <c r="C2454" s="41">
        <f t="shared" si="470"/>
        <v>37</v>
      </c>
      <c r="D2454" s="41">
        <v>0</v>
      </c>
      <c r="E2454" s="41">
        <v>37</v>
      </c>
      <c r="F2454" s="41">
        <v>0</v>
      </c>
      <c r="G2454" s="41">
        <v>0</v>
      </c>
      <c r="H2454" s="41">
        <v>0</v>
      </c>
      <c r="I2454" s="41">
        <v>0</v>
      </c>
    </row>
    <row r="2455" spans="1:9" s="147" customFormat="1" ht="14.15" x14ac:dyDescent="0.35">
      <c r="A2455" s="347" t="s">
        <v>929</v>
      </c>
      <c r="B2455" s="533" t="s">
        <v>32</v>
      </c>
      <c r="C2455" s="41">
        <f t="shared" si="470"/>
        <v>58</v>
      </c>
      <c r="D2455" s="41">
        <v>0</v>
      </c>
      <c r="E2455" s="41">
        <v>58</v>
      </c>
      <c r="F2455" s="41">
        <v>0</v>
      </c>
      <c r="G2455" s="41">
        <v>0</v>
      </c>
      <c r="H2455" s="41">
        <v>0</v>
      </c>
      <c r="I2455" s="41">
        <v>0</v>
      </c>
    </row>
    <row r="2456" spans="1:9" s="145" customFormat="1" ht="12.9" x14ac:dyDescent="0.35">
      <c r="A2456" s="69"/>
      <c r="B2456" s="552" t="s">
        <v>33</v>
      </c>
      <c r="C2456" s="41">
        <f t="shared" si="470"/>
        <v>58</v>
      </c>
      <c r="D2456" s="41">
        <v>0</v>
      </c>
      <c r="E2456" s="41">
        <v>58</v>
      </c>
      <c r="F2456" s="41">
        <v>0</v>
      </c>
      <c r="G2456" s="41">
        <v>0</v>
      </c>
      <c r="H2456" s="41">
        <v>0</v>
      </c>
      <c r="I2456" s="41">
        <v>0</v>
      </c>
    </row>
    <row r="2457" spans="1:9" s="147" customFormat="1" ht="14.15" x14ac:dyDescent="0.35">
      <c r="A2457" s="347" t="s">
        <v>928</v>
      </c>
      <c r="B2457" s="533" t="s">
        <v>32</v>
      </c>
      <c r="C2457" s="41">
        <f t="shared" si="470"/>
        <v>9</v>
      </c>
      <c r="D2457" s="41">
        <v>0</v>
      </c>
      <c r="E2457" s="41">
        <v>9</v>
      </c>
      <c r="F2457" s="41">
        <v>0</v>
      </c>
      <c r="G2457" s="41">
        <v>0</v>
      </c>
      <c r="H2457" s="41">
        <v>0</v>
      </c>
      <c r="I2457" s="41">
        <v>0</v>
      </c>
    </row>
    <row r="2458" spans="1:9" s="145" customFormat="1" ht="12.9" x14ac:dyDescent="0.35">
      <c r="A2458" s="69"/>
      <c r="B2458" s="552" t="s">
        <v>33</v>
      </c>
      <c r="C2458" s="41">
        <f t="shared" si="470"/>
        <v>9</v>
      </c>
      <c r="D2458" s="41">
        <v>0</v>
      </c>
      <c r="E2458" s="41">
        <v>9</v>
      </c>
      <c r="F2458" s="41">
        <v>0</v>
      </c>
      <c r="G2458" s="41">
        <v>0</v>
      </c>
      <c r="H2458" s="41">
        <v>0</v>
      </c>
      <c r="I2458" s="41">
        <v>0</v>
      </c>
    </row>
    <row r="2459" spans="1:9" s="147" customFormat="1" ht="16.5" customHeight="1" x14ac:dyDescent="0.3">
      <c r="A2459" s="563" t="s">
        <v>930</v>
      </c>
      <c r="B2459" s="533" t="s">
        <v>32</v>
      </c>
      <c r="C2459" s="41">
        <f t="shared" si="470"/>
        <v>5</v>
      </c>
      <c r="D2459" s="41">
        <v>0</v>
      </c>
      <c r="E2459" s="41">
        <v>5</v>
      </c>
      <c r="F2459" s="41">
        <v>0</v>
      </c>
      <c r="G2459" s="41">
        <v>0</v>
      </c>
      <c r="H2459" s="41">
        <v>0</v>
      </c>
      <c r="I2459" s="41">
        <v>0</v>
      </c>
    </row>
    <row r="2460" spans="1:9" s="145" customFormat="1" ht="12.9" x14ac:dyDescent="0.35">
      <c r="A2460" s="69"/>
      <c r="B2460" s="552" t="s">
        <v>33</v>
      </c>
      <c r="C2460" s="41">
        <f t="shared" si="470"/>
        <v>5</v>
      </c>
      <c r="D2460" s="41">
        <v>0</v>
      </c>
      <c r="E2460" s="41">
        <v>5</v>
      </c>
      <c r="F2460" s="41">
        <v>0</v>
      </c>
      <c r="G2460" s="41">
        <v>0</v>
      </c>
      <c r="H2460" s="41">
        <v>0</v>
      </c>
      <c r="I2460" s="41">
        <v>0</v>
      </c>
    </row>
    <row r="2461" spans="1:9" s="147" customFormat="1" ht="14.15" x14ac:dyDescent="0.35">
      <c r="A2461" s="348" t="s">
        <v>931</v>
      </c>
      <c r="B2461" s="533" t="s">
        <v>32</v>
      </c>
      <c r="C2461" s="41">
        <f t="shared" si="470"/>
        <v>2</v>
      </c>
      <c r="D2461" s="41">
        <v>0</v>
      </c>
      <c r="E2461" s="41">
        <v>2</v>
      </c>
      <c r="F2461" s="41">
        <v>0</v>
      </c>
      <c r="G2461" s="41">
        <v>0</v>
      </c>
      <c r="H2461" s="41">
        <v>0</v>
      </c>
      <c r="I2461" s="41">
        <v>0</v>
      </c>
    </row>
    <row r="2462" spans="1:9" s="145" customFormat="1" ht="12.9" x14ac:dyDescent="0.35">
      <c r="A2462" s="69"/>
      <c r="B2462" s="552" t="s">
        <v>33</v>
      </c>
      <c r="C2462" s="41">
        <f t="shared" si="470"/>
        <v>2</v>
      </c>
      <c r="D2462" s="41">
        <v>0</v>
      </c>
      <c r="E2462" s="41">
        <v>2</v>
      </c>
      <c r="F2462" s="41">
        <v>0</v>
      </c>
      <c r="G2462" s="41">
        <v>0</v>
      </c>
      <c r="H2462" s="41">
        <v>0</v>
      </c>
      <c r="I2462" s="41">
        <v>0</v>
      </c>
    </row>
    <row r="2463" spans="1:9" s="147" customFormat="1" ht="14.15" x14ac:dyDescent="0.35">
      <c r="A2463" s="347" t="s">
        <v>932</v>
      </c>
      <c r="B2463" s="533" t="s">
        <v>32</v>
      </c>
      <c r="C2463" s="41">
        <f t="shared" si="470"/>
        <v>14</v>
      </c>
      <c r="D2463" s="41">
        <v>0</v>
      </c>
      <c r="E2463" s="41">
        <v>14</v>
      </c>
      <c r="F2463" s="41">
        <v>0</v>
      </c>
      <c r="G2463" s="41">
        <v>0</v>
      </c>
      <c r="H2463" s="41">
        <v>0</v>
      </c>
      <c r="I2463" s="41">
        <v>0</v>
      </c>
    </row>
    <row r="2464" spans="1:9" s="145" customFormat="1" ht="12.9" x14ac:dyDescent="0.35">
      <c r="A2464" s="69"/>
      <c r="B2464" s="552" t="s">
        <v>33</v>
      </c>
      <c r="C2464" s="41">
        <f t="shared" si="470"/>
        <v>14</v>
      </c>
      <c r="D2464" s="41">
        <v>0</v>
      </c>
      <c r="E2464" s="41">
        <v>14</v>
      </c>
      <c r="F2464" s="41">
        <v>0</v>
      </c>
      <c r="G2464" s="41">
        <v>0</v>
      </c>
      <c r="H2464" s="41">
        <v>0</v>
      </c>
      <c r="I2464" s="41">
        <v>0</v>
      </c>
    </row>
    <row r="2465" spans="1:9" s="147" customFormat="1" ht="15" customHeight="1" x14ac:dyDescent="0.35">
      <c r="A2465" s="347" t="s">
        <v>933</v>
      </c>
      <c r="B2465" s="533" t="s">
        <v>32</v>
      </c>
      <c r="C2465" s="41">
        <f t="shared" si="470"/>
        <v>13</v>
      </c>
      <c r="D2465" s="41">
        <v>0</v>
      </c>
      <c r="E2465" s="41">
        <v>13</v>
      </c>
      <c r="F2465" s="41">
        <v>0</v>
      </c>
      <c r="G2465" s="41">
        <v>0</v>
      </c>
      <c r="H2465" s="41">
        <v>0</v>
      </c>
      <c r="I2465" s="41">
        <v>0</v>
      </c>
    </row>
    <row r="2466" spans="1:9" s="145" customFormat="1" ht="12.9" x14ac:dyDescent="0.35">
      <c r="A2466" s="69"/>
      <c r="B2466" s="552" t="s">
        <v>33</v>
      </c>
      <c r="C2466" s="41">
        <f t="shared" si="470"/>
        <v>13</v>
      </c>
      <c r="D2466" s="41">
        <v>0</v>
      </c>
      <c r="E2466" s="41">
        <v>13</v>
      </c>
      <c r="F2466" s="41">
        <v>0</v>
      </c>
      <c r="G2466" s="41">
        <v>0</v>
      </c>
      <c r="H2466" s="41">
        <v>0</v>
      </c>
      <c r="I2466" s="41">
        <v>0</v>
      </c>
    </row>
    <row r="2467" spans="1:9" s="147" customFormat="1" ht="14.15" x14ac:dyDescent="0.35">
      <c r="A2467" s="347" t="s">
        <v>934</v>
      </c>
      <c r="B2467" s="533" t="s">
        <v>32</v>
      </c>
      <c r="C2467" s="41">
        <f t="shared" si="470"/>
        <v>117</v>
      </c>
      <c r="D2467" s="41">
        <v>0</v>
      </c>
      <c r="E2467" s="41">
        <v>117</v>
      </c>
      <c r="F2467" s="41">
        <v>0</v>
      </c>
      <c r="G2467" s="41">
        <v>0</v>
      </c>
      <c r="H2467" s="41">
        <v>0</v>
      </c>
      <c r="I2467" s="41">
        <v>0</v>
      </c>
    </row>
    <row r="2468" spans="1:9" s="145" customFormat="1" ht="12.9" x14ac:dyDescent="0.35">
      <c r="A2468" s="69"/>
      <c r="B2468" s="552" t="s">
        <v>33</v>
      </c>
      <c r="C2468" s="41">
        <f t="shared" si="470"/>
        <v>117</v>
      </c>
      <c r="D2468" s="41">
        <v>0</v>
      </c>
      <c r="E2468" s="41">
        <v>117</v>
      </c>
      <c r="F2468" s="41">
        <v>0</v>
      </c>
      <c r="G2468" s="41">
        <v>0</v>
      </c>
      <c r="H2468" s="41">
        <v>0</v>
      </c>
      <c r="I2468" s="41">
        <v>0</v>
      </c>
    </row>
    <row r="2469" spans="1:9" s="147" customFormat="1" ht="14.15" x14ac:dyDescent="0.35">
      <c r="A2469" s="347" t="s">
        <v>935</v>
      </c>
      <c r="B2469" s="533" t="s">
        <v>32</v>
      </c>
      <c r="C2469" s="41">
        <f t="shared" si="470"/>
        <v>133</v>
      </c>
      <c r="D2469" s="41">
        <v>0</v>
      </c>
      <c r="E2469" s="41">
        <v>133</v>
      </c>
      <c r="F2469" s="41">
        <v>0</v>
      </c>
      <c r="G2469" s="41">
        <v>0</v>
      </c>
      <c r="H2469" s="41">
        <v>0</v>
      </c>
      <c r="I2469" s="41">
        <v>0</v>
      </c>
    </row>
    <row r="2470" spans="1:9" s="145" customFormat="1" ht="12.9" x14ac:dyDescent="0.35">
      <c r="A2470" s="69"/>
      <c r="B2470" s="552" t="s">
        <v>33</v>
      </c>
      <c r="C2470" s="41">
        <f t="shared" si="470"/>
        <v>133</v>
      </c>
      <c r="D2470" s="41">
        <v>0</v>
      </c>
      <c r="E2470" s="41">
        <v>133</v>
      </c>
      <c r="F2470" s="41">
        <v>0</v>
      </c>
      <c r="G2470" s="41">
        <v>0</v>
      </c>
      <c r="H2470" s="41">
        <v>0</v>
      </c>
      <c r="I2470" s="41">
        <v>0</v>
      </c>
    </row>
    <row r="2471" spans="1:9" s="236" customFormat="1" ht="14.15" x14ac:dyDescent="0.35">
      <c r="A2471" s="564" t="s">
        <v>936</v>
      </c>
      <c r="B2471" s="551" t="s">
        <v>32</v>
      </c>
      <c r="C2471" s="206">
        <f t="shared" si="470"/>
        <v>89</v>
      </c>
      <c r="D2471" s="206">
        <v>0</v>
      </c>
      <c r="E2471" s="206">
        <f>129-40</f>
        <v>89</v>
      </c>
      <c r="F2471" s="206">
        <v>0</v>
      </c>
      <c r="G2471" s="206">
        <v>0</v>
      </c>
      <c r="H2471" s="206">
        <v>0</v>
      </c>
      <c r="I2471" s="206">
        <v>0</v>
      </c>
    </row>
    <row r="2472" spans="1:9" s="153" customFormat="1" ht="12.9" x14ac:dyDescent="0.35">
      <c r="A2472" s="565"/>
      <c r="B2472" s="566" t="s">
        <v>33</v>
      </c>
      <c r="C2472" s="206">
        <f t="shared" si="470"/>
        <v>89</v>
      </c>
      <c r="D2472" s="206">
        <v>0</v>
      </c>
      <c r="E2472" s="206">
        <f>129-40</f>
        <v>89</v>
      </c>
      <c r="F2472" s="206">
        <v>0</v>
      </c>
      <c r="G2472" s="206">
        <v>0</v>
      </c>
      <c r="H2472" s="206">
        <v>0</v>
      </c>
      <c r="I2472" s="206">
        <v>0</v>
      </c>
    </row>
    <row r="2473" spans="1:9" s="147" customFormat="1" ht="15" customHeight="1" x14ac:dyDescent="0.3">
      <c r="A2473" s="567" t="s">
        <v>937</v>
      </c>
      <c r="B2473" s="533" t="s">
        <v>32</v>
      </c>
      <c r="C2473" s="41">
        <f t="shared" si="470"/>
        <v>15</v>
      </c>
      <c r="D2473" s="41">
        <v>0</v>
      </c>
      <c r="E2473" s="41">
        <v>15</v>
      </c>
      <c r="F2473" s="41">
        <v>0</v>
      </c>
      <c r="G2473" s="41">
        <v>0</v>
      </c>
      <c r="H2473" s="41">
        <v>0</v>
      </c>
      <c r="I2473" s="41">
        <v>0</v>
      </c>
    </row>
    <row r="2474" spans="1:9" s="145" customFormat="1" ht="12.9" x14ac:dyDescent="0.35">
      <c r="A2474" s="69"/>
      <c r="B2474" s="552" t="s">
        <v>33</v>
      </c>
      <c r="C2474" s="41">
        <f t="shared" si="470"/>
        <v>15</v>
      </c>
      <c r="D2474" s="41">
        <v>0</v>
      </c>
      <c r="E2474" s="41">
        <v>15</v>
      </c>
      <c r="F2474" s="41">
        <v>0</v>
      </c>
      <c r="G2474" s="41">
        <v>0</v>
      </c>
      <c r="H2474" s="41">
        <v>0</v>
      </c>
      <c r="I2474" s="41">
        <v>0</v>
      </c>
    </row>
    <row r="2475" spans="1:9" s="147" customFormat="1" ht="14.15" x14ac:dyDescent="0.35">
      <c r="A2475" s="347" t="s">
        <v>933</v>
      </c>
      <c r="B2475" s="533" t="s">
        <v>32</v>
      </c>
      <c r="C2475" s="41">
        <f t="shared" si="470"/>
        <v>15</v>
      </c>
      <c r="D2475" s="41">
        <v>0</v>
      </c>
      <c r="E2475" s="41">
        <v>15</v>
      </c>
      <c r="F2475" s="41">
        <v>0</v>
      </c>
      <c r="G2475" s="41">
        <v>0</v>
      </c>
      <c r="H2475" s="41">
        <v>0</v>
      </c>
      <c r="I2475" s="41">
        <v>0</v>
      </c>
    </row>
    <row r="2476" spans="1:9" s="145" customFormat="1" ht="12.9" x14ac:dyDescent="0.35">
      <c r="A2476" s="69"/>
      <c r="B2476" s="552" t="s">
        <v>33</v>
      </c>
      <c r="C2476" s="41">
        <f t="shared" si="470"/>
        <v>15</v>
      </c>
      <c r="D2476" s="41">
        <v>0</v>
      </c>
      <c r="E2476" s="41">
        <v>15</v>
      </c>
      <c r="F2476" s="41">
        <v>0</v>
      </c>
      <c r="G2476" s="41">
        <v>0</v>
      </c>
      <c r="H2476" s="41">
        <v>0</v>
      </c>
      <c r="I2476" s="41">
        <v>0</v>
      </c>
    </row>
    <row r="2477" spans="1:9" s="147" customFormat="1" ht="15" customHeight="1" x14ac:dyDescent="0.3">
      <c r="A2477" s="563" t="s">
        <v>938</v>
      </c>
      <c r="B2477" s="533" t="s">
        <v>32</v>
      </c>
      <c r="C2477" s="41">
        <f t="shared" si="470"/>
        <v>13</v>
      </c>
      <c r="D2477" s="41">
        <v>0</v>
      </c>
      <c r="E2477" s="41">
        <v>13</v>
      </c>
      <c r="F2477" s="41">
        <v>0</v>
      </c>
      <c r="G2477" s="41">
        <v>0</v>
      </c>
      <c r="H2477" s="41">
        <v>0</v>
      </c>
      <c r="I2477" s="41">
        <v>0</v>
      </c>
    </row>
    <row r="2478" spans="1:9" s="145" customFormat="1" ht="12.9" x14ac:dyDescent="0.35">
      <c r="A2478" s="69"/>
      <c r="B2478" s="552" t="s">
        <v>33</v>
      </c>
      <c r="C2478" s="41">
        <f t="shared" si="470"/>
        <v>13</v>
      </c>
      <c r="D2478" s="41">
        <v>0</v>
      </c>
      <c r="E2478" s="41">
        <v>13</v>
      </c>
      <c r="F2478" s="41">
        <v>0</v>
      </c>
      <c r="G2478" s="41">
        <v>0</v>
      </c>
      <c r="H2478" s="41">
        <v>0</v>
      </c>
      <c r="I2478" s="41">
        <v>0</v>
      </c>
    </row>
    <row r="2479" spans="1:9" s="147" customFormat="1" ht="16.5" customHeight="1" x14ac:dyDescent="0.3">
      <c r="A2479" s="568" t="s">
        <v>933</v>
      </c>
      <c r="B2479" s="533" t="s">
        <v>32</v>
      </c>
      <c r="C2479" s="41">
        <f t="shared" si="470"/>
        <v>30</v>
      </c>
      <c r="D2479" s="41">
        <v>0</v>
      </c>
      <c r="E2479" s="41">
        <v>30</v>
      </c>
      <c r="F2479" s="41">
        <v>0</v>
      </c>
      <c r="G2479" s="41">
        <v>0</v>
      </c>
      <c r="H2479" s="41">
        <v>0</v>
      </c>
      <c r="I2479" s="41">
        <v>0</v>
      </c>
    </row>
    <row r="2480" spans="1:9" s="145" customFormat="1" ht="13.5" customHeight="1" x14ac:dyDescent="0.35">
      <c r="A2480" s="69"/>
      <c r="B2480" s="552" t="s">
        <v>33</v>
      </c>
      <c r="C2480" s="41">
        <f t="shared" si="470"/>
        <v>30</v>
      </c>
      <c r="D2480" s="41">
        <v>0</v>
      </c>
      <c r="E2480" s="41">
        <v>30</v>
      </c>
      <c r="F2480" s="41">
        <v>0</v>
      </c>
      <c r="G2480" s="41">
        <v>0</v>
      </c>
      <c r="H2480" s="41">
        <v>0</v>
      </c>
      <c r="I2480" s="41">
        <v>0</v>
      </c>
    </row>
    <row r="2481" spans="1:9" s="147" customFormat="1" ht="17.25" customHeight="1" x14ac:dyDescent="0.3">
      <c r="A2481" s="568" t="s">
        <v>933</v>
      </c>
      <c r="B2481" s="533" t="s">
        <v>32</v>
      </c>
      <c r="C2481" s="41">
        <f t="shared" si="470"/>
        <v>8</v>
      </c>
      <c r="D2481" s="41">
        <v>0</v>
      </c>
      <c r="E2481" s="41">
        <v>8</v>
      </c>
      <c r="F2481" s="41">
        <v>0</v>
      </c>
      <c r="G2481" s="41">
        <v>0</v>
      </c>
      <c r="H2481" s="41">
        <v>0</v>
      </c>
      <c r="I2481" s="41">
        <v>0</v>
      </c>
    </row>
    <row r="2482" spans="1:9" s="145" customFormat="1" ht="12.9" x14ac:dyDescent="0.35">
      <c r="A2482" s="69"/>
      <c r="B2482" s="552" t="s">
        <v>33</v>
      </c>
      <c r="C2482" s="41">
        <f t="shared" si="470"/>
        <v>8</v>
      </c>
      <c r="D2482" s="41">
        <v>0</v>
      </c>
      <c r="E2482" s="41">
        <v>8</v>
      </c>
      <c r="F2482" s="41">
        <v>0</v>
      </c>
      <c r="G2482" s="41">
        <v>0</v>
      </c>
      <c r="H2482" s="41">
        <v>0</v>
      </c>
      <c r="I2482" s="41">
        <v>0</v>
      </c>
    </row>
    <row r="2483" spans="1:9" s="572" customFormat="1" ht="28.3" x14ac:dyDescent="0.3">
      <c r="A2483" s="569" t="s">
        <v>939</v>
      </c>
      <c r="B2483" s="570" t="s">
        <v>32</v>
      </c>
      <c r="C2483" s="571">
        <f t="shared" si="470"/>
        <v>64</v>
      </c>
      <c r="D2483" s="571">
        <v>0</v>
      </c>
      <c r="E2483" s="571">
        <v>64</v>
      </c>
      <c r="F2483" s="571">
        <v>0</v>
      </c>
      <c r="G2483" s="571">
        <v>0</v>
      </c>
      <c r="H2483" s="571">
        <v>0</v>
      </c>
      <c r="I2483" s="571">
        <v>0</v>
      </c>
    </row>
    <row r="2484" spans="1:9" s="145" customFormat="1" ht="12.9" x14ac:dyDescent="0.35">
      <c r="A2484" s="69"/>
      <c r="B2484" s="552" t="s">
        <v>33</v>
      </c>
      <c r="C2484" s="41">
        <f t="shared" si="470"/>
        <v>64</v>
      </c>
      <c r="D2484" s="41">
        <v>0</v>
      </c>
      <c r="E2484" s="41">
        <v>64</v>
      </c>
      <c r="F2484" s="41">
        <v>0</v>
      </c>
      <c r="G2484" s="41">
        <v>0</v>
      </c>
      <c r="H2484" s="41">
        <v>0</v>
      </c>
      <c r="I2484" s="41">
        <v>0</v>
      </c>
    </row>
    <row r="2485" spans="1:9" s="147" customFormat="1" ht="16.5" customHeight="1" x14ac:dyDescent="0.3">
      <c r="A2485" s="568" t="s">
        <v>933</v>
      </c>
      <c r="B2485" s="533" t="s">
        <v>32</v>
      </c>
      <c r="C2485" s="41">
        <f t="shared" si="470"/>
        <v>23</v>
      </c>
      <c r="D2485" s="41">
        <v>0</v>
      </c>
      <c r="E2485" s="41">
        <v>23</v>
      </c>
      <c r="F2485" s="41">
        <v>0</v>
      </c>
      <c r="G2485" s="41">
        <v>0</v>
      </c>
      <c r="H2485" s="41">
        <v>0</v>
      </c>
      <c r="I2485" s="41">
        <v>0</v>
      </c>
    </row>
    <row r="2486" spans="1:9" s="145" customFormat="1" ht="12.9" x14ac:dyDescent="0.35">
      <c r="A2486" s="69"/>
      <c r="B2486" s="552" t="s">
        <v>33</v>
      </c>
      <c r="C2486" s="41">
        <f t="shared" si="470"/>
        <v>23</v>
      </c>
      <c r="D2486" s="41">
        <v>0</v>
      </c>
      <c r="E2486" s="41">
        <v>23</v>
      </c>
      <c r="F2486" s="41">
        <v>0</v>
      </c>
      <c r="G2486" s="41">
        <v>0</v>
      </c>
      <c r="H2486" s="41">
        <v>0</v>
      </c>
      <c r="I2486" s="41">
        <v>0</v>
      </c>
    </row>
    <row r="2487" spans="1:9" s="147" customFormat="1" ht="14.15" x14ac:dyDescent="0.3">
      <c r="A2487" s="568" t="s">
        <v>940</v>
      </c>
      <c r="B2487" s="533" t="s">
        <v>32</v>
      </c>
      <c r="C2487" s="41">
        <f t="shared" si="470"/>
        <v>7</v>
      </c>
      <c r="D2487" s="41">
        <v>0</v>
      </c>
      <c r="E2487" s="41">
        <v>7</v>
      </c>
      <c r="F2487" s="41">
        <v>0</v>
      </c>
      <c r="G2487" s="41">
        <v>0</v>
      </c>
      <c r="H2487" s="41">
        <v>0</v>
      </c>
      <c r="I2487" s="41">
        <v>0</v>
      </c>
    </row>
    <row r="2488" spans="1:9" s="145" customFormat="1" ht="12.9" x14ac:dyDescent="0.35">
      <c r="A2488" s="69"/>
      <c r="B2488" s="552" t="s">
        <v>33</v>
      </c>
      <c r="C2488" s="41">
        <f t="shared" si="470"/>
        <v>7</v>
      </c>
      <c r="D2488" s="41">
        <v>0</v>
      </c>
      <c r="E2488" s="41">
        <v>7</v>
      </c>
      <c r="F2488" s="41">
        <v>0</v>
      </c>
      <c r="G2488" s="41">
        <v>0</v>
      </c>
      <c r="H2488" s="41">
        <v>0</v>
      </c>
      <c r="I2488" s="41">
        <v>0</v>
      </c>
    </row>
    <row r="2489" spans="1:9" s="147" customFormat="1" ht="14.25" customHeight="1" x14ac:dyDescent="0.3">
      <c r="A2489" s="568" t="s">
        <v>933</v>
      </c>
      <c r="B2489" s="533" t="s">
        <v>32</v>
      </c>
      <c r="C2489" s="41">
        <f t="shared" si="470"/>
        <v>17</v>
      </c>
      <c r="D2489" s="41">
        <v>0</v>
      </c>
      <c r="E2489" s="41">
        <v>17</v>
      </c>
      <c r="F2489" s="41">
        <v>0</v>
      </c>
      <c r="G2489" s="41">
        <v>0</v>
      </c>
      <c r="H2489" s="41">
        <v>0</v>
      </c>
      <c r="I2489" s="41">
        <v>0</v>
      </c>
    </row>
    <row r="2490" spans="1:9" s="145" customFormat="1" ht="12.9" x14ac:dyDescent="0.35">
      <c r="A2490" s="69"/>
      <c r="B2490" s="552" t="s">
        <v>33</v>
      </c>
      <c r="C2490" s="41">
        <f t="shared" si="470"/>
        <v>17</v>
      </c>
      <c r="D2490" s="41">
        <v>0</v>
      </c>
      <c r="E2490" s="41">
        <v>17</v>
      </c>
      <c r="F2490" s="41">
        <v>0</v>
      </c>
      <c r="G2490" s="41">
        <v>0</v>
      </c>
      <c r="H2490" s="41">
        <v>0</v>
      </c>
      <c r="I2490" s="41">
        <v>0</v>
      </c>
    </row>
    <row r="2491" spans="1:9" s="147" customFormat="1" ht="14.15" x14ac:dyDescent="0.3">
      <c r="A2491" s="568" t="s">
        <v>941</v>
      </c>
      <c r="B2491" s="533" t="s">
        <v>32</v>
      </c>
      <c r="C2491" s="41">
        <f t="shared" si="470"/>
        <v>2</v>
      </c>
      <c r="D2491" s="41">
        <v>0</v>
      </c>
      <c r="E2491" s="41">
        <v>2</v>
      </c>
      <c r="F2491" s="41">
        <v>0</v>
      </c>
      <c r="G2491" s="41">
        <v>0</v>
      </c>
      <c r="H2491" s="41">
        <v>0</v>
      </c>
      <c r="I2491" s="41">
        <v>0</v>
      </c>
    </row>
    <row r="2492" spans="1:9" s="145" customFormat="1" ht="12.9" x14ac:dyDescent="0.35">
      <c r="A2492" s="69"/>
      <c r="B2492" s="552" t="s">
        <v>33</v>
      </c>
      <c r="C2492" s="41">
        <f t="shared" si="470"/>
        <v>2</v>
      </c>
      <c r="D2492" s="41">
        <v>0</v>
      </c>
      <c r="E2492" s="41">
        <v>2</v>
      </c>
      <c r="F2492" s="41">
        <v>0</v>
      </c>
      <c r="G2492" s="41">
        <v>0</v>
      </c>
      <c r="H2492" s="41">
        <v>0</v>
      </c>
      <c r="I2492" s="41">
        <v>0</v>
      </c>
    </row>
    <row r="2493" spans="1:9" s="147" customFormat="1" ht="16.5" customHeight="1" x14ac:dyDescent="0.3">
      <c r="A2493" s="568" t="s">
        <v>942</v>
      </c>
      <c r="B2493" s="533" t="s">
        <v>32</v>
      </c>
      <c r="C2493" s="41">
        <f t="shared" si="470"/>
        <v>7</v>
      </c>
      <c r="D2493" s="41">
        <v>0</v>
      </c>
      <c r="E2493" s="41">
        <v>7</v>
      </c>
      <c r="F2493" s="41">
        <v>0</v>
      </c>
      <c r="G2493" s="41">
        <v>0</v>
      </c>
      <c r="H2493" s="41">
        <v>0</v>
      </c>
      <c r="I2493" s="41">
        <v>0</v>
      </c>
    </row>
    <row r="2494" spans="1:9" s="145" customFormat="1" ht="12.9" x14ac:dyDescent="0.35">
      <c r="A2494" s="69"/>
      <c r="B2494" s="552" t="s">
        <v>33</v>
      </c>
      <c r="C2494" s="41">
        <f t="shared" si="470"/>
        <v>7</v>
      </c>
      <c r="D2494" s="41">
        <v>0</v>
      </c>
      <c r="E2494" s="41">
        <v>7</v>
      </c>
      <c r="F2494" s="41">
        <v>0</v>
      </c>
      <c r="G2494" s="41">
        <v>0</v>
      </c>
      <c r="H2494" s="41">
        <v>0</v>
      </c>
      <c r="I2494" s="41">
        <v>0</v>
      </c>
    </row>
    <row r="2495" spans="1:9" s="147" customFormat="1" ht="14.15" x14ac:dyDescent="0.3">
      <c r="A2495" s="568" t="s">
        <v>940</v>
      </c>
      <c r="B2495" s="533" t="s">
        <v>32</v>
      </c>
      <c r="C2495" s="41">
        <f t="shared" si="470"/>
        <v>18</v>
      </c>
      <c r="D2495" s="41">
        <v>0</v>
      </c>
      <c r="E2495" s="41">
        <v>18</v>
      </c>
      <c r="F2495" s="41">
        <v>0</v>
      </c>
      <c r="G2495" s="41">
        <v>0</v>
      </c>
      <c r="H2495" s="41">
        <v>0</v>
      </c>
      <c r="I2495" s="41">
        <v>0</v>
      </c>
    </row>
    <row r="2496" spans="1:9" s="145" customFormat="1" ht="12.9" x14ac:dyDescent="0.35">
      <c r="A2496" s="69"/>
      <c r="B2496" s="552" t="s">
        <v>33</v>
      </c>
      <c r="C2496" s="41">
        <f t="shared" si="470"/>
        <v>18</v>
      </c>
      <c r="D2496" s="41">
        <v>0</v>
      </c>
      <c r="E2496" s="41">
        <v>18</v>
      </c>
      <c r="F2496" s="41">
        <v>0</v>
      </c>
      <c r="G2496" s="41">
        <v>0</v>
      </c>
      <c r="H2496" s="41">
        <v>0</v>
      </c>
      <c r="I2496" s="41">
        <v>0</v>
      </c>
    </row>
    <row r="2497" spans="1:9" s="147" customFormat="1" ht="15" customHeight="1" x14ac:dyDescent="0.3">
      <c r="A2497" s="568" t="s">
        <v>943</v>
      </c>
      <c r="B2497" s="533" t="s">
        <v>32</v>
      </c>
      <c r="C2497" s="41">
        <f t="shared" si="470"/>
        <v>3</v>
      </c>
      <c r="D2497" s="41">
        <v>0</v>
      </c>
      <c r="E2497" s="41">
        <v>3</v>
      </c>
      <c r="F2497" s="41">
        <v>0</v>
      </c>
      <c r="G2497" s="41">
        <v>0</v>
      </c>
      <c r="H2497" s="41">
        <v>0</v>
      </c>
      <c r="I2497" s="41">
        <v>0</v>
      </c>
    </row>
    <row r="2498" spans="1:9" s="145" customFormat="1" ht="12.9" x14ac:dyDescent="0.35">
      <c r="A2498" s="69"/>
      <c r="B2498" s="552" t="s">
        <v>33</v>
      </c>
      <c r="C2498" s="41">
        <f t="shared" si="470"/>
        <v>3</v>
      </c>
      <c r="D2498" s="41">
        <v>0</v>
      </c>
      <c r="E2498" s="41">
        <v>3</v>
      </c>
      <c r="F2498" s="41">
        <v>0</v>
      </c>
      <c r="G2498" s="41">
        <v>0</v>
      </c>
      <c r="H2498" s="41">
        <v>0</v>
      </c>
      <c r="I2498" s="41">
        <v>0</v>
      </c>
    </row>
    <row r="2499" spans="1:9" s="147" customFormat="1" ht="14.15" x14ac:dyDescent="0.3">
      <c r="A2499" s="568" t="s">
        <v>940</v>
      </c>
      <c r="B2499" s="533" t="s">
        <v>32</v>
      </c>
      <c r="C2499" s="41">
        <f t="shared" si="470"/>
        <v>15</v>
      </c>
      <c r="D2499" s="41">
        <v>0</v>
      </c>
      <c r="E2499" s="41">
        <v>15</v>
      </c>
      <c r="F2499" s="41">
        <v>0</v>
      </c>
      <c r="G2499" s="41">
        <v>0</v>
      </c>
      <c r="H2499" s="41">
        <v>0</v>
      </c>
      <c r="I2499" s="41">
        <v>0</v>
      </c>
    </row>
    <row r="2500" spans="1:9" s="145" customFormat="1" ht="12.9" x14ac:dyDescent="0.35">
      <c r="A2500" s="69"/>
      <c r="B2500" s="552" t="s">
        <v>33</v>
      </c>
      <c r="C2500" s="41">
        <f t="shared" si="470"/>
        <v>15</v>
      </c>
      <c r="D2500" s="41">
        <v>0</v>
      </c>
      <c r="E2500" s="41">
        <v>15</v>
      </c>
      <c r="F2500" s="41">
        <v>0</v>
      </c>
      <c r="G2500" s="41">
        <v>0</v>
      </c>
      <c r="H2500" s="41">
        <v>0</v>
      </c>
      <c r="I2500" s="41">
        <v>0</v>
      </c>
    </row>
    <row r="2501" spans="1:9" s="147" customFormat="1" ht="15" customHeight="1" x14ac:dyDescent="0.3">
      <c r="A2501" s="568" t="s">
        <v>933</v>
      </c>
      <c r="B2501" s="533" t="s">
        <v>32</v>
      </c>
      <c r="C2501" s="41">
        <f t="shared" si="470"/>
        <v>26</v>
      </c>
      <c r="D2501" s="41">
        <v>0</v>
      </c>
      <c r="E2501" s="41">
        <v>26</v>
      </c>
      <c r="F2501" s="41">
        <v>0</v>
      </c>
      <c r="G2501" s="41">
        <v>0</v>
      </c>
      <c r="H2501" s="41">
        <v>0</v>
      </c>
      <c r="I2501" s="41">
        <v>0</v>
      </c>
    </row>
    <row r="2502" spans="1:9" s="145" customFormat="1" ht="12.9" x14ac:dyDescent="0.35">
      <c r="A2502" s="69"/>
      <c r="B2502" s="552" t="s">
        <v>33</v>
      </c>
      <c r="C2502" s="41">
        <f t="shared" si="470"/>
        <v>26</v>
      </c>
      <c r="D2502" s="41">
        <v>0</v>
      </c>
      <c r="E2502" s="41">
        <v>26</v>
      </c>
      <c r="F2502" s="41">
        <v>0</v>
      </c>
      <c r="G2502" s="41">
        <v>0</v>
      </c>
      <c r="H2502" s="41">
        <v>0</v>
      </c>
      <c r="I2502" s="41">
        <v>0</v>
      </c>
    </row>
    <row r="2503" spans="1:9" s="147" customFormat="1" ht="14.15" x14ac:dyDescent="0.35">
      <c r="A2503" s="573" t="s">
        <v>745</v>
      </c>
      <c r="B2503" s="533" t="s">
        <v>32</v>
      </c>
      <c r="C2503" s="41">
        <f t="shared" si="470"/>
        <v>215</v>
      </c>
      <c r="D2503" s="41">
        <f>D2505+D2507+D2509+D2511+D2513+D2515+D2517+D2519+D2521+D2523</f>
        <v>0</v>
      </c>
      <c r="E2503" s="41">
        <f t="shared" ref="E2503:I2504" si="477">E2505+E2507+E2509+E2511+E2513+E2515+E2517+E2519+E2521+E2523</f>
        <v>215</v>
      </c>
      <c r="F2503" s="41">
        <f t="shared" si="477"/>
        <v>0</v>
      </c>
      <c r="G2503" s="41">
        <f t="shared" si="477"/>
        <v>0</v>
      </c>
      <c r="H2503" s="41">
        <f t="shared" si="477"/>
        <v>0</v>
      </c>
      <c r="I2503" s="41">
        <f t="shared" si="477"/>
        <v>0</v>
      </c>
    </row>
    <row r="2504" spans="1:9" s="145" customFormat="1" x14ac:dyDescent="0.3">
      <c r="A2504" s="19"/>
      <c r="B2504" s="552" t="s">
        <v>33</v>
      </c>
      <c r="C2504" s="41">
        <f t="shared" si="470"/>
        <v>215</v>
      </c>
      <c r="D2504" s="41">
        <f>D2506+D2508+D2510+D2512+D2514+D2516+D2518+D2520+D2522+D2524</f>
        <v>0</v>
      </c>
      <c r="E2504" s="41">
        <f t="shared" si="477"/>
        <v>215</v>
      </c>
      <c r="F2504" s="41">
        <f t="shared" si="477"/>
        <v>0</v>
      </c>
      <c r="G2504" s="41">
        <f t="shared" si="477"/>
        <v>0</v>
      </c>
      <c r="H2504" s="41">
        <f t="shared" si="477"/>
        <v>0</v>
      </c>
      <c r="I2504" s="41">
        <f t="shared" si="477"/>
        <v>0</v>
      </c>
    </row>
    <row r="2505" spans="1:9" s="147" customFormat="1" ht="14.15" x14ac:dyDescent="0.35">
      <c r="A2505" s="331" t="s">
        <v>944</v>
      </c>
      <c r="B2505" s="533" t="s">
        <v>32</v>
      </c>
      <c r="C2505" s="41">
        <f t="shared" si="470"/>
        <v>35</v>
      </c>
      <c r="D2505" s="41">
        <v>0</v>
      </c>
      <c r="E2505" s="41">
        <v>35</v>
      </c>
      <c r="F2505" s="41">
        <v>0</v>
      </c>
      <c r="G2505" s="41">
        <v>0</v>
      </c>
      <c r="H2505" s="41">
        <v>0</v>
      </c>
      <c r="I2505" s="41">
        <v>0</v>
      </c>
    </row>
    <row r="2506" spans="1:9" s="145" customFormat="1" x14ac:dyDescent="0.3">
      <c r="A2506" s="19"/>
      <c r="B2506" s="552" t="s">
        <v>33</v>
      </c>
      <c r="C2506" s="41">
        <f t="shared" si="470"/>
        <v>35</v>
      </c>
      <c r="D2506" s="41">
        <v>0</v>
      </c>
      <c r="E2506" s="41">
        <v>35</v>
      </c>
      <c r="F2506" s="41">
        <v>0</v>
      </c>
      <c r="G2506" s="41">
        <v>0</v>
      </c>
      <c r="H2506" s="41">
        <v>0</v>
      </c>
      <c r="I2506" s="41">
        <v>0</v>
      </c>
    </row>
    <row r="2507" spans="1:9" s="147" customFormat="1" ht="15.75" customHeight="1" x14ac:dyDescent="0.35">
      <c r="A2507" s="331" t="s">
        <v>945</v>
      </c>
      <c r="B2507" s="533" t="s">
        <v>32</v>
      </c>
      <c r="C2507" s="41">
        <f t="shared" si="470"/>
        <v>12</v>
      </c>
      <c r="D2507" s="41">
        <f>D2509+D2511</f>
        <v>0</v>
      </c>
      <c r="E2507" s="41">
        <v>12</v>
      </c>
      <c r="F2507" s="41">
        <f t="shared" ref="F2507:I2508" si="478">F2509+F2511</f>
        <v>0</v>
      </c>
      <c r="G2507" s="41">
        <f t="shared" si="478"/>
        <v>0</v>
      </c>
      <c r="H2507" s="41">
        <f t="shared" si="478"/>
        <v>0</v>
      </c>
      <c r="I2507" s="41">
        <f t="shared" si="478"/>
        <v>0</v>
      </c>
    </row>
    <row r="2508" spans="1:9" s="145" customFormat="1" x14ac:dyDescent="0.3">
      <c r="A2508" s="63"/>
      <c r="B2508" s="552" t="s">
        <v>33</v>
      </c>
      <c r="C2508" s="41">
        <f t="shared" si="470"/>
        <v>12</v>
      </c>
      <c r="D2508" s="41">
        <f>D2510+D2512</f>
        <v>0</v>
      </c>
      <c r="E2508" s="41">
        <v>12</v>
      </c>
      <c r="F2508" s="41">
        <f t="shared" si="478"/>
        <v>0</v>
      </c>
      <c r="G2508" s="41">
        <f t="shared" si="478"/>
        <v>0</v>
      </c>
      <c r="H2508" s="41">
        <f t="shared" si="478"/>
        <v>0</v>
      </c>
      <c r="I2508" s="41">
        <f t="shared" si="478"/>
        <v>0</v>
      </c>
    </row>
    <row r="2509" spans="1:9" s="147" customFormat="1" ht="14.15" x14ac:dyDescent="0.3">
      <c r="A2509" s="470" t="s">
        <v>946</v>
      </c>
      <c r="B2509" s="533" t="s">
        <v>32</v>
      </c>
      <c r="C2509" s="41">
        <f t="shared" si="470"/>
        <v>30</v>
      </c>
      <c r="D2509" s="41">
        <v>0</v>
      </c>
      <c r="E2509" s="41">
        <v>30</v>
      </c>
      <c r="F2509" s="41">
        <v>0</v>
      </c>
      <c r="G2509" s="41">
        <v>0</v>
      </c>
      <c r="H2509" s="41">
        <v>0</v>
      </c>
      <c r="I2509" s="41">
        <v>0</v>
      </c>
    </row>
    <row r="2510" spans="1:9" s="145" customFormat="1" x14ac:dyDescent="0.3">
      <c r="A2510" s="63"/>
      <c r="B2510" s="552" t="s">
        <v>33</v>
      </c>
      <c r="C2510" s="41">
        <f t="shared" si="470"/>
        <v>30</v>
      </c>
      <c r="D2510" s="41">
        <v>0</v>
      </c>
      <c r="E2510" s="41">
        <v>30</v>
      </c>
      <c r="F2510" s="41">
        <v>0</v>
      </c>
      <c r="G2510" s="41">
        <v>0</v>
      </c>
      <c r="H2510" s="41">
        <v>0</v>
      </c>
      <c r="I2510" s="41">
        <v>0</v>
      </c>
    </row>
    <row r="2511" spans="1:9" s="147" customFormat="1" ht="14.15" x14ac:dyDescent="0.3">
      <c r="A2511" s="470" t="s">
        <v>947</v>
      </c>
      <c r="B2511" s="533" t="s">
        <v>32</v>
      </c>
      <c r="C2511" s="41">
        <f t="shared" si="470"/>
        <v>18</v>
      </c>
      <c r="D2511" s="41">
        <v>0</v>
      </c>
      <c r="E2511" s="41">
        <v>18</v>
      </c>
      <c r="F2511" s="41">
        <v>0</v>
      </c>
      <c r="G2511" s="41">
        <v>0</v>
      </c>
      <c r="H2511" s="41">
        <v>0</v>
      </c>
      <c r="I2511" s="41">
        <v>0</v>
      </c>
    </row>
    <row r="2512" spans="1:9" s="145" customFormat="1" x14ac:dyDescent="0.3">
      <c r="A2512" s="63"/>
      <c r="B2512" s="552" t="s">
        <v>33</v>
      </c>
      <c r="C2512" s="41">
        <f t="shared" si="470"/>
        <v>18</v>
      </c>
      <c r="D2512" s="41">
        <v>0</v>
      </c>
      <c r="E2512" s="41">
        <v>18</v>
      </c>
      <c r="F2512" s="41">
        <v>0</v>
      </c>
      <c r="G2512" s="41">
        <v>0</v>
      </c>
      <c r="H2512" s="41">
        <v>0</v>
      </c>
      <c r="I2512" s="41">
        <v>0</v>
      </c>
    </row>
    <row r="2513" spans="1:9" s="147" customFormat="1" ht="14.15" x14ac:dyDescent="0.3">
      <c r="A2513" s="470" t="s">
        <v>948</v>
      </c>
      <c r="B2513" s="533" t="s">
        <v>32</v>
      </c>
      <c r="C2513" s="41">
        <f t="shared" si="470"/>
        <v>15</v>
      </c>
      <c r="D2513" s="41">
        <v>0</v>
      </c>
      <c r="E2513" s="41">
        <v>15</v>
      </c>
      <c r="F2513" s="41">
        <v>0</v>
      </c>
      <c r="G2513" s="41">
        <v>0</v>
      </c>
      <c r="H2513" s="41">
        <v>0</v>
      </c>
      <c r="I2513" s="41">
        <v>0</v>
      </c>
    </row>
    <row r="2514" spans="1:9" s="145" customFormat="1" ht="12.9" x14ac:dyDescent="0.35">
      <c r="A2514" s="69"/>
      <c r="B2514" s="552" t="s">
        <v>33</v>
      </c>
      <c r="C2514" s="41">
        <f t="shared" si="470"/>
        <v>15</v>
      </c>
      <c r="D2514" s="41">
        <v>0</v>
      </c>
      <c r="E2514" s="41">
        <v>15</v>
      </c>
      <c r="F2514" s="41">
        <v>0</v>
      </c>
      <c r="G2514" s="41">
        <v>0</v>
      </c>
      <c r="H2514" s="41">
        <v>0</v>
      </c>
      <c r="I2514" s="41">
        <v>0</v>
      </c>
    </row>
    <row r="2515" spans="1:9" s="147" customFormat="1" ht="15" customHeight="1" x14ac:dyDescent="0.3">
      <c r="A2515" s="470" t="s">
        <v>949</v>
      </c>
      <c r="B2515" s="533" t="s">
        <v>32</v>
      </c>
      <c r="C2515" s="41">
        <f t="shared" si="470"/>
        <v>26</v>
      </c>
      <c r="D2515" s="41">
        <v>0</v>
      </c>
      <c r="E2515" s="41">
        <v>26</v>
      </c>
      <c r="F2515" s="41">
        <v>0</v>
      </c>
      <c r="G2515" s="41">
        <v>0</v>
      </c>
      <c r="H2515" s="41">
        <v>0</v>
      </c>
      <c r="I2515" s="41">
        <v>0</v>
      </c>
    </row>
    <row r="2516" spans="1:9" s="145" customFormat="1" ht="12.9" x14ac:dyDescent="0.35">
      <c r="A2516" s="69"/>
      <c r="B2516" s="552" t="s">
        <v>33</v>
      </c>
      <c r="C2516" s="41">
        <f t="shared" si="470"/>
        <v>26</v>
      </c>
      <c r="D2516" s="41">
        <v>0</v>
      </c>
      <c r="E2516" s="41">
        <v>26</v>
      </c>
      <c r="F2516" s="41">
        <v>0</v>
      </c>
      <c r="G2516" s="41">
        <v>0</v>
      </c>
      <c r="H2516" s="41">
        <v>0</v>
      </c>
      <c r="I2516" s="41">
        <v>0</v>
      </c>
    </row>
    <row r="2517" spans="1:9" s="147" customFormat="1" ht="14.15" x14ac:dyDescent="0.35">
      <c r="A2517" s="331" t="s">
        <v>950</v>
      </c>
      <c r="B2517" s="533" t="s">
        <v>32</v>
      </c>
      <c r="C2517" s="41">
        <f t="shared" si="470"/>
        <v>19</v>
      </c>
      <c r="D2517" s="41">
        <v>0</v>
      </c>
      <c r="E2517" s="41">
        <v>19</v>
      </c>
      <c r="F2517" s="41">
        <v>0</v>
      </c>
      <c r="G2517" s="41">
        <v>0</v>
      </c>
      <c r="H2517" s="41">
        <v>0</v>
      </c>
      <c r="I2517" s="41">
        <v>0</v>
      </c>
    </row>
    <row r="2518" spans="1:9" s="145" customFormat="1" ht="12.9" x14ac:dyDescent="0.35">
      <c r="A2518" s="69"/>
      <c r="B2518" s="552" t="s">
        <v>33</v>
      </c>
      <c r="C2518" s="41">
        <f t="shared" si="470"/>
        <v>19</v>
      </c>
      <c r="D2518" s="41">
        <v>0</v>
      </c>
      <c r="E2518" s="41">
        <v>19</v>
      </c>
      <c r="F2518" s="41">
        <v>0</v>
      </c>
      <c r="G2518" s="41">
        <v>0</v>
      </c>
      <c r="H2518" s="41">
        <v>0</v>
      </c>
      <c r="I2518" s="41">
        <v>0</v>
      </c>
    </row>
    <row r="2519" spans="1:9" s="147" customFormat="1" ht="29.25" customHeight="1" x14ac:dyDescent="0.3">
      <c r="A2519" s="574" t="s">
        <v>951</v>
      </c>
      <c r="B2519" s="533" t="s">
        <v>32</v>
      </c>
      <c r="C2519" s="41">
        <f t="shared" si="470"/>
        <v>12</v>
      </c>
      <c r="D2519" s="41">
        <v>0</v>
      </c>
      <c r="E2519" s="41">
        <v>12</v>
      </c>
      <c r="F2519" s="41">
        <v>0</v>
      </c>
      <c r="G2519" s="41">
        <v>0</v>
      </c>
      <c r="H2519" s="41">
        <v>0</v>
      </c>
      <c r="I2519" s="41">
        <v>0</v>
      </c>
    </row>
    <row r="2520" spans="1:9" s="145" customFormat="1" ht="12.9" x14ac:dyDescent="0.35">
      <c r="A2520" s="69"/>
      <c r="B2520" s="552" t="s">
        <v>33</v>
      </c>
      <c r="C2520" s="41">
        <f t="shared" si="470"/>
        <v>12</v>
      </c>
      <c r="D2520" s="41">
        <v>0</v>
      </c>
      <c r="E2520" s="41">
        <v>12</v>
      </c>
      <c r="F2520" s="41">
        <v>0</v>
      </c>
      <c r="G2520" s="41">
        <v>0</v>
      </c>
      <c r="H2520" s="41">
        <v>0</v>
      </c>
      <c r="I2520" s="41">
        <v>0</v>
      </c>
    </row>
    <row r="2521" spans="1:9" s="147" customFormat="1" ht="28.3" x14ac:dyDescent="0.35">
      <c r="A2521" s="575" t="s">
        <v>952</v>
      </c>
      <c r="B2521" s="533" t="s">
        <v>32</v>
      </c>
      <c r="C2521" s="41">
        <f t="shared" si="470"/>
        <v>38</v>
      </c>
      <c r="D2521" s="41">
        <v>0</v>
      </c>
      <c r="E2521" s="41">
        <v>38</v>
      </c>
      <c r="F2521" s="41">
        <v>0</v>
      </c>
      <c r="G2521" s="41">
        <v>0</v>
      </c>
      <c r="H2521" s="41">
        <v>0</v>
      </c>
      <c r="I2521" s="41">
        <v>0</v>
      </c>
    </row>
    <row r="2522" spans="1:9" s="145" customFormat="1" ht="12.9" x14ac:dyDescent="0.35">
      <c r="A2522" s="69"/>
      <c r="B2522" s="552" t="s">
        <v>33</v>
      </c>
      <c r="C2522" s="41">
        <f t="shared" si="470"/>
        <v>38</v>
      </c>
      <c r="D2522" s="41">
        <v>0</v>
      </c>
      <c r="E2522" s="41">
        <v>38</v>
      </c>
      <c r="F2522" s="41">
        <v>0</v>
      </c>
      <c r="G2522" s="41">
        <v>0</v>
      </c>
      <c r="H2522" s="41">
        <v>0</v>
      </c>
      <c r="I2522" s="41">
        <v>0</v>
      </c>
    </row>
    <row r="2523" spans="1:9" s="147" customFormat="1" ht="15" customHeight="1" x14ac:dyDescent="0.3">
      <c r="A2523" s="470" t="s">
        <v>946</v>
      </c>
      <c r="B2523" s="533" t="s">
        <v>32</v>
      </c>
      <c r="C2523" s="41">
        <f t="shared" si="470"/>
        <v>10</v>
      </c>
      <c r="D2523" s="41">
        <v>0</v>
      </c>
      <c r="E2523" s="41">
        <v>10</v>
      </c>
      <c r="F2523" s="41">
        <v>0</v>
      </c>
      <c r="G2523" s="41">
        <v>0</v>
      </c>
      <c r="H2523" s="41">
        <v>0</v>
      </c>
      <c r="I2523" s="41">
        <v>0</v>
      </c>
    </row>
    <row r="2524" spans="1:9" s="145" customFormat="1" ht="12.9" x14ac:dyDescent="0.35">
      <c r="A2524" s="69"/>
      <c r="B2524" s="552" t="s">
        <v>33</v>
      </c>
      <c r="C2524" s="41">
        <f t="shared" si="470"/>
        <v>10</v>
      </c>
      <c r="D2524" s="41">
        <v>0</v>
      </c>
      <c r="E2524" s="41">
        <v>10</v>
      </c>
      <c r="F2524" s="41">
        <v>0</v>
      </c>
      <c r="G2524" s="41">
        <v>0</v>
      </c>
      <c r="H2524" s="41">
        <v>0</v>
      </c>
      <c r="I2524" s="41">
        <v>0</v>
      </c>
    </row>
    <row r="2525" spans="1:9" s="145" customFormat="1" x14ac:dyDescent="0.3">
      <c r="A2525" s="576" t="s">
        <v>953</v>
      </c>
      <c r="B2525" s="553" t="s">
        <v>32</v>
      </c>
      <c r="C2525" s="41">
        <f t="shared" si="470"/>
        <v>54</v>
      </c>
      <c r="D2525" s="41">
        <f>D2527</f>
        <v>54</v>
      </c>
      <c r="E2525" s="41">
        <f t="shared" ref="E2525:I2526" si="479">E2527</f>
        <v>0</v>
      </c>
      <c r="F2525" s="41">
        <f t="shared" si="479"/>
        <v>0</v>
      </c>
      <c r="G2525" s="41">
        <f t="shared" si="479"/>
        <v>0</v>
      </c>
      <c r="H2525" s="41">
        <f t="shared" si="479"/>
        <v>0</v>
      </c>
      <c r="I2525" s="41">
        <f t="shared" si="479"/>
        <v>0</v>
      </c>
    </row>
    <row r="2526" spans="1:9" s="145" customFormat="1" ht="12.9" x14ac:dyDescent="0.35">
      <c r="A2526" s="69"/>
      <c r="B2526" s="555" t="s">
        <v>33</v>
      </c>
      <c r="C2526" s="41">
        <f t="shared" si="470"/>
        <v>54</v>
      </c>
      <c r="D2526" s="41">
        <f>D2528</f>
        <v>54</v>
      </c>
      <c r="E2526" s="41">
        <f t="shared" si="479"/>
        <v>0</v>
      </c>
      <c r="F2526" s="41">
        <f t="shared" si="479"/>
        <v>0</v>
      </c>
      <c r="G2526" s="41">
        <f t="shared" si="479"/>
        <v>0</v>
      </c>
      <c r="H2526" s="41">
        <f t="shared" si="479"/>
        <v>0</v>
      </c>
      <c r="I2526" s="41">
        <f t="shared" si="479"/>
        <v>0</v>
      </c>
    </row>
    <row r="2527" spans="1:9" s="236" customFormat="1" ht="24.9" x14ac:dyDescent="0.3">
      <c r="A2527" s="577" t="s">
        <v>954</v>
      </c>
      <c r="B2527" s="551" t="s">
        <v>32</v>
      </c>
      <c r="C2527" s="206">
        <f t="shared" si="470"/>
        <v>54</v>
      </c>
      <c r="D2527" s="206">
        <v>54</v>
      </c>
      <c r="E2527" s="206">
        <v>0</v>
      </c>
      <c r="F2527" s="206">
        <v>0</v>
      </c>
      <c r="G2527" s="206">
        <v>0</v>
      </c>
      <c r="H2527" s="206">
        <v>0</v>
      </c>
      <c r="I2527" s="206">
        <v>0</v>
      </c>
    </row>
    <row r="2528" spans="1:9" s="145" customFormat="1" ht="12.9" x14ac:dyDescent="0.35">
      <c r="A2528" s="69"/>
      <c r="B2528" s="552" t="s">
        <v>33</v>
      </c>
      <c r="C2528" s="41">
        <f t="shared" si="470"/>
        <v>54</v>
      </c>
      <c r="D2528" s="41">
        <v>54</v>
      </c>
      <c r="E2528" s="41">
        <v>0</v>
      </c>
      <c r="F2528" s="41">
        <v>0</v>
      </c>
      <c r="G2528" s="41">
        <v>0</v>
      </c>
      <c r="H2528" s="41">
        <v>0</v>
      </c>
      <c r="I2528" s="41">
        <v>0</v>
      </c>
    </row>
    <row r="2529" spans="1:15" s="145" customFormat="1" ht="14.15" x14ac:dyDescent="0.35">
      <c r="A2529" s="578" t="s">
        <v>955</v>
      </c>
      <c r="B2529" s="553" t="s">
        <v>32</v>
      </c>
      <c r="C2529" s="41">
        <f t="shared" si="470"/>
        <v>33</v>
      </c>
      <c r="D2529" s="41">
        <f>D2531+D2533</f>
        <v>30</v>
      </c>
      <c r="E2529" s="41">
        <f t="shared" ref="E2529:I2530" si="480">E2531+E2533</f>
        <v>3</v>
      </c>
      <c r="F2529" s="41">
        <f t="shared" si="480"/>
        <v>0</v>
      </c>
      <c r="G2529" s="41">
        <f t="shared" si="480"/>
        <v>0</v>
      </c>
      <c r="H2529" s="41">
        <f t="shared" si="480"/>
        <v>0</v>
      </c>
      <c r="I2529" s="41">
        <f t="shared" si="480"/>
        <v>0</v>
      </c>
    </row>
    <row r="2530" spans="1:15" s="145" customFormat="1" ht="12.9" x14ac:dyDescent="0.35">
      <c r="A2530" s="69"/>
      <c r="B2530" s="555" t="s">
        <v>33</v>
      </c>
      <c r="C2530" s="41">
        <f t="shared" si="470"/>
        <v>33</v>
      </c>
      <c r="D2530" s="41">
        <f>D2532+D2534</f>
        <v>30</v>
      </c>
      <c r="E2530" s="41">
        <f t="shared" si="480"/>
        <v>3</v>
      </c>
      <c r="F2530" s="41">
        <f t="shared" si="480"/>
        <v>0</v>
      </c>
      <c r="G2530" s="41">
        <f t="shared" si="480"/>
        <v>0</v>
      </c>
      <c r="H2530" s="41">
        <f t="shared" si="480"/>
        <v>0</v>
      </c>
      <c r="I2530" s="41">
        <f t="shared" si="480"/>
        <v>0</v>
      </c>
    </row>
    <row r="2531" spans="1:15" s="147" customFormat="1" ht="14.15" x14ac:dyDescent="0.35">
      <c r="A2531" s="254" t="s">
        <v>956</v>
      </c>
      <c r="B2531" s="533" t="s">
        <v>32</v>
      </c>
      <c r="C2531" s="41">
        <f t="shared" si="470"/>
        <v>30</v>
      </c>
      <c r="D2531" s="41">
        <v>30</v>
      </c>
      <c r="E2531" s="41">
        <v>0</v>
      </c>
      <c r="F2531" s="41">
        <v>0</v>
      </c>
      <c r="G2531" s="41">
        <v>0</v>
      </c>
      <c r="H2531" s="41">
        <v>0</v>
      </c>
      <c r="I2531" s="41">
        <v>0</v>
      </c>
      <c r="J2531" s="1005" t="s">
        <v>957</v>
      </c>
      <c r="K2531" s="1006"/>
      <c r="L2531" s="1006"/>
      <c r="M2531" s="1006"/>
      <c r="N2531" s="1006"/>
    </row>
    <row r="2532" spans="1:15" s="145" customFormat="1" ht="12.9" x14ac:dyDescent="0.35">
      <c r="A2532" s="69"/>
      <c r="B2532" s="552" t="s">
        <v>33</v>
      </c>
      <c r="C2532" s="41">
        <f t="shared" si="470"/>
        <v>30</v>
      </c>
      <c r="D2532" s="41">
        <v>30</v>
      </c>
      <c r="E2532" s="41">
        <v>0</v>
      </c>
      <c r="F2532" s="41">
        <v>0</v>
      </c>
      <c r="G2532" s="41">
        <v>0</v>
      </c>
      <c r="H2532" s="41">
        <v>0</v>
      </c>
      <c r="I2532" s="41">
        <v>0</v>
      </c>
      <c r="J2532" s="1020"/>
      <c r="K2532" s="1021"/>
      <c r="L2532" s="1021"/>
      <c r="M2532" s="1021"/>
      <c r="N2532" s="1021"/>
    </row>
    <row r="2533" spans="1:15" s="147" customFormat="1" ht="14.15" x14ac:dyDescent="0.35">
      <c r="A2533" s="331" t="s">
        <v>958</v>
      </c>
      <c r="B2533" s="533" t="s">
        <v>32</v>
      </c>
      <c r="C2533" s="41">
        <f t="shared" si="470"/>
        <v>3</v>
      </c>
      <c r="D2533" s="41">
        <v>0</v>
      </c>
      <c r="E2533" s="41">
        <v>3</v>
      </c>
      <c r="F2533" s="41">
        <v>0</v>
      </c>
      <c r="G2533" s="41">
        <v>0</v>
      </c>
      <c r="H2533" s="41">
        <v>0</v>
      </c>
      <c r="I2533" s="41">
        <v>0</v>
      </c>
      <c r="J2533" s="1005"/>
      <c r="K2533" s="1006"/>
      <c r="L2533" s="1006"/>
      <c r="M2533" s="1006"/>
      <c r="N2533" s="1006"/>
    </row>
    <row r="2534" spans="1:15" s="145" customFormat="1" ht="12.9" x14ac:dyDescent="0.35">
      <c r="A2534" s="69"/>
      <c r="B2534" s="552" t="s">
        <v>33</v>
      </c>
      <c r="C2534" s="41">
        <f t="shared" si="470"/>
        <v>3</v>
      </c>
      <c r="D2534" s="41">
        <v>0</v>
      </c>
      <c r="E2534" s="41">
        <v>3</v>
      </c>
      <c r="F2534" s="41">
        <v>0</v>
      </c>
      <c r="G2534" s="41">
        <v>0</v>
      </c>
      <c r="H2534" s="41">
        <v>0</v>
      </c>
      <c r="I2534" s="41">
        <v>0</v>
      </c>
      <c r="J2534" s="1020"/>
      <c r="K2534" s="1021"/>
      <c r="L2534" s="1021"/>
      <c r="M2534" s="1021"/>
      <c r="N2534" s="1021"/>
    </row>
    <row r="2535" spans="1:15" s="147" customFormat="1" ht="14.15" x14ac:dyDescent="0.35">
      <c r="A2535" s="469" t="s">
        <v>959</v>
      </c>
      <c r="B2535" s="533" t="s">
        <v>32</v>
      </c>
      <c r="C2535" s="41">
        <f t="shared" si="470"/>
        <v>27</v>
      </c>
      <c r="D2535" s="41">
        <f>D2537</f>
        <v>27</v>
      </c>
      <c r="E2535" s="41">
        <f t="shared" ref="E2535:I2536" si="481">E2537</f>
        <v>0</v>
      </c>
      <c r="F2535" s="41">
        <f t="shared" si="481"/>
        <v>0</v>
      </c>
      <c r="G2535" s="41">
        <f t="shared" si="481"/>
        <v>0</v>
      </c>
      <c r="H2535" s="41">
        <f t="shared" si="481"/>
        <v>0</v>
      </c>
      <c r="I2535" s="41">
        <f t="shared" si="481"/>
        <v>0</v>
      </c>
    </row>
    <row r="2536" spans="1:15" s="145" customFormat="1" ht="12.9" x14ac:dyDescent="0.35">
      <c r="A2536" s="69"/>
      <c r="B2536" s="552" t="s">
        <v>33</v>
      </c>
      <c r="C2536" s="41">
        <f t="shared" si="470"/>
        <v>27</v>
      </c>
      <c r="D2536" s="41">
        <f>D2538</f>
        <v>27</v>
      </c>
      <c r="E2536" s="41">
        <f t="shared" si="481"/>
        <v>0</v>
      </c>
      <c r="F2536" s="41">
        <f t="shared" si="481"/>
        <v>0</v>
      </c>
      <c r="G2536" s="41">
        <f t="shared" si="481"/>
        <v>0</v>
      </c>
      <c r="H2536" s="41">
        <f t="shared" si="481"/>
        <v>0</v>
      </c>
      <c r="I2536" s="41">
        <f t="shared" si="481"/>
        <v>0</v>
      </c>
    </row>
    <row r="2537" spans="1:15" s="105" customFormat="1" ht="14.15" x14ac:dyDescent="0.35">
      <c r="A2537" s="579" t="s">
        <v>960</v>
      </c>
      <c r="B2537" s="533" t="s">
        <v>32</v>
      </c>
      <c r="C2537" s="108">
        <f t="shared" si="470"/>
        <v>27</v>
      </c>
      <c r="D2537" s="108">
        <v>27</v>
      </c>
      <c r="E2537" s="108">
        <v>0</v>
      </c>
      <c r="F2537" s="108">
        <v>0</v>
      </c>
      <c r="G2537" s="108">
        <v>0</v>
      </c>
      <c r="H2537" s="108">
        <v>0</v>
      </c>
      <c r="I2537" s="108">
        <v>0</v>
      </c>
      <c r="J2537" s="1022" t="s">
        <v>961</v>
      </c>
      <c r="K2537" s="1023"/>
      <c r="L2537" s="1023"/>
      <c r="M2537" s="1023"/>
      <c r="N2537" s="1023"/>
      <c r="O2537" s="1023"/>
    </row>
    <row r="2538" spans="1:15" s="78" customFormat="1" ht="12.9" x14ac:dyDescent="0.35">
      <c r="A2538" s="69"/>
      <c r="B2538" s="552" t="s">
        <v>33</v>
      </c>
      <c r="C2538" s="108">
        <f t="shared" si="470"/>
        <v>27</v>
      </c>
      <c r="D2538" s="108">
        <v>27</v>
      </c>
      <c r="E2538" s="108">
        <v>0</v>
      </c>
      <c r="F2538" s="108">
        <v>0</v>
      </c>
      <c r="G2538" s="108">
        <v>0</v>
      </c>
      <c r="H2538" s="108">
        <v>0</v>
      </c>
      <c r="I2538" s="108">
        <v>0</v>
      </c>
      <c r="J2538" s="1024"/>
      <c r="K2538" s="1025"/>
      <c r="L2538" s="1025"/>
      <c r="M2538" s="1025"/>
      <c r="N2538" s="1025"/>
      <c r="O2538" s="1025"/>
    </row>
    <row r="2539" spans="1:15" s="145" customFormat="1" ht="24.9" x14ac:dyDescent="0.3">
      <c r="A2539" s="560" t="s">
        <v>767</v>
      </c>
      <c r="B2539" s="553" t="s">
        <v>32</v>
      </c>
      <c r="C2539" s="41">
        <f t="shared" si="470"/>
        <v>252</v>
      </c>
      <c r="D2539" s="41">
        <f>D2541+D2543</f>
        <v>0</v>
      </c>
      <c r="E2539" s="41">
        <f t="shared" ref="E2539:I2540" si="482">E2541+E2543</f>
        <v>252</v>
      </c>
      <c r="F2539" s="41">
        <f t="shared" si="482"/>
        <v>0</v>
      </c>
      <c r="G2539" s="41">
        <f t="shared" si="482"/>
        <v>0</v>
      </c>
      <c r="H2539" s="41">
        <f t="shared" si="482"/>
        <v>0</v>
      </c>
      <c r="I2539" s="41">
        <f t="shared" si="482"/>
        <v>0</v>
      </c>
    </row>
    <row r="2540" spans="1:15" s="145" customFormat="1" ht="12.9" x14ac:dyDescent="0.35">
      <c r="A2540" s="69"/>
      <c r="B2540" s="555" t="s">
        <v>33</v>
      </c>
      <c r="C2540" s="41">
        <f t="shared" si="470"/>
        <v>252</v>
      </c>
      <c r="D2540" s="41">
        <f>D2542+D2544</f>
        <v>0</v>
      </c>
      <c r="E2540" s="41">
        <f t="shared" si="482"/>
        <v>252</v>
      </c>
      <c r="F2540" s="41">
        <f t="shared" si="482"/>
        <v>0</v>
      </c>
      <c r="G2540" s="41">
        <f t="shared" si="482"/>
        <v>0</v>
      </c>
      <c r="H2540" s="41">
        <f t="shared" si="482"/>
        <v>0</v>
      </c>
      <c r="I2540" s="41">
        <f t="shared" si="482"/>
        <v>0</v>
      </c>
    </row>
    <row r="2541" spans="1:15" s="147" customFormat="1" ht="28.3" x14ac:dyDescent="0.3">
      <c r="A2541" s="314" t="s">
        <v>962</v>
      </c>
      <c r="B2541" s="533" t="s">
        <v>32</v>
      </c>
      <c r="C2541" s="41">
        <f t="shared" si="470"/>
        <v>130</v>
      </c>
      <c r="D2541" s="41">
        <v>0</v>
      </c>
      <c r="E2541" s="41">
        <v>130</v>
      </c>
      <c r="F2541" s="41">
        <v>0</v>
      </c>
      <c r="G2541" s="41">
        <v>0</v>
      </c>
      <c r="H2541" s="41">
        <v>0</v>
      </c>
      <c r="I2541" s="41">
        <v>0</v>
      </c>
    </row>
    <row r="2542" spans="1:15" s="145" customFormat="1" ht="12.9" x14ac:dyDescent="0.35">
      <c r="A2542" s="69"/>
      <c r="B2542" s="552" t="s">
        <v>33</v>
      </c>
      <c r="C2542" s="41">
        <f t="shared" si="470"/>
        <v>130</v>
      </c>
      <c r="D2542" s="41">
        <v>0</v>
      </c>
      <c r="E2542" s="41">
        <v>130</v>
      </c>
      <c r="F2542" s="41">
        <v>0</v>
      </c>
      <c r="G2542" s="41">
        <v>0</v>
      </c>
      <c r="H2542" s="41">
        <v>0</v>
      </c>
      <c r="I2542" s="41">
        <v>0</v>
      </c>
    </row>
    <row r="2543" spans="1:15" s="147" customFormat="1" ht="14.15" x14ac:dyDescent="0.3">
      <c r="A2543" s="580" t="s">
        <v>963</v>
      </c>
      <c r="B2543" s="533" t="s">
        <v>32</v>
      </c>
      <c r="C2543" s="41">
        <f t="shared" si="470"/>
        <v>122</v>
      </c>
      <c r="D2543" s="41">
        <v>0</v>
      </c>
      <c r="E2543" s="41">
        <v>122</v>
      </c>
      <c r="F2543" s="41">
        <v>0</v>
      </c>
      <c r="G2543" s="41">
        <v>0</v>
      </c>
      <c r="H2543" s="41">
        <v>0</v>
      </c>
      <c r="I2543" s="41">
        <v>0</v>
      </c>
    </row>
    <row r="2544" spans="1:15" s="145" customFormat="1" ht="12.9" x14ac:dyDescent="0.35">
      <c r="A2544" s="69"/>
      <c r="B2544" s="552" t="s">
        <v>33</v>
      </c>
      <c r="C2544" s="41">
        <f t="shared" si="470"/>
        <v>122</v>
      </c>
      <c r="D2544" s="41">
        <v>0</v>
      </c>
      <c r="E2544" s="41">
        <v>122</v>
      </c>
      <c r="F2544" s="41">
        <v>0</v>
      </c>
      <c r="G2544" s="41">
        <v>0</v>
      </c>
      <c r="H2544" s="41">
        <v>0</v>
      </c>
      <c r="I2544" s="41">
        <v>0</v>
      </c>
    </row>
    <row r="2545" spans="1:9" s="145" customFormat="1" ht="27" customHeight="1" x14ac:dyDescent="0.3">
      <c r="A2545" s="581" t="s">
        <v>772</v>
      </c>
      <c r="B2545" s="553" t="s">
        <v>32</v>
      </c>
      <c r="C2545" s="41">
        <f t="shared" si="470"/>
        <v>-6</v>
      </c>
      <c r="D2545" s="41">
        <f>D2547</f>
        <v>0</v>
      </c>
      <c r="E2545" s="41">
        <f t="shared" ref="E2545:I2546" si="483">E2547</f>
        <v>-6</v>
      </c>
      <c r="F2545" s="41">
        <f t="shared" si="483"/>
        <v>0</v>
      </c>
      <c r="G2545" s="41">
        <f t="shared" si="483"/>
        <v>0</v>
      </c>
      <c r="H2545" s="41">
        <f t="shared" si="483"/>
        <v>0</v>
      </c>
      <c r="I2545" s="41">
        <f t="shared" si="483"/>
        <v>0</v>
      </c>
    </row>
    <row r="2546" spans="1:9" s="145" customFormat="1" ht="12.9" x14ac:dyDescent="0.35">
      <c r="A2546" s="69"/>
      <c r="B2546" s="555" t="s">
        <v>33</v>
      </c>
      <c r="C2546" s="41">
        <f t="shared" si="470"/>
        <v>-6</v>
      </c>
      <c r="D2546" s="41">
        <f>D2548</f>
        <v>0</v>
      </c>
      <c r="E2546" s="41">
        <f t="shared" si="483"/>
        <v>-6</v>
      </c>
      <c r="F2546" s="41">
        <f t="shared" si="483"/>
        <v>0</v>
      </c>
      <c r="G2546" s="41">
        <f t="shared" si="483"/>
        <v>0</v>
      </c>
      <c r="H2546" s="41">
        <f t="shared" si="483"/>
        <v>0</v>
      </c>
      <c r="I2546" s="41">
        <f t="shared" si="483"/>
        <v>0</v>
      </c>
    </row>
    <row r="2547" spans="1:9" s="147" customFormat="1" ht="27" customHeight="1" x14ac:dyDescent="0.3">
      <c r="A2547" s="582" t="s">
        <v>964</v>
      </c>
      <c r="B2547" s="533" t="s">
        <v>32</v>
      </c>
      <c r="C2547" s="41">
        <f t="shared" si="470"/>
        <v>-6</v>
      </c>
      <c r="D2547" s="41">
        <v>0</v>
      </c>
      <c r="E2547" s="41">
        <v>-6</v>
      </c>
      <c r="F2547" s="41">
        <v>0</v>
      </c>
      <c r="G2547" s="41">
        <v>0</v>
      </c>
      <c r="H2547" s="41">
        <v>0</v>
      </c>
      <c r="I2547" s="41">
        <v>0</v>
      </c>
    </row>
    <row r="2548" spans="1:9" s="145" customFormat="1" ht="12.9" x14ac:dyDescent="0.35">
      <c r="A2548" s="69"/>
      <c r="B2548" s="552" t="s">
        <v>33</v>
      </c>
      <c r="C2548" s="41">
        <f t="shared" si="470"/>
        <v>-6</v>
      </c>
      <c r="D2548" s="41">
        <v>0</v>
      </c>
      <c r="E2548" s="41">
        <v>-6</v>
      </c>
      <c r="F2548" s="41">
        <v>0</v>
      </c>
      <c r="G2548" s="41">
        <v>0</v>
      </c>
      <c r="H2548" s="41">
        <v>0</v>
      </c>
      <c r="I2548" s="41">
        <v>0</v>
      </c>
    </row>
    <row r="2549" spans="1:9" s="14" customFormat="1" x14ac:dyDescent="0.3">
      <c r="A2549" s="61" t="s">
        <v>55</v>
      </c>
      <c r="B2549" s="559" t="s">
        <v>32</v>
      </c>
      <c r="C2549" s="36">
        <f t="shared" si="470"/>
        <v>941</v>
      </c>
      <c r="D2549" s="36">
        <f>D2551+D2555</f>
        <v>0</v>
      </c>
      <c r="E2549" s="36">
        <f t="shared" ref="E2549:I2550" si="484">E2551+E2555</f>
        <v>941</v>
      </c>
      <c r="F2549" s="36">
        <f t="shared" si="484"/>
        <v>0</v>
      </c>
      <c r="G2549" s="36">
        <f t="shared" si="484"/>
        <v>0</v>
      </c>
      <c r="H2549" s="36">
        <f t="shared" si="484"/>
        <v>0</v>
      </c>
      <c r="I2549" s="36">
        <f t="shared" si="484"/>
        <v>0</v>
      </c>
    </row>
    <row r="2550" spans="1:9" s="14" customFormat="1" x14ac:dyDescent="0.3">
      <c r="A2550" s="19"/>
      <c r="B2550" s="536" t="s">
        <v>33</v>
      </c>
      <c r="C2550" s="36">
        <f t="shared" si="470"/>
        <v>941</v>
      </c>
      <c r="D2550" s="36">
        <f>D2552+D2556</f>
        <v>0</v>
      </c>
      <c r="E2550" s="36">
        <f t="shared" si="484"/>
        <v>941</v>
      </c>
      <c r="F2550" s="36">
        <f t="shared" si="484"/>
        <v>0</v>
      </c>
      <c r="G2550" s="36">
        <f t="shared" si="484"/>
        <v>0</v>
      </c>
      <c r="H2550" s="36">
        <f t="shared" si="484"/>
        <v>0</v>
      </c>
      <c r="I2550" s="36">
        <f t="shared" si="484"/>
        <v>0</v>
      </c>
    </row>
    <row r="2551" spans="1:9" s="145" customFormat="1" ht="24.9" x14ac:dyDescent="0.3">
      <c r="A2551" s="560" t="s">
        <v>543</v>
      </c>
      <c r="B2551" s="553" t="s">
        <v>32</v>
      </c>
      <c r="C2551" s="41">
        <f t="shared" si="470"/>
        <v>890</v>
      </c>
      <c r="D2551" s="41">
        <f>D2553</f>
        <v>0</v>
      </c>
      <c r="E2551" s="41">
        <f t="shared" ref="E2551:I2552" si="485">E2553</f>
        <v>890</v>
      </c>
      <c r="F2551" s="41">
        <f t="shared" si="485"/>
        <v>0</v>
      </c>
      <c r="G2551" s="41">
        <f t="shared" si="485"/>
        <v>0</v>
      </c>
      <c r="H2551" s="41">
        <f t="shared" si="485"/>
        <v>0</v>
      </c>
      <c r="I2551" s="41">
        <f t="shared" si="485"/>
        <v>0</v>
      </c>
    </row>
    <row r="2552" spans="1:9" s="145" customFormat="1" ht="12.9" x14ac:dyDescent="0.35">
      <c r="A2552" s="69"/>
      <c r="B2552" s="555" t="s">
        <v>33</v>
      </c>
      <c r="C2552" s="41">
        <f t="shared" si="470"/>
        <v>890</v>
      </c>
      <c r="D2552" s="41">
        <f>D2554</f>
        <v>0</v>
      </c>
      <c r="E2552" s="41">
        <f t="shared" si="485"/>
        <v>890</v>
      </c>
      <c r="F2552" s="41">
        <f t="shared" si="485"/>
        <v>0</v>
      </c>
      <c r="G2552" s="41">
        <f t="shared" si="485"/>
        <v>0</v>
      </c>
      <c r="H2552" s="41">
        <f t="shared" si="485"/>
        <v>0</v>
      </c>
      <c r="I2552" s="41">
        <f t="shared" si="485"/>
        <v>0</v>
      </c>
    </row>
    <row r="2553" spans="1:9" s="147" customFormat="1" ht="14.15" x14ac:dyDescent="0.35">
      <c r="A2553" s="254" t="s">
        <v>965</v>
      </c>
      <c r="B2553" s="533" t="s">
        <v>32</v>
      </c>
      <c r="C2553" s="41">
        <f t="shared" si="470"/>
        <v>890</v>
      </c>
      <c r="D2553" s="41">
        <v>0</v>
      </c>
      <c r="E2553" s="41">
        <v>890</v>
      </c>
      <c r="F2553" s="41">
        <v>0</v>
      </c>
      <c r="G2553" s="41">
        <v>0</v>
      </c>
      <c r="H2553" s="41">
        <v>0</v>
      </c>
      <c r="I2553" s="41">
        <v>0</v>
      </c>
    </row>
    <row r="2554" spans="1:9" s="145" customFormat="1" ht="12.9" x14ac:dyDescent="0.35">
      <c r="A2554" s="69"/>
      <c r="B2554" s="552" t="s">
        <v>33</v>
      </c>
      <c r="C2554" s="41">
        <f t="shared" si="470"/>
        <v>890</v>
      </c>
      <c r="D2554" s="41">
        <v>0</v>
      </c>
      <c r="E2554" s="41">
        <v>890</v>
      </c>
      <c r="F2554" s="41">
        <v>0</v>
      </c>
      <c r="G2554" s="41">
        <v>0</v>
      </c>
      <c r="H2554" s="41">
        <v>0</v>
      </c>
      <c r="I2554" s="41">
        <v>0</v>
      </c>
    </row>
    <row r="2555" spans="1:9" s="145" customFormat="1" ht="14.15" x14ac:dyDescent="0.35">
      <c r="A2555" s="573" t="s">
        <v>745</v>
      </c>
      <c r="B2555" s="553" t="s">
        <v>32</v>
      </c>
      <c r="C2555" s="41">
        <f t="shared" si="470"/>
        <v>51</v>
      </c>
      <c r="D2555" s="41">
        <f>D2557</f>
        <v>0</v>
      </c>
      <c r="E2555" s="41">
        <f t="shared" ref="E2555:I2556" si="486">E2557</f>
        <v>51</v>
      </c>
      <c r="F2555" s="41">
        <f t="shared" si="486"/>
        <v>0</v>
      </c>
      <c r="G2555" s="41">
        <f t="shared" si="486"/>
        <v>0</v>
      </c>
      <c r="H2555" s="41">
        <f t="shared" si="486"/>
        <v>0</v>
      </c>
      <c r="I2555" s="41">
        <f t="shared" si="486"/>
        <v>0</v>
      </c>
    </row>
    <row r="2556" spans="1:9" s="145" customFormat="1" ht="12.9" x14ac:dyDescent="0.35">
      <c r="A2556" s="69"/>
      <c r="B2556" s="555" t="s">
        <v>33</v>
      </c>
      <c r="C2556" s="41">
        <f t="shared" si="470"/>
        <v>51</v>
      </c>
      <c r="D2556" s="41">
        <f>D2558</f>
        <v>0</v>
      </c>
      <c r="E2556" s="41">
        <f t="shared" si="486"/>
        <v>51</v>
      </c>
      <c r="F2556" s="41">
        <f t="shared" si="486"/>
        <v>0</v>
      </c>
      <c r="G2556" s="41">
        <f t="shared" si="486"/>
        <v>0</v>
      </c>
      <c r="H2556" s="41">
        <f t="shared" si="486"/>
        <v>0</v>
      </c>
      <c r="I2556" s="41">
        <f t="shared" si="486"/>
        <v>0</v>
      </c>
    </row>
    <row r="2557" spans="1:9" s="147" customFormat="1" ht="28.5" customHeight="1" x14ac:dyDescent="0.3">
      <c r="A2557" s="223" t="s">
        <v>966</v>
      </c>
      <c r="B2557" s="533" t="s">
        <v>32</v>
      </c>
      <c r="C2557" s="41">
        <f t="shared" si="470"/>
        <v>51</v>
      </c>
      <c r="D2557" s="41">
        <v>0</v>
      </c>
      <c r="E2557" s="41">
        <v>51</v>
      </c>
      <c r="F2557" s="41">
        <v>0</v>
      </c>
      <c r="G2557" s="41">
        <v>0</v>
      </c>
      <c r="H2557" s="41">
        <v>0</v>
      </c>
      <c r="I2557" s="41">
        <v>0</v>
      </c>
    </row>
    <row r="2558" spans="1:9" s="145" customFormat="1" ht="12.9" x14ac:dyDescent="0.35">
      <c r="A2558" s="69"/>
      <c r="B2558" s="552" t="s">
        <v>33</v>
      </c>
      <c r="C2558" s="41">
        <f t="shared" si="470"/>
        <v>51</v>
      </c>
      <c r="D2558" s="41">
        <v>0</v>
      </c>
      <c r="E2558" s="41">
        <v>51</v>
      </c>
      <c r="F2558" s="41">
        <v>0</v>
      </c>
      <c r="G2558" s="41">
        <v>0</v>
      </c>
      <c r="H2558" s="41">
        <v>0</v>
      </c>
      <c r="I2558" s="41">
        <v>0</v>
      </c>
    </row>
    <row r="2559" spans="1:9" s="583" customFormat="1" x14ac:dyDescent="0.3">
      <c r="A2559" s="353" t="s">
        <v>471</v>
      </c>
      <c r="B2559" s="514" t="s">
        <v>32</v>
      </c>
      <c r="C2559" s="122">
        <f t="shared" si="470"/>
        <v>2200</v>
      </c>
      <c r="D2559" s="122">
        <f>D2561</f>
        <v>309</v>
      </c>
      <c r="E2559" s="122">
        <f>E2561</f>
        <v>1261</v>
      </c>
      <c r="F2559" s="122">
        <f t="shared" ref="E2559:I2564" si="487">F2561</f>
        <v>630</v>
      </c>
      <c r="G2559" s="122">
        <f t="shared" si="487"/>
        <v>0</v>
      </c>
      <c r="H2559" s="122">
        <f t="shared" si="487"/>
        <v>0</v>
      </c>
      <c r="I2559" s="122">
        <f t="shared" si="487"/>
        <v>0</v>
      </c>
    </row>
    <row r="2560" spans="1:9" s="583" customFormat="1" x14ac:dyDescent="0.3">
      <c r="A2560" s="302" t="s">
        <v>35</v>
      </c>
      <c r="B2560" s="515" t="s">
        <v>33</v>
      </c>
      <c r="C2560" s="122">
        <f t="shared" si="470"/>
        <v>2200</v>
      </c>
      <c r="D2560" s="122">
        <f>D2562</f>
        <v>309</v>
      </c>
      <c r="E2560" s="122">
        <f t="shared" si="487"/>
        <v>1261</v>
      </c>
      <c r="F2560" s="122">
        <f t="shared" si="487"/>
        <v>630</v>
      </c>
      <c r="G2560" s="122">
        <f t="shared" si="487"/>
        <v>0</v>
      </c>
      <c r="H2560" s="122">
        <f t="shared" si="487"/>
        <v>0</v>
      </c>
      <c r="I2560" s="122">
        <f t="shared" si="487"/>
        <v>0</v>
      </c>
    </row>
    <row r="2561" spans="1:17" s="583" customFormat="1" ht="12.9" x14ac:dyDescent="0.35">
      <c r="A2561" s="265" t="s">
        <v>40</v>
      </c>
      <c r="B2561" s="203" t="s">
        <v>32</v>
      </c>
      <c r="C2561" s="179">
        <f t="shared" si="470"/>
        <v>2200</v>
      </c>
      <c r="D2561" s="143">
        <f>D2563</f>
        <v>309</v>
      </c>
      <c r="E2561" s="143">
        <f t="shared" si="487"/>
        <v>1261</v>
      </c>
      <c r="F2561" s="143">
        <f t="shared" si="487"/>
        <v>630</v>
      </c>
      <c r="G2561" s="143">
        <f t="shared" si="487"/>
        <v>0</v>
      </c>
      <c r="H2561" s="143">
        <f t="shared" si="487"/>
        <v>0</v>
      </c>
      <c r="I2561" s="143">
        <f t="shared" si="487"/>
        <v>0</v>
      </c>
    </row>
    <row r="2562" spans="1:17" s="583" customFormat="1" ht="12.9" x14ac:dyDescent="0.35">
      <c r="A2562" s="266"/>
      <c r="B2562" s="263" t="s">
        <v>33</v>
      </c>
      <c r="C2562" s="179">
        <f t="shared" si="470"/>
        <v>2200</v>
      </c>
      <c r="D2562" s="143">
        <f>D2564</f>
        <v>309</v>
      </c>
      <c r="E2562" s="143">
        <f t="shared" si="487"/>
        <v>1261</v>
      </c>
      <c r="F2562" s="143">
        <f t="shared" si="487"/>
        <v>630</v>
      </c>
      <c r="G2562" s="143">
        <f t="shared" si="487"/>
        <v>0</v>
      </c>
      <c r="H2562" s="143">
        <f t="shared" si="487"/>
        <v>0</v>
      </c>
      <c r="I2562" s="143">
        <f t="shared" si="487"/>
        <v>0</v>
      </c>
    </row>
    <row r="2563" spans="1:17" s="583" customFormat="1" x14ac:dyDescent="0.3">
      <c r="A2563" s="414" t="s">
        <v>53</v>
      </c>
      <c r="B2563" s="380" t="s">
        <v>32</v>
      </c>
      <c r="C2563" s="179">
        <f t="shared" si="470"/>
        <v>2200</v>
      </c>
      <c r="D2563" s="143">
        <f>D2565</f>
        <v>309</v>
      </c>
      <c r="E2563" s="143">
        <f t="shared" si="487"/>
        <v>1261</v>
      </c>
      <c r="F2563" s="143">
        <f t="shared" si="487"/>
        <v>630</v>
      </c>
      <c r="G2563" s="143">
        <f t="shared" si="487"/>
        <v>0</v>
      </c>
      <c r="H2563" s="143">
        <f t="shared" si="487"/>
        <v>0</v>
      </c>
      <c r="I2563" s="143">
        <f t="shared" si="487"/>
        <v>0</v>
      </c>
    </row>
    <row r="2564" spans="1:17" s="583" customFormat="1" x14ac:dyDescent="0.3">
      <c r="A2564" s="302"/>
      <c r="B2564" s="500" t="s">
        <v>33</v>
      </c>
      <c r="C2564" s="179">
        <f t="shared" si="470"/>
        <v>2200</v>
      </c>
      <c r="D2564" s="143">
        <f>D2566</f>
        <v>309</v>
      </c>
      <c r="E2564" s="143">
        <f t="shared" si="487"/>
        <v>1261</v>
      </c>
      <c r="F2564" s="143">
        <f t="shared" si="487"/>
        <v>630</v>
      </c>
      <c r="G2564" s="143">
        <f t="shared" si="487"/>
        <v>0</v>
      </c>
      <c r="H2564" s="143">
        <f t="shared" si="487"/>
        <v>0</v>
      </c>
      <c r="I2564" s="143">
        <f t="shared" si="487"/>
        <v>0</v>
      </c>
    </row>
    <row r="2565" spans="1:17" s="375" customFormat="1" x14ac:dyDescent="0.3">
      <c r="A2565" s="353" t="s">
        <v>838</v>
      </c>
      <c r="B2565" s="514" t="s">
        <v>32</v>
      </c>
      <c r="C2565" s="122">
        <f t="shared" si="470"/>
        <v>2200</v>
      </c>
      <c r="D2565" s="122">
        <f t="shared" ref="D2565:I2566" si="488">D2567+D2573+D2589</f>
        <v>309</v>
      </c>
      <c r="E2565" s="122">
        <f t="shared" si="488"/>
        <v>1261</v>
      </c>
      <c r="F2565" s="122">
        <f t="shared" si="488"/>
        <v>630</v>
      </c>
      <c r="G2565" s="122">
        <f t="shared" si="488"/>
        <v>0</v>
      </c>
      <c r="H2565" s="122">
        <f t="shared" si="488"/>
        <v>0</v>
      </c>
      <c r="I2565" s="122">
        <f t="shared" si="488"/>
        <v>0</v>
      </c>
    </row>
    <row r="2566" spans="1:17" s="375" customFormat="1" x14ac:dyDescent="0.3">
      <c r="A2566" s="584"/>
      <c r="B2566" s="515" t="s">
        <v>33</v>
      </c>
      <c r="C2566" s="122">
        <f t="shared" si="470"/>
        <v>2200</v>
      </c>
      <c r="D2566" s="122">
        <f t="shared" si="488"/>
        <v>309</v>
      </c>
      <c r="E2566" s="122">
        <f t="shared" si="488"/>
        <v>1261</v>
      </c>
      <c r="F2566" s="122">
        <f t="shared" si="488"/>
        <v>630</v>
      </c>
      <c r="G2566" s="122">
        <f t="shared" si="488"/>
        <v>0</v>
      </c>
      <c r="H2566" s="122">
        <f t="shared" si="488"/>
        <v>0</v>
      </c>
      <c r="I2566" s="122">
        <f t="shared" si="488"/>
        <v>0</v>
      </c>
    </row>
    <row r="2567" spans="1:17" s="583" customFormat="1" x14ac:dyDescent="0.3">
      <c r="A2567" s="308" t="s">
        <v>967</v>
      </c>
      <c r="B2567" s="124" t="s">
        <v>32</v>
      </c>
      <c r="C2567" s="585">
        <f t="shared" si="470"/>
        <v>2141</v>
      </c>
      <c r="D2567" s="122">
        <f>D2569+D2571</f>
        <v>250</v>
      </c>
      <c r="E2567" s="122">
        <f t="shared" ref="E2567:I2568" si="489">E2569+E2571</f>
        <v>1261</v>
      </c>
      <c r="F2567" s="122">
        <f t="shared" si="489"/>
        <v>630</v>
      </c>
      <c r="G2567" s="122">
        <f t="shared" si="489"/>
        <v>0</v>
      </c>
      <c r="H2567" s="122">
        <f t="shared" si="489"/>
        <v>0</v>
      </c>
      <c r="I2567" s="122">
        <f t="shared" si="489"/>
        <v>0</v>
      </c>
    </row>
    <row r="2568" spans="1:17" s="583" customFormat="1" x14ac:dyDescent="0.3">
      <c r="A2568" s="329"/>
      <c r="B2568" s="128" t="s">
        <v>33</v>
      </c>
      <c r="C2568" s="585">
        <f t="shared" si="470"/>
        <v>2141</v>
      </c>
      <c r="D2568" s="122">
        <f>D2570+D2572</f>
        <v>250</v>
      </c>
      <c r="E2568" s="122">
        <f t="shared" si="489"/>
        <v>1261</v>
      </c>
      <c r="F2568" s="122">
        <f t="shared" si="489"/>
        <v>630</v>
      </c>
      <c r="G2568" s="122">
        <f t="shared" si="489"/>
        <v>0</v>
      </c>
      <c r="H2568" s="122">
        <f t="shared" si="489"/>
        <v>0</v>
      </c>
      <c r="I2568" s="122">
        <f t="shared" si="489"/>
        <v>0</v>
      </c>
    </row>
    <row r="2569" spans="1:17" s="105" customFormat="1" x14ac:dyDescent="0.3">
      <c r="A2569" s="173" t="s">
        <v>968</v>
      </c>
      <c r="B2569" s="110" t="s">
        <v>32</v>
      </c>
      <c r="C2569" s="586">
        <f>D2569+E2569+F2569+G2569+H2569+I2569</f>
        <v>1658</v>
      </c>
      <c r="D2569" s="108">
        <f>2+6+20+222</f>
        <v>250</v>
      </c>
      <c r="E2569" s="108">
        <f>1000+46+140</f>
        <v>1186</v>
      </c>
      <c r="F2569" s="108">
        <f>408-46-140</f>
        <v>222</v>
      </c>
      <c r="G2569" s="108">
        <v>0</v>
      </c>
      <c r="H2569" s="108">
        <v>0</v>
      </c>
      <c r="I2569" s="108">
        <v>0</v>
      </c>
      <c r="J2569" s="1002" t="s">
        <v>969</v>
      </c>
      <c r="K2569" s="1003"/>
      <c r="L2569" s="1003"/>
      <c r="M2569" s="1003"/>
      <c r="N2569" s="1003"/>
      <c r="O2569" s="1003"/>
      <c r="P2569" s="1003"/>
      <c r="Q2569" s="1004"/>
    </row>
    <row r="2570" spans="1:17" s="78" customFormat="1" x14ac:dyDescent="0.3">
      <c r="A2570" s="370"/>
      <c r="B2570" s="70" t="s">
        <v>33</v>
      </c>
      <c r="C2570" s="586">
        <f>D2570+E2570+F2570+G2570+H2570+I2570</f>
        <v>1658</v>
      </c>
      <c r="D2570" s="108">
        <f>2+6+20+222</f>
        <v>250</v>
      </c>
      <c r="E2570" s="108">
        <f>1000+46+140</f>
        <v>1186</v>
      </c>
      <c r="F2570" s="108">
        <f>408-46-140</f>
        <v>222</v>
      </c>
      <c r="G2570" s="108">
        <v>0</v>
      </c>
      <c r="H2570" s="108">
        <v>0</v>
      </c>
      <c r="I2570" s="108">
        <v>0</v>
      </c>
      <c r="J2570" s="1002"/>
      <c r="K2570" s="1003"/>
      <c r="L2570" s="1003"/>
      <c r="M2570" s="1003"/>
      <c r="N2570" s="1003"/>
      <c r="O2570" s="1003"/>
      <c r="P2570" s="1003"/>
      <c r="Q2570" s="1004"/>
    </row>
    <row r="2571" spans="1:17" s="105" customFormat="1" ht="14.15" x14ac:dyDescent="0.35">
      <c r="A2571" s="341" t="s">
        <v>970</v>
      </c>
      <c r="B2571" s="110" t="s">
        <v>32</v>
      </c>
      <c r="C2571" s="586">
        <f>D2571+E2571+F2571+G2571+H2571+I2571</f>
        <v>483</v>
      </c>
      <c r="D2571" s="108">
        <v>0</v>
      </c>
      <c r="E2571" s="108">
        <v>75</v>
      </c>
      <c r="F2571" s="108">
        <v>408</v>
      </c>
      <c r="G2571" s="108">
        <v>0</v>
      </c>
      <c r="H2571" s="108">
        <v>0</v>
      </c>
      <c r="I2571" s="108">
        <v>0</v>
      </c>
      <c r="J2571" s="1002"/>
      <c r="K2571" s="1003"/>
      <c r="L2571" s="1003"/>
      <c r="M2571" s="1003"/>
      <c r="N2571" s="1003"/>
      <c r="O2571" s="1003"/>
      <c r="P2571" s="1003"/>
      <c r="Q2571" s="1004"/>
    </row>
    <row r="2572" spans="1:17" s="78" customFormat="1" x14ac:dyDescent="0.3">
      <c r="A2572" s="370"/>
      <c r="B2572" s="70" t="s">
        <v>33</v>
      </c>
      <c r="C2572" s="586">
        <f>D2572+E2572+F2572+G2572+H2572+I2572</f>
        <v>483</v>
      </c>
      <c r="D2572" s="108">
        <v>0</v>
      </c>
      <c r="E2572" s="108">
        <v>75</v>
      </c>
      <c r="F2572" s="108">
        <v>408</v>
      </c>
      <c r="G2572" s="108">
        <v>0</v>
      </c>
      <c r="H2572" s="108">
        <v>0</v>
      </c>
      <c r="I2572" s="108">
        <v>0</v>
      </c>
      <c r="J2572" s="1002"/>
      <c r="K2572" s="1003"/>
      <c r="L2572" s="1003"/>
      <c r="M2572" s="1003"/>
      <c r="N2572" s="1003"/>
      <c r="O2572" s="1003"/>
      <c r="P2572" s="1003"/>
      <c r="Q2572" s="1004"/>
    </row>
    <row r="2573" spans="1:17" s="375" customFormat="1" ht="14.15" x14ac:dyDescent="0.35">
      <c r="A2573" s="587" t="s">
        <v>971</v>
      </c>
      <c r="B2573" s="40" t="s">
        <v>32</v>
      </c>
      <c r="C2573" s="588">
        <f t="shared" ref="C2573:C2592" si="490">D2573+E2573+F2573+G2573+H2573+I2573</f>
        <v>50</v>
      </c>
      <c r="D2573" s="122">
        <f>D2587</f>
        <v>50</v>
      </c>
      <c r="E2573" s="122">
        <f t="shared" ref="E2573:I2574" si="491">E2587</f>
        <v>0</v>
      </c>
      <c r="F2573" s="122">
        <f t="shared" si="491"/>
        <v>0</v>
      </c>
      <c r="G2573" s="122">
        <f t="shared" si="491"/>
        <v>0</v>
      </c>
      <c r="H2573" s="122">
        <f t="shared" si="491"/>
        <v>0</v>
      </c>
      <c r="I2573" s="122">
        <f t="shared" si="491"/>
        <v>0</v>
      </c>
    </row>
    <row r="2574" spans="1:17" s="583" customFormat="1" ht="12.9" x14ac:dyDescent="0.35">
      <c r="A2574" s="589"/>
      <c r="B2574" s="44" t="s">
        <v>33</v>
      </c>
      <c r="C2574" s="588">
        <f t="shared" si="490"/>
        <v>50</v>
      </c>
      <c r="D2574" s="122">
        <f>D2588</f>
        <v>50</v>
      </c>
      <c r="E2574" s="122">
        <f t="shared" si="491"/>
        <v>0</v>
      </c>
      <c r="F2574" s="122">
        <f t="shared" si="491"/>
        <v>0</v>
      </c>
      <c r="G2574" s="122">
        <f t="shared" si="491"/>
        <v>0</v>
      </c>
      <c r="H2574" s="122">
        <f t="shared" si="491"/>
        <v>0</v>
      </c>
      <c r="I2574" s="122">
        <f t="shared" si="491"/>
        <v>0</v>
      </c>
    </row>
    <row r="2575" spans="1:17" hidden="1" x14ac:dyDescent="0.3">
      <c r="A2575" s="72" t="s">
        <v>57</v>
      </c>
      <c r="B2575" s="40" t="s">
        <v>32</v>
      </c>
      <c r="C2575" s="41">
        <f t="shared" si="490"/>
        <v>0</v>
      </c>
      <c r="D2575" s="41">
        <f>D2577</f>
        <v>0</v>
      </c>
      <c r="E2575" s="41">
        <f>E2577</f>
        <v>0</v>
      </c>
      <c r="F2575" s="41">
        <f t="shared" ref="F2575:I2576" si="492">F2577</f>
        <v>0</v>
      </c>
      <c r="G2575" s="41">
        <f t="shared" si="492"/>
        <v>0</v>
      </c>
      <c r="H2575" s="41">
        <f t="shared" si="492"/>
        <v>0</v>
      </c>
      <c r="I2575" s="41">
        <f t="shared" si="492"/>
        <v>0</v>
      </c>
    </row>
    <row r="2576" spans="1:17" hidden="1" x14ac:dyDescent="0.3">
      <c r="A2576" s="60" t="s">
        <v>87</v>
      </c>
      <c r="B2576" s="44" t="s">
        <v>33</v>
      </c>
      <c r="C2576" s="41">
        <f t="shared" si="490"/>
        <v>0</v>
      </c>
      <c r="D2576" s="41">
        <f>D2578</f>
        <v>0</v>
      </c>
      <c r="E2576" s="41">
        <f>E2578</f>
        <v>0</v>
      </c>
      <c r="F2576" s="41">
        <f t="shared" si="492"/>
        <v>0</v>
      </c>
      <c r="G2576" s="41">
        <f t="shared" si="492"/>
        <v>0</v>
      </c>
      <c r="H2576" s="41">
        <f t="shared" si="492"/>
        <v>0</v>
      </c>
      <c r="I2576" s="41">
        <f t="shared" si="492"/>
        <v>0</v>
      </c>
    </row>
    <row r="2577" spans="1:15" hidden="1" x14ac:dyDescent="0.3">
      <c r="A2577" s="15" t="s">
        <v>120</v>
      </c>
      <c r="B2577" s="47" t="s">
        <v>32</v>
      </c>
      <c r="C2577" s="41">
        <f t="shared" si="490"/>
        <v>0</v>
      </c>
      <c r="D2577" s="41">
        <f t="shared" ref="D2577:I2584" si="493">D2579</f>
        <v>0</v>
      </c>
      <c r="E2577" s="41">
        <f t="shared" si="493"/>
        <v>0</v>
      </c>
      <c r="F2577" s="41">
        <f t="shared" si="493"/>
        <v>0</v>
      </c>
      <c r="G2577" s="41">
        <f t="shared" si="493"/>
        <v>0</v>
      </c>
      <c r="H2577" s="41">
        <f t="shared" si="493"/>
        <v>0</v>
      </c>
      <c r="I2577" s="41">
        <f t="shared" si="493"/>
        <v>0</v>
      </c>
    </row>
    <row r="2578" spans="1:15" hidden="1" x14ac:dyDescent="0.3">
      <c r="A2578" s="60" t="s">
        <v>121</v>
      </c>
      <c r="B2578" s="53" t="s">
        <v>33</v>
      </c>
      <c r="C2578" s="41">
        <f t="shared" si="490"/>
        <v>0</v>
      </c>
      <c r="D2578" s="41">
        <f t="shared" si="493"/>
        <v>0</v>
      </c>
      <c r="E2578" s="41">
        <f t="shared" si="493"/>
        <v>0</v>
      </c>
      <c r="F2578" s="41">
        <f t="shared" si="493"/>
        <v>0</v>
      </c>
      <c r="G2578" s="41">
        <f t="shared" si="493"/>
        <v>0</v>
      </c>
      <c r="H2578" s="41">
        <f t="shared" si="493"/>
        <v>0</v>
      </c>
      <c r="I2578" s="41">
        <f t="shared" si="493"/>
        <v>0</v>
      </c>
    </row>
    <row r="2579" spans="1:15" ht="12.9" hidden="1" x14ac:dyDescent="0.35">
      <c r="A2579" s="54" t="s">
        <v>40</v>
      </c>
      <c r="B2579" s="151" t="s">
        <v>32</v>
      </c>
      <c r="C2579" s="41">
        <f t="shared" si="490"/>
        <v>0</v>
      </c>
      <c r="D2579" s="41">
        <f t="shared" si="493"/>
        <v>0</v>
      </c>
      <c r="E2579" s="41">
        <f t="shared" si="493"/>
        <v>0</v>
      </c>
      <c r="F2579" s="41">
        <f t="shared" si="493"/>
        <v>0</v>
      </c>
      <c r="G2579" s="41">
        <f t="shared" si="493"/>
        <v>0</v>
      </c>
      <c r="H2579" s="41">
        <f t="shared" si="493"/>
        <v>0</v>
      </c>
      <c r="I2579" s="41">
        <f t="shared" si="493"/>
        <v>0</v>
      </c>
    </row>
    <row r="2580" spans="1:15" ht="12.9" hidden="1" x14ac:dyDescent="0.35">
      <c r="A2580" s="43"/>
      <c r="B2580" s="44" t="s">
        <v>33</v>
      </c>
      <c r="C2580" s="41">
        <f t="shared" si="490"/>
        <v>0</v>
      </c>
      <c r="D2580" s="41">
        <f t="shared" si="493"/>
        <v>0</v>
      </c>
      <c r="E2580" s="41">
        <f t="shared" si="493"/>
        <v>0</v>
      </c>
      <c r="F2580" s="41">
        <f t="shared" si="493"/>
        <v>0</v>
      </c>
      <c r="G2580" s="41">
        <f t="shared" si="493"/>
        <v>0</v>
      </c>
      <c r="H2580" s="41">
        <f t="shared" si="493"/>
        <v>0</v>
      </c>
      <c r="I2580" s="41">
        <f t="shared" si="493"/>
        <v>0</v>
      </c>
    </row>
    <row r="2581" spans="1:15" hidden="1" x14ac:dyDescent="0.3">
      <c r="A2581" s="58" t="s">
        <v>53</v>
      </c>
      <c r="B2581" s="590" t="s">
        <v>32</v>
      </c>
      <c r="C2581" s="41">
        <f t="shared" si="490"/>
        <v>0</v>
      </c>
      <c r="D2581" s="41">
        <f t="shared" si="493"/>
        <v>0</v>
      </c>
      <c r="E2581" s="41">
        <f t="shared" si="493"/>
        <v>0</v>
      </c>
      <c r="F2581" s="41">
        <f t="shared" si="493"/>
        <v>0</v>
      </c>
      <c r="G2581" s="41">
        <f t="shared" si="493"/>
        <v>0</v>
      </c>
      <c r="H2581" s="41">
        <f t="shared" si="493"/>
        <v>0</v>
      </c>
      <c r="I2581" s="41">
        <f t="shared" si="493"/>
        <v>0</v>
      </c>
    </row>
    <row r="2582" spans="1:15" hidden="1" x14ac:dyDescent="0.3">
      <c r="A2582" s="63"/>
      <c r="B2582" s="378" t="s">
        <v>33</v>
      </c>
      <c r="C2582" s="41">
        <f t="shared" si="490"/>
        <v>0</v>
      </c>
      <c r="D2582" s="41">
        <f t="shared" si="493"/>
        <v>0</v>
      </c>
      <c r="E2582" s="41">
        <f t="shared" si="493"/>
        <v>0</v>
      </c>
      <c r="F2582" s="41">
        <f t="shared" si="493"/>
        <v>0</v>
      </c>
      <c r="G2582" s="41">
        <f t="shared" si="493"/>
        <v>0</v>
      </c>
      <c r="H2582" s="41">
        <f t="shared" si="493"/>
        <v>0</v>
      </c>
      <c r="I2582" s="41">
        <f t="shared" si="493"/>
        <v>0</v>
      </c>
    </row>
    <row r="2583" spans="1:15" s="14" customFormat="1" hidden="1" x14ac:dyDescent="0.3">
      <c r="A2583" s="149" t="s">
        <v>45</v>
      </c>
      <c r="B2583" s="535" t="s">
        <v>32</v>
      </c>
      <c r="C2583" s="36">
        <f t="shared" si="490"/>
        <v>0</v>
      </c>
      <c r="D2583" s="36">
        <f t="shared" si="493"/>
        <v>0</v>
      </c>
      <c r="E2583" s="36">
        <f t="shared" si="493"/>
        <v>0</v>
      </c>
      <c r="F2583" s="36">
        <f t="shared" si="493"/>
        <v>0</v>
      </c>
      <c r="G2583" s="36">
        <f t="shared" si="493"/>
        <v>0</v>
      </c>
      <c r="H2583" s="36">
        <f t="shared" si="493"/>
        <v>0</v>
      </c>
      <c r="I2583" s="36">
        <f t="shared" si="493"/>
        <v>0</v>
      </c>
    </row>
    <row r="2584" spans="1:15" s="14" customFormat="1" hidden="1" x14ac:dyDescent="0.3">
      <c r="A2584" s="19"/>
      <c r="B2584" s="536" t="s">
        <v>33</v>
      </c>
      <c r="C2584" s="36">
        <f t="shared" si="490"/>
        <v>0</v>
      </c>
      <c r="D2584" s="36">
        <f t="shared" si="493"/>
        <v>0</v>
      </c>
      <c r="E2584" s="36">
        <f t="shared" si="493"/>
        <v>0</v>
      </c>
      <c r="F2584" s="36">
        <f t="shared" si="493"/>
        <v>0</v>
      </c>
      <c r="G2584" s="36">
        <f t="shared" si="493"/>
        <v>0</v>
      </c>
      <c r="H2584" s="36">
        <f t="shared" si="493"/>
        <v>0</v>
      </c>
      <c r="I2584" s="36">
        <f t="shared" si="493"/>
        <v>0</v>
      </c>
    </row>
    <row r="2585" spans="1:15" hidden="1" x14ac:dyDescent="0.3">
      <c r="A2585" s="71" t="s">
        <v>972</v>
      </c>
      <c r="B2585" s="385" t="s">
        <v>32</v>
      </c>
      <c r="C2585" s="41">
        <f t="shared" si="490"/>
        <v>0</v>
      </c>
      <c r="D2585" s="41">
        <v>0</v>
      </c>
      <c r="E2585" s="41">
        <v>0</v>
      </c>
      <c r="F2585" s="41">
        <v>0</v>
      </c>
      <c r="G2585" s="41">
        <v>0</v>
      </c>
      <c r="H2585" s="41">
        <v>0</v>
      </c>
      <c r="I2585" s="41">
        <v>0</v>
      </c>
    </row>
    <row r="2586" spans="1:15" hidden="1" x14ac:dyDescent="0.3">
      <c r="A2586" s="63"/>
      <c r="B2586" s="90" t="s">
        <v>33</v>
      </c>
      <c r="C2586" s="41">
        <f t="shared" si="490"/>
        <v>0</v>
      </c>
      <c r="D2586" s="41">
        <v>0</v>
      </c>
      <c r="E2586" s="41">
        <v>0</v>
      </c>
      <c r="F2586" s="41">
        <v>0</v>
      </c>
      <c r="G2586" s="41">
        <v>0</v>
      </c>
      <c r="H2586" s="41">
        <v>0</v>
      </c>
      <c r="I2586" s="41">
        <v>0</v>
      </c>
    </row>
    <row r="2587" spans="1:15" s="147" customFormat="1" ht="14.15" x14ac:dyDescent="0.3">
      <c r="A2587" s="517" t="s">
        <v>973</v>
      </c>
      <c r="B2587" s="40" t="s">
        <v>32</v>
      </c>
      <c r="C2587" s="588">
        <f t="shared" si="490"/>
        <v>50</v>
      </c>
      <c r="D2587" s="143">
        <v>50</v>
      </c>
      <c r="E2587" s="41">
        <v>0</v>
      </c>
      <c r="F2587" s="143">
        <v>0</v>
      </c>
      <c r="G2587" s="143">
        <v>0</v>
      </c>
      <c r="H2587" s="143">
        <v>0</v>
      </c>
      <c r="I2587" s="143">
        <v>0</v>
      </c>
      <c r="J2587" s="1005" t="s">
        <v>974</v>
      </c>
      <c r="K2587" s="1006"/>
      <c r="L2587" s="1006"/>
      <c r="M2587" s="1006"/>
      <c r="N2587" s="1006"/>
      <c r="O2587" s="1006"/>
    </row>
    <row r="2588" spans="1:15" s="147" customFormat="1" ht="12.9" x14ac:dyDescent="0.35">
      <c r="A2588" s="589"/>
      <c r="B2588" s="44" t="s">
        <v>33</v>
      </c>
      <c r="C2588" s="588">
        <f t="shared" si="490"/>
        <v>50</v>
      </c>
      <c r="D2588" s="143">
        <v>50</v>
      </c>
      <c r="E2588" s="41">
        <v>0</v>
      </c>
      <c r="F2588" s="143">
        <v>0</v>
      </c>
      <c r="G2588" s="143">
        <v>0</v>
      </c>
      <c r="H2588" s="143">
        <v>0</v>
      </c>
      <c r="I2588" s="143">
        <v>0</v>
      </c>
      <c r="J2588" s="1005"/>
      <c r="K2588" s="1006"/>
      <c r="L2588" s="1006"/>
      <c r="M2588" s="1006"/>
      <c r="N2588" s="1006"/>
      <c r="O2588" s="1006"/>
    </row>
    <row r="2589" spans="1:15" s="375" customFormat="1" ht="14.15" x14ac:dyDescent="0.35">
      <c r="A2589" s="587" t="s">
        <v>975</v>
      </c>
      <c r="B2589" s="40" t="s">
        <v>32</v>
      </c>
      <c r="C2589" s="588">
        <f t="shared" si="490"/>
        <v>9</v>
      </c>
      <c r="D2589" s="122">
        <f>D2591</f>
        <v>9</v>
      </c>
      <c r="E2589" s="122">
        <f t="shared" ref="E2589:I2590" si="494">E2591</f>
        <v>0</v>
      </c>
      <c r="F2589" s="122">
        <f t="shared" si="494"/>
        <v>0</v>
      </c>
      <c r="G2589" s="122">
        <f t="shared" si="494"/>
        <v>0</v>
      </c>
      <c r="H2589" s="122">
        <f t="shared" si="494"/>
        <v>0</v>
      </c>
      <c r="I2589" s="122">
        <f t="shared" si="494"/>
        <v>0</v>
      </c>
    </row>
    <row r="2590" spans="1:15" s="583" customFormat="1" ht="12.9" x14ac:dyDescent="0.35">
      <c r="A2590" s="589"/>
      <c r="B2590" s="44" t="s">
        <v>33</v>
      </c>
      <c r="C2590" s="588">
        <f t="shared" si="490"/>
        <v>9</v>
      </c>
      <c r="D2590" s="122">
        <f>D2592</f>
        <v>9</v>
      </c>
      <c r="E2590" s="122">
        <f t="shared" si="494"/>
        <v>0</v>
      </c>
      <c r="F2590" s="122">
        <f t="shared" si="494"/>
        <v>0</v>
      </c>
      <c r="G2590" s="122">
        <f t="shared" si="494"/>
        <v>0</v>
      </c>
      <c r="H2590" s="122">
        <f t="shared" si="494"/>
        <v>0</v>
      </c>
      <c r="I2590" s="122">
        <f t="shared" si="494"/>
        <v>0</v>
      </c>
    </row>
    <row r="2591" spans="1:15" s="105" customFormat="1" ht="15" customHeight="1" x14ac:dyDescent="0.3">
      <c r="A2591" s="223" t="s">
        <v>976</v>
      </c>
      <c r="B2591" s="110" t="s">
        <v>32</v>
      </c>
      <c r="C2591" s="586">
        <f t="shared" si="490"/>
        <v>9</v>
      </c>
      <c r="D2591" s="108">
        <v>9</v>
      </c>
      <c r="E2591" s="108">
        <v>0</v>
      </c>
      <c r="F2591" s="108">
        <v>0</v>
      </c>
      <c r="G2591" s="108">
        <v>0</v>
      </c>
      <c r="H2591" s="108">
        <v>0</v>
      </c>
      <c r="I2591" s="108">
        <v>0</v>
      </c>
    </row>
    <row r="2592" spans="1:15" s="105" customFormat="1" ht="12.9" x14ac:dyDescent="0.35">
      <c r="A2592" s="589"/>
      <c r="B2592" s="70" t="s">
        <v>33</v>
      </c>
      <c r="C2592" s="586">
        <f t="shared" si="490"/>
        <v>9</v>
      </c>
      <c r="D2592" s="108">
        <v>9</v>
      </c>
      <c r="E2592" s="108">
        <v>0</v>
      </c>
      <c r="F2592" s="108">
        <v>0</v>
      </c>
      <c r="G2592" s="108">
        <v>0</v>
      </c>
      <c r="H2592" s="108">
        <v>0</v>
      </c>
      <c r="I2592" s="108">
        <v>0</v>
      </c>
    </row>
    <row r="2593" spans="1:10" x14ac:dyDescent="0.3">
      <c r="A2593" s="1007" t="s">
        <v>561</v>
      </c>
      <c r="B2593" s="1008"/>
      <c r="C2593" s="1008"/>
      <c r="D2593" s="1008"/>
      <c r="E2593" s="1008"/>
      <c r="F2593" s="1008"/>
      <c r="G2593" s="1008"/>
      <c r="H2593" s="1008"/>
      <c r="I2593" s="1009"/>
    </row>
    <row r="2594" spans="1:10" s="520" customFormat="1" x14ac:dyDescent="0.3">
      <c r="A2594" s="518" t="s">
        <v>57</v>
      </c>
      <c r="B2594" s="40" t="s">
        <v>32</v>
      </c>
      <c r="C2594" s="519">
        <f t="shared" ref="C2594:C2605" si="495">D2594+E2594+F2594+G2594+H2594+I2594</f>
        <v>44</v>
      </c>
      <c r="D2594" s="41">
        <f t="shared" ref="D2594:I2603" si="496">D2596</f>
        <v>44</v>
      </c>
      <c r="E2594" s="41">
        <f t="shared" si="496"/>
        <v>0</v>
      </c>
      <c r="F2594" s="41">
        <f t="shared" si="496"/>
        <v>0</v>
      </c>
      <c r="G2594" s="41">
        <f t="shared" si="496"/>
        <v>0</v>
      </c>
      <c r="H2594" s="41">
        <f t="shared" si="496"/>
        <v>0</v>
      </c>
      <c r="I2594" s="41">
        <f t="shared" si="496"/>
        <v>0</v>
      </c>
    </row>
    <row r="2595" spans="1:10" s="520" customFormat="1" x14ac:dyDescent="0.3">
      <c r="A2595" s="521" t="s">
        <v>87</v>
      </c>
      <c r="B2595" s="44" t="s">
        <v>33</v>
      </c>
      <c r="C2595" s="519">
        <f t="shared" si="495"/>
        <v>44</v>
      </c>
      <c r="D2595" s="41">
        <f t="shared" si="496"/>
        <v>44</v>
      </c>
      <c r="E2595" s="41">
        <f t="shared" si="496"/>
        <v>0</v>
      </c>
      <c r="F2595" s="41">
        <f t="shared" si="496"/>
        <v>0</v>
      </c>
      <c r="G2595" s="41">
        <f t="shared" si="496"/>
        <v>0</v>
      </c>
      <c r="H2595" s="41">
        <f t="shared" si="496"/>
        <v>0</v>
      </c>
      <c r="I2595" s="41">
        <f t="shared" si="496"/>
        <v>0</v>
      </c>
    </row>
    <row r="2596" spans="1:10" s="520" customFormat="1" x14ac:dyDescent="0.3">
      <c r="A2596" s="366" t="s">
        <v>34</v>
      </c>
      <c r="B2596" s="40" t="s">
        <v>32</v>
      </c>
      <c r="C2596" s="519">
        <f t="shared" si="495"/>
        <v>44</v>
      </c>
      <c r="D2596" s="41">
        <f t="shared" si="496"/>
        <v>44</v>
      </c>
      <c r="E2596" s="41">
        <f t="shared" si="496"/>
        <v>0</v>
      </c>
      <c r="F2596" s="41">
        <f t="shared" si="496"/>
        <v>0</v>
      </c>
      <c r="G2596" s="41">
        <f t="shared" si="496"/>
        <v>0</v>
      </c>
      <c r="H2596" s="41">
        <f t="shared" si="496"/>
        <v>0</v>
      </c>
      <c r="I2596" s="41">
        <f t="shared" si="496"/>
        <v>0</v>
      </c>
    </row>
    <row r="2597" spans="1:10" s="520" customFormat="1" x14ac:dyDescent="0.3">
      <c r="A2597" s="521" t="s">
        <v>35</v>
      </c>
      <c r="B2597" s="44" t="s">
        <v>33</v>
      </c>
      <c r="C2597" s="519">
        <f t="shared" si="495"/>
        <v>44</v>
      </c>
      <c r="D2597" s="41">
        <f t="shared" si="496"/>
        <v>44</v>
      </c>
      <c r="E2597" s="41">
        <f t="shared" si="496"/>
        <v>0</v>
      </c>
      <c r="F2597" s="41">
        <f t="shared" si="496"/>
        <v>0</v>
      </c>
      <c r="G2597" s="41">
        <f t="shared" si="496"/>
        <v>0</v>
      </c>
      <c r="H2597" s="41">
        <f t="shared" si="496"/>
        <v>0</v>
      </c>
      <c r="I2597" s="41">
        <f t="shared" si="496"/>
        <v>0</v>
      </c>
    </row>
    <row r="2598" spans="1:10" s="520" customFormat="1" x14ac:dyDescent="0.3">
      <c r="A2598" s="591" t="s">
        <v>40</v>
      </c>
      <c r="B2598" s="40" t="s">
        <v>32</v>
      </c>
      <c r="C2598" s="519">
        <f t="shared" si="495"/>
        <v>44</v>
      </c>
      <c r="D2598" s="41">
        <f t="shared" si="496"/>
        <v>44</v>
      </c>
      <c r="E2598" s="41">
        <f t="shared" si="496"/>
        <v>0</v>
      </c>
      <c r="F2598" s="41">
        <f t="shared" si="496"/>
        <v>0</v>
      </c>
      <c r="G2598" s="41">
        <f t="shared" si="496"/>
        <v>0</v>
      </c>
      <c r="H2598" s="41">
        <f t="shared" si="496"/>
        <v>0</v>
      </c>
      <c r="I2598" s="41">
        <f t="shared" si="496"/>
        <v>0</v>
      </c>
    </row>
    <row r="2599" spans="1:10" s="520" customFormat="1" ht="12.9" x14ac:dyDescent="0.35">
      <c r="A2599" s="387"/>
      <c r="B2599" s="44" t="s">
        <v>33</v>
      </c>
      <c r="C2599" s="519">
        <f t="shared" si="495"/>
        <v>44</v>
      </c>
      <c r="D2599" s="41">
        <f t="shared" si="496"/>
        <v>44</v>
      </c>
      <c r="E2599" s="41">
        <f t="shared" si="496"/>
        <v>0</v>
      </c>
      <c r="F2599" s="41">
        <f t="shared" si="496"/>
        <v>0</v>
      </c>
      <c r="G2599" s="41">
        <f t="shared" si="496"/>
        <v>0</v>
      </c>
      <c r="H2599" s="41">
        <f t="shared" si="496"/>
        <v>0</v>
      </c>
      <c r="I2599" s="41">
        <f t="shared" si="496"/>
        <v>0</v>
      </c>
    </row>
    <row r="2600" spans="1:10" s="520" customFormat="1" ht="12.9" x14ac:dyDescent="0.35">
      <c r="A2600" s="592" t="s">
        <v>41</v>
      </c>
      <c r="B2600" s="40" t="s">
        <v>32</v>
      </c>
      <c r="C2600" s="519">
        <f t="shared" si="495"/>
        <v>44</v>
      </c>
      <c r="D2600" s="41">
        <f t="shared" si="496"/>
        <v>44</v>
      </c>
      <c r="E2600" s="41">
        <f t="shared" si="496"/>
        <v>0</v>
      </c>
      <c r="F2600" s="41">
        <f t="shared" si="496"/>
        <v>0</v>
      </c>
      <c r="G2600" s="41">
        <f t="shared" si="496"/>
        <v>0</v>
      </c>
      <c r="H2600" s="41">
        <f t="shared" si="496"/>
        <v>0</v>
      </c>
      <c r="I2600" s="41">
        <f t="shared" si="496"/>
        <v>0</v>
      </c>
    </row>
    <row r="2601" spans="1:10" s="520" customFormat="1" x14ac:dyDescent="0.3">
      <c r="A2601" s="388"/>
      <c r="B2601" s="44" t="s">
        <v>33</v>
      </c>
      <c r="C2601" s="519">
        <f t="shared" si="495"/>
        <v>44</v>
      </c>
      <c r="D2601" s="41">
        <f t="shared" si="496"/>
        <v>44</v>
      </c>
      <c r="E2601" s="41">
        <f t="shared" si="496"/>
        <v>0</v>
      </c>
      <c r="F2601" s="41">
        <f t="shared" si="496"/>
        <v>0</v>
      </c>
      <c r="G2601" s="41">
        <f t="shared" si="496"/>
        <v>0</v>
      </c>
      <c r="H2601" s="41">
        <f t="shared" si="496"/>
        <v>0</v>
      </c>
      <c r="I2601" s="41">
        <f t="shared" si="496"/>
        <v>0</v>
      </c>
    </row>
    <row r="2602" spans="1:10" s="520" customFormat="1" ht="12.9" x14ac:dyDescent="0.35">
      <c r="A2602" s="526" t="s">
        <v>838</v>
      </c>
      <c r="B2602" s="40" t="s">
        <v>32</v>
      </c>
      <c r="C2602" s="519">
        <f t="shared" si="495"/>
        <v>44</v>
      </c>
      <c r="D2602" s="41">
        <f t="shared" si="496"/>
        <v>44</v>
      </c>
      <c r="E2602" s="41">
        <f t="shared" si="496"/>
        <v>0</v>
      </c>
      <c r="F2602" s="41">
        <f t="shared" si="496"/>
        <v>0</v>
      </c>
      <c r="G2602" s="41">
        <f t="shared" si="496"/>
        <v>0</v>
      </c>
      <c r="H2602" s="41">
        <f t="shared" si="496"/>
        <v>0</v>
      </c>
      <c r="I2602" s="41">
        <f t="shared" si="496"/>
        <v>0</v>
      </c>
    </row>
    <row r="2603" spans="1:10" s="520" customFormat="1" x14ac:dyDescent="0.3">
      <c r="A2603" s="593"/>
      <c r="B2603" s="44" t="s">
        <v>33</v>
      </c>
      <c r="C2603" s="519">
        <f t="shared" si="495"/>
        <v>44</v>
      </c>
      <c r="D2603" s="41">
        <f t="shared" si="496"/>
        <v>44</v>
      </c>
      <c r="E2603" s="41">
        <f t="shared" si="496"/>
        <v>0</v>
      </c>
      <c r="F2603" s="41">
        <f t="shared" si="496"/>
        <v>0</v>
      </c>
      <c r="G2603" s="41">
        <f t="shared" si="496"/>
        <v>0</v>
      </c>
      <c r="H2603" s="41">
        <f t="shared" si="496"/>
        <v>0</v>
      </c>
      <c r="I2603" s="41">
        <f t="shared" si="496"/>
        <v>0</v>
      </c>
    </row>
    <row r="2604" spans="1:10" s="1" customFormat="1" ht="24.9" x14ac:dyDescent="0.3">
      <c r="A2604" s="594" t="s">
        <v>977</v>
      </c>
      <c r="B2604" s="47" t="s">
        <v>32</v>
      </c>
      <c r="C2604" s="524">
        <f t="shared" si="495"/>
        <v>44</v>
      </c>
      <c r="D2604" s="49">
        <f>D2605</f>
        <v>44</v>
      </c>
      <c r="E2604" s="81">
        <f>E2605</f>
        <v>0</v>
      </c>
      <c r="F2604" s="49">
        <v>0</v>
      </c>
      <c r="G2604" s="49">
        <v>0</v>
      </c>
      <c r="H2604" s="49">
        <v>0</v>
      </c>
      <c r="I2604" s="49">
        <v>0</v>
      </c>
    </row>
    <row r="2605" spans="1:10" s="1" customFormat="1" x14ac:dyDescent="0.3">
      <c r="A2605" s="521"/>
      <c r="B2605" s="74" t="s">
        <v>33</v>
      </c>
      <c r="C2605" s="595">
        <f t="shared" si="495"/>
        <v>44</v>
      </c>
      <c r="D2605" s="596">
        <v>44</v>
      </c>
      <c r="E2605" s="597">
        <v>0</v>
      </c>
      <c r="F2605" s="596">
        <v>0</v>
      </c>
      <c r="G2605" s="596">
        <v>0</v>
      </c>
      <c r="H2605" s="596">
        <v>0</v>
      </c>
      <c r="I2605" s="596">
        <v>0</v>
      </c>
    </row>
    <row r="2606" spans="1:10" x14ac:dyDescent="0.3">
      <c r="A2606" s="988" t="s">
        <v>62</v>
      </c>
      <c r="B2606" s="989"/>
      <c r="C2606" s="989"/>
      <c r="D2606" s="989"/>
      <c r="E2606" s="989"/>
      <c r="F2606" s="989"/>
      <c r="G2606" s="989"/>
      <c r="H2606" s="989"/>
      <c r="I2606" s="990"/>
    </row>
    <row r="2607" spans="1:10" x14ac:dyDescent="0.3">
      <c r="A2607" s="1010" t="s">
        <v>57</v>
      </c>
      <c r="B2607" s="1011"/>
      <c r="C2607" s="1011"/>
      <c r="D2607" s="1011"/>
      <c r="E2607" s="1011"/>
      <c r="F2607" s="1011"/>
      <c r="G2607" s="1011"/>
      <c r="H2607" s="1011"/>
      <c r="I2607" s="1012"/>
    </row>
    <row r="2608" spans="1:10" x14ac:dyDescent="0.3">
      <c r="A2608" s="245" t="s">
        <v>31</v>
      </c>
      <c r="B2608" s="35" t="s">
        <v>32</v>
      </c>
      <c r="C2608" s="48">
        <f t="shared" ref="C2608:C2617" si="497">D2608+E2608+F2608+G2608+H2608+I2608</f>
        <v>594928.07300000009</v>
      </c>
      <c r="D2608" s="48">
        <f t="shared" ref="D2608:I2609" si="498">D2610+D2618</f>
        <v>153184.43300000002</v>
      </c>
      <c r="E2608" s="48">
        <f t="shared" si="498"/>
        <v>203053</v>
      </c>
      <c r="F2608" s="48">
        <f t="shared" si="498"/>
        <v>77659.820000000007</v>
      </c>
      <c r="G2608" s="48">
        <f t="shared" si="498"/>
        <v>27444.34</v>
      </c>
      <c r="H2608" s="48">
        <f t="shared" si="498"/>
        <v>0</v>
      </c>
      <c r="I2608" s="48">
        <f t="shared" si="498"/>
        <v>133586.47999999998</v>
      </c>
      <c r="J2608" s="30"/>
    </row>
    <row r="2609" spans="1:10" ht="12.9" thickBot="1" x14ac:dyDescent="0.35">
      <c r="A2609" s="246"/>
      <c r="B2609" s="247" t="s">
        <v>33</v>
      </c>
      <c r="C2609" s="48">
        <f t="shared" si="497"/>
        <v>594928.07300000009</v>
      </c>
      <c r="D2609" s="48">
        <f t="shared" si="498"/>
        <v>153184.43300000002</v>
      </c>
      <c r="E2609" s="48">
        <f t="shared" si="498"/>
        <v>203053</v>
      </c>
      <c r="F2609" s="48">
        <f t="shared" si="498"/>
        <v>77659.820000000007</v>
      </c>
      <c r="G2609" s="48">
        <f t="shared" si="498"/>
        <v>27444.34</v>
      </c>
      <c r="H2609" s="48">
        <f t="shared" si="498"/>
        <v>0</v>
      </c>
      <c r="I2609" s="48">
        <f t="shared" si="498"/>
        <v>133586.47999999998</v>
      </c>
      <c r="J2609" s="30"/>
    </row>
    <row r="2610" spans="1:10" x14ac:dyDescent="0.3">
      <c r="A2610" s="34" t="s">
        <v>34</v>
      </c>
      <c r="B2610" s="35" t="s">
        <v>32</v>
      </c>
      <c r="C2610" s="48">
        <f t="shared" si="497"/>
        <v>542062.92300000007</v>
      </c>
      <c r="D2610" s="48">
        <f>D2612+D2614+D2616</f>
        <v>116373.433</v>
      </c>
      <c r="E2610" s="48">
        <f t="shared" ref="E2610:I2611" si="499">E2612+E2614+E2616</f>
        <v>187085</v>
      </c>
      <c r="F2610" s="48">
        <f t="shared" si="499"/>
        <v>77659.820000000007</v>
      </c>
      <c r="G2610" s="48">
        <f t="shared" si="499"/>
        <v>27444.34</v>
      </c>
      <c r="H2610" s="48">
        <f t="shared" si="499"/>
        <v>0</v>
      </c>
      <c r="I2610" s="48">
        <f t="shared" si="499"/>
        <v>133500.32999999999</v>
      </c>
    </row>
    <row r="2611" spans="1:10" x14ac:dyDescent="0.3">
      <c r="A2611" s="37" t="s">
        <v>35</v>
      </c>
      <c r="B2611" s="38" t="s">
        <v>33</v>
      </c>
      <c r="C2611" s="48">
        <f t="shared" si="497"/>
        <v>542062.92300000007</v>
      </c>
      <c r="D2611" s="48">
        <f>D2613+D2615+D2617</f>
        <v>116373.433</v>
      </c>
      <c r="E2611" s="48">
        <f t="shared" si="499"/>
        <v>187085</v>
      </c>
      <c r="F2611" s="48">
        <f t="shared" si="499"/>
        <v>77659.820000000007</v>
      </c>
      <c r="G2611" s="48">
        <f t="shared" si="499"/>
        <v>27444.34</v>
      </c>
      <c r="H2611" s="48">
        <f t="shared" si="499"/>
        <v>0</v>
      </c>
      <c r="I2611" s="48">
        <f t="shared" si="499"/>
        <v>133500.32999999999</v>
      </c>
    </row>
    <row r="2612" spans="1:10" s="42" customFormat="1" ht="12.9" x14ac:dyDescent="0.35">
      <c r="A2612" s="45" t="s">
        <v>37</v>
      </c>
      <c r="B2612" s="507" t="s">
        <v>32</v>
      </c>
      <c r="C2612" s="41">
        <f>D2612+E2612+F2612+G2612+H2612+I2612</f>
        <v>128020</v>
      </c>
      <c r="D2612" s="41">
        <f t="shared" ref="D2612:I2613" si="500">D116+D645</f>
        <v>113409</v>
      </c>
      <c r="E2612" s="41">
        <f t="shared" si="500"/>
        <v>14571</v>
      </c>
      <c r="F2612" s="41">
        <f t="shared" si="500"/>
        <v>0</v>
      </c>
      <c r="G2612" s="41">
        <f t="shared" si="500"/>
        <v>0</v>
      </c>
      <c r="H2612" s="41">
        <f t="shared" si="500"/>
        <v>0</v>
      </c>
      <c r="I2612" s="41">
        <f t="shared" si="500"/>
        <v>40</v>
      </c>
    </row>
    <row r="2613" spans="1:10" s="42" customFormat="1" ht="12.9" x14ac:dyDescent="0.35">
      <c r="A2613" s="43" t="s">
        <v>38</v>
      </c>
      <c r="B2613" s="86" t="s">
        <v>33</v>
      </c>
      <c r="C2613" s="41">
        <f t="shared" si="497"/>
        <v>128020</v>
      </c>
      <c r="D2613" s="41">
        <f t="shared" si="500"/>
        <v>113409</v>
      </c>
      <c r="E2613" s="41">
        <f t="shared" si="500"/>
        <v>14571</v>
      </c>
      <c r="F2613" s="41">
        <f t="shared" si="500"/>
        <v>0</v>
      </c>
      <c r="G2613" s="41">
        <f t="shared" si="500"/>
        <v>0</v>
      </c>
      <c r="H2613" s="41">
        <f t="shared" si="500"/>
        <v>0</v>
      </c>
      <c r="I2613" s="41">
        <f t="shared" si="500"/>
        <v>40</v>
      </c>
    </row>
    <row r="2614" spans="1:10" s="42" customFormat="1" ht="25.75" x14ac:dyDescent="0.35">
      <c r="A2614" s="39" t="s">
        <v>39</v>
      </c>
      <c r="B2614" s="507" t="s">
        <v>32</v>
      </c>
      <c r="C2614" s="41">
        <f>D2614+E2614+F2614+G2614+H2614+I2614</f>
        <v>113076</v>
      </c>
      <c r="D2614" s="41">
        <f t="shared" ref="D2614:I2615" si="501">D138+D386+D649</f>
        <v>0</v>
      </c>
      <c r="E2614" s="41">
        <f t="shared" si="501"/>
        <v>78187</v>
      </c>
      <c r="F2614" s="41">
        <f t="shared" si="501"/>
        <v>34556</v>
      </c>
      <c r="G2614" s="41">
        <f t="shared" si="501"/>
        <v>333</v>
      </c>
      <c r="H2614" s="41">
        <f t="shared" si="501"/>
        <v>0</v>
      </c>
      <c r="I2614" s="41">
        <f t="shared" si="501"/>
        <v>0</v>
      </c>
    </row>
    <row r="2615" spans="1:10" s="42" customFormat="1" ht="12.9" x14ac:dyDescent="0.35">
      <c r="A2615" s="43"/>
      <c r="B2615" s="86" t="s">
        <v>33</v>
      </c>
      <c r="C2615" s="41">
        <f t="shared" ref="C2615" si="502">D2615+E2615+F2615+G2615+H2615+I2615</f>
        <v>113076</v>
      </c>
      <c r="D2615" s="41">
        <f t="shared" si="501"/>
        <v>0</v>
      </c>
      <c r="E2615" s="41">
        <f t="shared" si="501"/>
        <v>78187</v>
      </c>
      <c r="F2615" s="41">
        <f t="shared" si="501"/>
        <v>34556</v>
      </c>
      <c r="G2615" s="41">
        <f t="shared" si="501"/>
        <v>333</v>
      </c>
      <c r="H2615" s="41">
        <f t="shared" si="501"/>
        <v>0</v>
      </c>
      <c r="I2615" s="41">
        <f t="shared" si="501"/>
        <v>0</v>
      </c>
    </row>
    <row r="2616" spans="1:10" ht="12.9" x14ac:dyDescent="0.35">
      <c r="A2616" s="54" t="s">
        <v>40</v>
      </c>
      <c r="B2616" s="161" t="s">
        <v>32</v>
      </c>
      <c r="C2616" s="48">
        <f t="shared" si="497"/>
        <v>300966.92300000001</v>
      </c>
      <c r="D2616" s="41">
        <f t="shared" ref="D2616:I2617" si="503">D142+D392+D575+D655+D2152+D1484+D2189</f>
        <v>2964.433</v>
      </c>
      <c r="E2616" s="41">
        <f t="shared" si="503"/>
        <v>94327</v>
      </c>
      <c r="F2616" s="41">
        <f t="shared" si="503"/>
        <v>43103.820000000007</v>
      </c>
      <c r="G2616" s="41">
        <f t="shared" si="503"/>
        <v>27111.34</v>
      </c>
      <c r="H2616" s="41">
        <f t="shared" si="503"/>
        <v>0</v>
      </c>
      <c r="I2616" s="41">
        <f t="shared" si="503"/>
        <v>133460.32999999999</v>
      </c>
    </row>
    <row r="2617" spans="1:10" ht="12.9" x14ac:dyDescent="0.35">
      <c r="A2617" s="43"/>
      <c r="B2617" s="162" t="s">
        <v>33</v>
      </c>
      <c r="C2617" s="48">
        <f t="shared" si="497"/>
        <v>300966.92300000001</v>
      </c>
      <c r="D2617" s="41">
        <f t="shared" si="503"/>
        <v>2964.433</v>
      </c>
      <c r="E2617" s="41">
        <f t="shared" si="503"/>
        <v>94327</v>
      </c>
      <c r="F2617" s="41">
        <f t="shared" si="503"/>
        <v>43103.820000000007</v>
      </c>
      <c r="G2617" s="41">
        <f t="shared" si="503"/>
        <v>27111.34</v>
      </c>
      <c r="H2617" s="41">
        <f t="shared" si="503"/>
        <v>0</v>
      </c>
      <c r="I2617" s="41">
        <f t="shared" si="503"/>
        <v>133460.32999999999</v>
      </c>
    </row>
    <row r="2618" spans="1:10" s="42" customFormat="1" x14ac:dyDescent="0.3">
      <c r="A2618" s="79" t="s">
        <v>47</v>
      </c>
      <c r="B2618" s="151" t="s">
        <v>32</v>
      </c>
      <c r="C2618" s="41">
        <f>D2618+E2618+F2618+G2618+H2618+I2618</f>
        <v>52865.15</v>
      </c>
      <c r="D2618" s="41">
        <f>D2620</f>
        <v>36811</v>
      </c>
      <c r="E2618" s="41">
        <f t="shared" ref="E2618:I2619" si="504">E2620</f>
        <v>15968</v>
      </c>
      <c r="F2618" s="41">
        <f t="shared" si="504"/>
        <v>0</v>
      </c>
      <c r="G2618" s="41">
        <f t="shared" si="504"/>
        <v>0</v>
      </c>
      <c r="H2618" s="41">
        <f t="shared" si="504"/>
        <v>0</v>
      </c>
      <c r="I2618" s="41">
        <f t="shared" si="504"/>
        <v>86.15</v>
      </c>
    </row>
    <row r="2619" spans="1:10" s="42" customFormat="1" x14ac:dyDescent="0.3">
      <c r="A2619" s="63" t="s">
        <v>35</v>
      </c>
      <c r="B2619" s="44" t="s">
        <v>33</v>
      </c>
      <c r="C2619" s="41">
        <f>D2619+E2619+F2619+G2619+H2619+I2619</f>
        <v>52865.15</v>
      </c>
      <c r="D2619" s="41">
        <f>D2621</f>
        <v>36811</v>
      </c>
      <c r="E2619" s="41">
        <f t="shared" si="504"/>
        <v>15968</v>
      </c>
      <c r="F2619" s="41">
        <f t="shared" si="504"/>
        <v>0</v>
      </c>
      <c r="G2619" s="41">
        <f t="shared" si="504"/>
        <v>0</v>
      </c>
      <c r="H2619" s="41">
        <f t="shared" si="504"/>
        <v>0</v>
      </c>
      <c r="I2619" s="41">
        <f t="shared" si="504"/>
        <v>86.15</v>
      </c>
    </row>
    <row r="2620" spans="1:10" s="42" customFormat="1" ht="12.9" x14ac:dyDescent="0.35">
      <c r="A2620" s="45" t="s">
        <v>37</v>
      </c>
      <c r="B2620" s="507" t="s">
        <v>32</v>
      </c>
      <c r="C2620" s="41">
        <f>D2620+E2620+F2620+G2620+H2620+I2620</f>
        <v>52865.15</v>
      </c>
      <c r="D2620" s="41">
        <f>D156</f>
        <v>36811</v>
      </c>
      <c r="E2620" s="41">
        <f t="shared" ref="E2620:I2621" si="505">E156</f>
        <v>15968</v>
      </c>
      <c r="F2620" s="41">
        <f t="shared" si="505"/>
        <v>0</v>
      </c>
      <c r="G2620" s="41">
        <f t="shared" si="505"/>
        <v>0</v>
      </c>
      <c r="H2620" s="41">
        <f t="shared" si="505"/>
        <v>0</v>
      </c>
      <c r="I2620" s="41">
        <f t="shared" si="505"/>
        <v>86.15</v>
      </c>
    </row>
    <row r="2621" spans="1:10" s="42" customFormat="1" ht="12.9" x14ac:dyDescent="0.35">
      <c r="A2621" s="43" t="s">
        <v>38</v>
      </c>
      <c r="B2621" s="86" t="s">
        <v>33</v>
      </c>
      <c r="C2621" s="41">
        <f>D2621+E2621+F2621+G2621+H2621+I2621</f>
        <v>52865.15</v>
      </c>
      <c r="D2621" s="41">
        <f>D157</f>
        <v>36811</v>
      </c>
      <c r="E2621" s="41">
        <f t="shared" si="505"/>
        <v>15968</v>
      </c>
      <c r="F2621" s="41">
        <f t="shared" si="505"/>
        <v>0</v>
      </c>
      <c r="G2621" s="41">
        <f t="shared" si="505"/>
        <v>0</v>
      </c>
      <c r="H2621" s="41">
        <f t="shared" si="505"/>
        <v>0</v>
      </c>
      <c r="I2621" s="41">
        <f t="shared" si="505"/>
        <v>86.15</v>
      </c>
    </row>
    <row r="2622" spans="1:10" x14ac:dyDescent="0.3">
      <c r="A2622" s="991" t="s">
        <v>978</v>
      </c>
      <c r="B2622" s="992"/>
      <c r="C2622" s="992"/>
      <c r="D2622" s="992"/>
      <c r="E2622" s="992"/>
      <c r="F2622" s="992"/>
      <c r="G2622" s="992"/>
      <c r="H2622" s="992"/>
      <c r="I2622" s="993"/>
    </row>
    <row r="2623" spans="1:10" x14ac:dyDescent="0.3">
      <c r="A2623" s="245" t="s">
        <v>31</v>
      </c>
      <c r="B2623" s="35" t="s">
        <v>32</v>
      </c>
      <c r="C2623" s="48">
        <f t="shared" ref="C2623:C2628" si="506">D2623+E2623+F2623+G2623+H2623+I2623</f>
        <v>61</v>
      </c>
      <c r="D2623" s="49">
        <f>D2625</f>
        <v>0</v>
      </c>
      <c r="E2623" s="49">
        <f t="shared" ref="E2623:I2626" si="507">E2625</f>
        <v>61</v>
      </c>
      <c r="F2623" s="49">
        <f t="shared" si="507"/>
        <v>0</v>
      </c>
      <c r="G2623" s="49">
        <f t="shared" si="507"/>
        <v>0</v>
      </c>
      <c r="H2623" s="49">
        <f t="shared" si="507"/>
        <v>0</v>
      </c>
      <c r="I2623" s="49">
        <f t="shared" si="507"/>
        <v>0</v>
      </c>
    </row>
    <row r="2624" spans="1:10" ht="12.9" thickBot="1" x14ac:dyDescent="0.35">
      <c r="A2624" s="246"/>
      <c r="B2624" s="247" t="s">
        <v>33</v>
      </c>
      <c r="C2624" s="48">
        <f t="shared" si="506"/>
        <v>61</v>
      </c>
      <c r="D2624" s="49">
        <f>D2626</f>
        <v>0</v>
      </c>
      <c r="E2624" s="49">
        <f t="shared" si="507"/>
        <v>61</v>
      </c>
      <c r="F2624" s="49">
        <f t="shared" si="507"/>
        <v>0</v>
      </c>
      <c r="G2624" s="49">
        <f t="shared" si="507"/>
        <v>0</v>
      </c>
      <c r="H2624" s="49">
        <f t="shared" si="507"/>
        <v>0</v>
      </c>
      <c r="I2624" s="49">
        <f t="shared" si="507"/>
        <v>0</v>
      </c>
    </row>
    <row r="2625" spans="1:9" x14ac:dyDescent="0.3">
      <c r="A2625" s="61" t="s">
        <v>50</v>
      </c>
      <c r="B2625" s="47" t="s">
        <v>32</v>
      </c>
      <c r="C2625" s="48">
        <f t="shared" si="506"/>
        <v>61</v>
      </c>
      <c r="D2625" s="49">
        <f>D2627</f>
        <v>0</v>
      </c>
      <c r="E2625" s="49">
        <f t="shared" si="507"/>
        <v>61</v>
      </c>
      <c r="F2625" s="49">
        <f t="shared" si="507"/>
        <v>0</v>
      </c>
      <c r="G2625" s="49">
        <f t="shared" si="507"/>
        <v>0</v>
      </c>
      <c r="H2625" s="49">
        <f t="shared" si="507"/>
        <v>0</v>
      </c>
      <c r="I2625" s="49">
        <f t="shared" si="507"/>
        <v>0</v>
      </c>
    </row>
    <row r="2626" spans="1:9" x14ac:dyDescent="0.3">
      <c r="A2626" s="63" t="s">
        <v>51</v>
      </c>
      <c r="B2626" s="53" t="s">
        <v>33</v>
      </c>
      <c r="C2626" s="48">
        <f t="shared" si="506"/>
        <v>61</v>
      </c>
      <c r="D2626" s="49">
        <f>D2628</f>
        <v>0</v>
      </c>
      <c r="E2626" s="49">
        <f t="shared" si="507"/>
        <v>61</v>
      </c>
      <c r="F2626" s="49">
        <f t="shared" si="507"/>
        <v>0</v>
      </c>
      <c r="G2626" s="49">
        <f t="shared" si="507"/>
        <v>0</v>
      </c>
      <c r="H2626" s="49">
        <f t="shared" si="507"/>
        <v>0</v>
      </c>
      <c r="I2626" s="49">
        <f t="shared" si="507"/>
        <v>0</v>
      </c>
    </row>
    <row r="2627" spans="1:9" ht="12.9" x14ac:dyDescent="0.35">
      <c r="A2627" s="54" t="s">
        <v>40</v>
      </c>
      <c r="B2627" s="161" t="s">
        <v>32</v>
      </c>
      <c r="C2627" s="48">
        <f t="shared" si="506"/>
        <v>61</v>
      </c>
      <c r="D2627" s="41">
        <f>D720</f>
        <v>0</v>
      </c>
      <c r="E2627" s="41">
        <f t="shared" ref="E2627:I2628" si="508">E720</f>
        <v>61</v>
      </c>
      <c r="F2627" s="41">
        <f t="shared" si="508"/>
        <v>0</v>
      </c>
      <c r="G2627" s="41">
        <f t="shared" si="508"/>
        <v>0</v>
      </c>
      <c r="H2627" s="41">
        <f t="shared" si="508"/>
        <v>0</v>
      </c>
      <c r="I2627" s="41">
        <f t="shared" si="508"/>
        <v>0</v>
      </c>
    </row>
    <row r="2628" spans="1:9" ht="12.9" x14ac:dyDescent="0.35">
      <c r="A2628" s="43"/>
      <c r="B2628" s="162" t="s">
        <v>33</v>
      </c>
      <c r="C2628" s="48">
        <f t="shared" si="506"/>
        <v>61</v>
      </c>
      <c r="D2628" s="41">
        <f>D721</f>
        <v>0</v>
      </c>
      <c r="E2628" s="41">
        <f t="shared" si="508"/>
        <v>61</v>
      </c>
      <c r="F2628" s="41">
        <f t="shared" si="508"/>
        <v>0</v>
      </c>
      <c r="G2628" s="41">
        <f t="shared" si="508"/>
        <v>0</v>
      </c>
      <c r="H2628" s="41">
        <f t="shared" si="508"/>
        <v>0</v>
      </c>
      <c r="I2628" s="41">
        <f t="shared" si="508"/>
        <v>0</v>
      </c>
    </row>
    <row r="2629" spans="1:9" ht="12.75" customHeight="1" x14ac:dyDescent="0.3">
      <c r="A2629" s="991" t="s">
        <v>286</v>
      </c>
      <c r="B2629" s="992"/>
      <c r="C2629" s="992"/>
      <c r="D2629" s="992"/>
      <c r="E2629" s="992"/>
      <c r="F2629" s="992"/>
      <c r="G2629" s="992"/>
      <c r="H2629" s="992"/>
      <c r="I2629" s="993"/>
    </row>
    <row r="2630" spans="1:9" x14ac:dyDescent="0.3">
      <c r="A2630" s="245" t="s">
        <v>31</v>
      </c>
      <c r="B2630" s="56" t="s">
        <v>32</v>
      </c>
      <c r="C2630" s="598">
        <f t="shared" ref="C2630:C2635" si="509">D2630+E2630+F2630+G2630+H2630+I2630</f>
        <v>313.25</v>
      </c>
      <c r="D2630" s="598">
        <f>D2632</f>
        <v>236.25</v>
      </c>
      <c r="E2630" s="598">
        <f t="shared" ref="E2630:I2632" si="510">E2632</f>
        <v>77</v>
      </c>
      <c r="F2630" s="598">
        <f t="shared" si="510"/>
        <v>0</v>
      </c>
      <c r="G2630" s="598">
        <f t="shared" si="510"/>
        <v>0</v>
      </c>
      <c r="H2630" s="598">
        <f t="shared" si="510"/>
        <v>0</v>
      </c>
      <c r="I2630" s="598">
        <f t="shared" si="510"/>
        <v>0</v>
      </c>
    </row>
    <row r="2631" spans="1:9" ht="12.9" thickBot="1" x14ac:dyDescent="0.35">
      <c r="A2631" s="246"/>
      <c r="B2631" s="38" t="s">
        <v>33</v>
      </c>
      <c r="C2631" s="598">
        <f t="shared" si="509"/>
        <v>313.25</v>
      </c>
      <c r="D2631" s="598">
        <f>D2633</f>
        <v>236.25</v>
      </c>
      <c r="E2631" s="598">
        <f t="shared" si="510"/>
        <v>77</v>
      </c>
      <c r="F2631" s="598">
        <f t="shared" si="510"/>
        <v>0</v>
      </c>
      <c r="G2631" s="598">
        <f t="shared" si="510"/>
        <v>0</v>
      </c>
      <c r="H2631" s="598">
        <f t="shared" si="510"/>
        <v>0</v>
      </c>
      <c r="I2631" s="598">
        <f t="shared" si="510"/>
        <v>0</v>
      </c>
    </row>
    <row r="2632" spans="1:9" x14ac:dyDescent="0.3">
      <c r="A2632" s="34" t="s">
        <v>34</v>
      </c>
      <c r="B2632" s="35" t="s">
        <v>32</v>
      </c>
      <c r="C2632" s="598">
        <f t="shared" si="509"/>
        <v>313.25</v>
      </c>
      <c r="D2632" s="598">
        <f>D2634</f>
        <v>236.25</v>
      </c>
      <c r="E2632" s="598">
        <f>E2634</f>
        <v>77</v>
      </c>
      <c r="F2632" s="598">
        <f t="shared" si="510"/>
        <v>0</v>
      </c>
      <c r="G2632" s="598">
        <f t="shared" si="510"/>
        <v>0</v>
      </c>
      <c r="H2632" s="598">
        <f t="shared" si="510"/>
        <v>0</v>
      </c>
      <c r="I2632" s="598">
        <f t="shared" si="510"/>
        <v>0</v>
      </c>
    </row>
    <row r="2633" spans="1:9" x14ac:dyDescent="0.3">
      <c r="A2633" s="37" t="s">
        <v>35</v>
      </c>
      <c r="B2633" s="38" t="s">
        <v>33</v>
      </c>
      <c r="C2633" s="598">
        <f t="shared" si="509"/>
        <v>313.25</v>
      </c>
      <c r="D2633" s="598">
        <f>D2635</f>
        <v>236.25</v>
      </c>
      <c r="E2633" s="598">
        <f t="shared" ref="E2633:I2633" si="511">E2635</f>
        <v>77</v>
      </c>
      <c r="F2633" s="598">
        <f t="shared" si="511"/>
        <v>0</v>
      </c>
      <c r="G2633" s="598">
        <f t="shared" si="511"/>
        <v>0</v>
      </c>
      <c r="H2633" s="598">
        <f t="shared" si="511"/>
        <v>0</v>
      </c>
      <c r="I2633" s="598">
        <f t="shared" si="511"/>
        <v>0</v>
      </c>
    </row>
    <row r="2634" spans="1:9" s="42" customFormat="1" ht="12.9" x14ac:dyDescent="0.35">
      <c r="A2634" s="54" t="s">
        <v>40</v>
      </c>
      <c r="B2634" s="151" t="s">
        <v>32</v>
      </c>
      <c r="C2634" s="599">
        <f t="shared" si="509"/>
        <v>313.25</v>
      </c>
      <c r="D2634" s="41">
        <f t="shared" ref="D2634:I2635" si="512">D743+D1559+D2226</f>
        <v>236.25</v>
      </c>
      <c r="E2634" s="41">
        <f t="shared" si="512"/>
        <v>77</v>
      </c>
      <c r="F2634" s="41">
        <f t="shared" si="512"/>
        <v>0</v>
      </c>
      <c r="G2634" s="41">
        <f t="shared" si="512"/>
        <v>0</v>
      </c>
      <c r="H2634" s="41">
        <f t="shared" si="512"/>
        <v>0</v>
      </c>
      <c r="I2634" s="41">
        <f t="shared" si="512"/>
        <v>0</v>
      </c>
    </row>
    <row r="2635" spans="1:9" s="42" customFormat="1" ht="12.9" x14ac:dyDescent="0.35">
      <c r="A2635" s="43"/>
      <c r="B2635" s="44" t="s">
        <v>33</v>
      </c>
      <c r="C2635" s="599">
        <f t="shared" si="509"/>
        <v>313.25</v>
      </c>
      <c r="D2635" s="41">
        <f t="shared" si="512"/>
        <v>236.25</v>
      </c>
      <c r="E2635" s="41">
        <f t="shared" si="512"/>
        <v>77</v>
      </c>
      <c r="F2635" s="41">
        <f t="shared" si="512"/>
        <v>0</v>
      </c>
      <c r="G2635" s="41">
        <f t="shared" si="512"/>
        <v>0</v>
      </c>
      <c r="H2635" s="41">
        <f t="shared" si="512"/>
        <v>0</v>
      </c>
      <c r="I2635" s="41">
        <f t="shared" si="512"/>
        <v>0</v>
      </c>
    </row>
    <row r="2636" spans="1:9" ht="12.75" customHeight="1" x14ac:dyDescent="0.3">
      <c r="A2636" s="991" t="s">
        <v>298</v>
      </c>
      <c r="B2636" s="992"/>
      <c r="C2636" s="992"/>
      <c r="D2636" s="992"/>
      <c r="E2636" s="992"/>
      <c r="F2636" s="992"/>
      <c r="G2636" s="992"/>
      <c r="H2636" s="992"/>
      <c r="I2636" s="993"/>
    </row>
    <row r="2637" spans="1:9" x14ac:dyDescent="0.3">
      <c r="A2637" s="245" t="s">
        <v>31</v>
      </c>
      <c r="B2637" s="56" t="s">
        <v>32</v>
      </c>
      <c r="C2637" s="598">
        <f t="shared" ref="C2637:C2642" si="513">D2637+E2637+F2637+G2637+H2637+I2637</f>
        <v>7726.5</v>
      </c>
      <c r="D2637" s="598">
        <f>D2639</f>
        <v>1048.79</v>
      </c>
      <c r="E2637" s="598">
        <f t="shared" ref="E2637:I2640" si="514">E2639</f>
        <v>3462</v>
      </c>
      <c r="F2637" s="598">
        <f t="shared" si="514"/>
        <v>3215.71</v>
      </c>
      <c r="G2637" s="598">
        <f t="shared" si="514"/>
        <v>0</v>
      </c>
      <c r="H2637" s="598">
        <f t="shared" si="514"/>
        <v>0</v>
      </c>
      <c r="I2637" s="598">
        <f t="shared" si="514"/>
        <v>0</v>
      </c>
    </row>
    <row r="2638" spans="1:9" ht="12.9" thickBot="1" x14ac:dyDescent="0.35">
      <c r="A2638" s="246"/>
      <c r="B2638" s="38" t="s">
        <v>33</v>
      </c>
      <c r="C2638" s="598">
        <f t="shared" si="513"/>
        <v>7726.5</v>
      </c>
      <c r="D2638" s="598">
        <f>D2640</f>
        <v>1048.79</v>
      </c>
      <c r="E2638" s="598">
        <f t="shared" si="514"/>
        <v>3462</v>
      </c>
      <c r="F2638" s="598">
        <f t="shared" si="514"/>
        <v>3215.71</v>
      </c>
      <c r="G2638" s="598">
        <f t="shared" si="514"/>
        <v>0</v>
      </c>
      <c r="H2638" s="598">
        <f t="shared" si="514"/>
        <v>0</v>
      </c>
      <c r="I2638" s="598">
        <f t="shared" si="514"/>
        <v>0</v>
      </c>
    </row>
    <row r="2639" spans="1:9" x14ac:dyDescent="0.3">
      <c r="A2639" s="34" t="s">
        <v>34</v>
      </c>
      <c r="B2639" s="35" t="s">
        <v>32</v>
      </c>
      <c r="C2639" s="598">
        <f t="shared" si="513"/>
        <v>7726.5</v>
      </c>
      <c r="D2639" s="598">
        <f>D2641</f>
        <v>1048.79</v>
      </c>
      <c r="E2639" s="598">
        <f>E2641</f>
        <v>3462</v>
      </c>
      <c r="F2639" s="598">
        <f t="shared" si="514"/>
        <v>3215.71</v>
      </c>
      <c r="G2639" s="598">
        <f t="shared" si="514"/>
        <v>0</v>
      </c>
      <c r="H2639" s="598">
        <f t="shared" si="514"/>
        <v>0</v>
      </c>
      <c r="I2639" s="598">
        <f t="shared" si="514"/>
        <v>0</v>
      </c>
    </row>
    <row r="2640" spans="1:9" x14ac:dyDescent="0.3">
      <c r="A2640" s="37" t="s">
        <v>35</v>
      </c>
      <c r="B2640" s="38" t="s">
        <v>33</v>
      </c>
      <c r="C2640" s="598">
        <f t="shared" si="513"/>
        <v>7726.5</v>
      </c>
      <c r="D2640" s="598">
        <f>D2642</f>
        <v>1048.79</v>
      </c>
      <c r="E2640" s="598">
        <f t="shared" si="514"/>
        <v>3462</v>
      </c>
      <c r="F2640" s="598">
        <f t="shared" si="514"/>
        <v>3215.71</v>
      </c>
      <c r="G2640" s="598">
        <f t="shared" si="514"/>
        <v>0</v>
      </c>
      <c r="H2640" s="598">
        <f t="shared" si="514"/>
        <v>0</v>
      </c>
      <c r="I2640" s="598">
        <f t="shared" si="514"/>
        <v>0</v>
      </c>
    </row>
    <row r="2641" spans="1:9" s="42" customFormat="1" ht="12.9" x14ac:dyDescent="0.35">
      <c r="A2641" s="54" t="s">
        <v>40</v>
      </c>
      <c r="B2641" s="151" t="s">
        <v>32</v>
      </c>
      <c r="C2641" s="599">
        <f t="shared" si="513"/>
        <v>7726.5</v>
      </c>
      <c r="D2641" s="41">
        <f t="shared" ref="D2641:I2642" si="515">D784+D1574+D2245</f>
        <v>1048.79</v>
      </c>
      <c r="E2641" s="41">
        <f t="shared" si="515"/>
        <v>3462</v>
      </c>
      <c r="F2641" s="41">
        <f t="shared" si="515"/>
        <v>3215.71</v>
      </c>
      <c r="G2641" s="41">
        <f t="shared" si="515"/>
        <v>0</v>
      </c>
      <c r="H2641" s="41">
        <f t="shared" si="515"/>
        <v>0</v>
      </c>
      <c r="I2641" s="41">
        <f t="shared" si="515"/>
        <v>0</v>
      </c>
    </row>
    <row r="2642" spans="1:9" s="42" customFormat="1" ht="12.9" x14ac:dyDescent="0.35">
      <c r="A2642" s="43"/>
      <c r="B2642" s="44" t="s">
        <v>33</v>
      </c>
      <c r="C2642" s="599">
        <f t="shared" si="513"/>
        <v>7726.5</v>
      </c>
      <c r="D2642" s="41">
        <f t="shared" si="515"/>
        <v>1048.79</v>
      </c>
      <c r="E2642" s="41">
        <f t="shared" si="515"/>
        <v>3462</v>
      </c>
      <c r="F2642" s="41">
        <f t="shared" si="515"/>
        <v>3215.71</v>
      </c>
      <c r="G2642" s="41">
        <f t="shared" si="515"/>
        <v>0</v>
      </c>
      <c r="H2642" s="41">
        <f t="shared" si="515"/>
        <v>0</v>
      </c>
      <c r="I2642" s="41">
        <f t="shared" si="515"/>
        <v>0</v>
      </c>
    </row>
    <row r="2643" spans="1:9" x14ac:dyDescent="0.3">
      <c r="A2643" s="985" t="s">
        <v>979</v>
      </c>
      <c r="B2643" s="986"/>
      <c r="C2643" s="986"/>
      <c r="D2643" s="986"/>
      <c r="E2643" s="986"/>
      <c r="F2643" s="986"/>
      <c r="G2643" s="986"/>
      <c r="H2643" s="986"/>
      <c r="I2643" s="987"/>
    </row>
    <row r="2644" spans="1:9" x14ac:dyDescent="0.3">
      <c r="A2644" s="85" t="s">
        <v>57</v>
      </c>
      <c r="B2644" s="90"/>
      <c r="C2644" s="600"/>
      <c r="D2644" s="601"/>
      <c r="E2644" s="600"/>
      <c r="F2644" s="600"/>
      <c r="G2644" s="600"/>
      <c r="H2644" s="600"/>
      <c r="I2644" s="602"/>
    </row>
    <row r="2645" spans="1:9" x14ac:dyDescent="0.3">
      <c r="A2645" s="245" t="s">
        <v>31</v>
      </c>
      <c r="B2645" s="35" t="s">
        <v>32</v>
      </c>
      <c r="C2645" s="598">
        <f t="shared" ref="C2645:C2650" si="516">D2645+E2645+F2645+G2645+H2645+I2645</f>
        <v>629</v>
      </c>
      <c r="D2645" s="59">
        <f>D2647</f>
        <v>0</v>
      </c>
      <c r="E2645" s="59">
        <f t="shared" ref="E2645:I2648" si="517">E2647</f>
        <v>629</v>
      </c>
      <c r="F2645" s="59">
        <f t="shared" si="517"/>
        <v>0</v>
      </c>
      <c r="G2645" s="59">
        <f t="shared" si="517"/>
        <v>0</v>
      </c>
      <c r="H2645" s="59">
        <f t="shared" si="517"/>
        <v>0</v>
      </c>
      <c r="I2645" s="59">
        <f t="shared" si="517"/>
        <v>0</v>
      </c>
    </row>
    <row r="2646" spans="1:9" ht="12.9" thickBot="1" x14ac:dyDescent="0.35">
      <c r="A2646" s="246"/>
      <c r="B2646" s="247" t="s">
        <v>33</v>
      </c>
      <c r="C2646" s="598">
        <f t="shared" si="516"/>
        <v>629</v>
      </c>
      <c r="D2646" s="59">
        <f>D2648</f>
        <v>0</v>
      </c>
      <c r="E2646" s="59">
        <f t="shared" si="517"/>
        <v>629</v>
      </c>
      <c r="F2646" s="59">
        <f t="shared" si="517"/>
        <v>0</v>
      </c>
      <c r="G2646" s="59">
        <f t="shared" si="517"/>
        <v>0</v>
      </c>
      <c r="H2646" s="59">
        <f t="shared" si="517"/>
        <v>0</v>
      </c>
      <c r="I2646" s="59">
        <f t="shared" si="517"/>
        <v>0</v>
      </c>
    </row>
    <row r="2647" spans="1:9" x14ac:dyDescent="0.3">
      <c r="A2647" s="89" t="s">
        <v>63</v>
      </c>
      <c r="B2647" s="47" t="s">
        <v>32</v>
      </c>
      <c r="C2647" s="598">
        <f t="shared" si="516"/>
        <v>629</v>
      </c>
      <c r="D2647" s="59">
        <f>D2649</f>
        <v>0</v>
      </c>
      <c r="E2647" s="59">
        <f t="shared" si="517"/>
        <v>629</v>
      </c>
      <c r="F2647" s="59">
        <f t="shared" si="517"/>
        <v>0</v>
      </c>
      <c r="G2647" s="59">
        <f t="shared" si="517"/>
        <v>0</v>
      </c>
      <c r="H2647" s="59">
        <f t="shared" si="517"/>
        <v>0</v>
      </c>
      <c r="I2647" s="59">
        <f t="shared" si="517"/>
        <v>0</v>
      </c>
    </row>
    <row r="2648" spans="1:9" x14ac:dyDescent="0.3">
      <c r="A2648" s="60" t="s">
        <v>48</v>
      </c>
      <c r="B2648" s="53" t="s">
        <v>33</v>
      </c>
      <c r="C2648" s="598">
        <f t="shared" si="516"/>
        <v>629</v>
      </c>
      <c r="D2648" s="59">
        <f>D2650</f>
        <v>0</v>
      </c>
      <c r="E2648" s="59">
        <f t="shared" si="517"/>
        <v>629</v>
      </c>
      <c r="F2648" s="59">
        <f t="shared" si="517"/>
        <v>0</v>
      </c>
      <c r="G2648" s="59">
        <f t="shared" si="517"/>
        <v>0</v>
      </c>
      <c r="H2648" s="59">
        <f t="shared" si="517"/>
        <v>0</v>
      </c>
      <c r="I2648" s="59">
        <f t="shared" si="517"/>
        <v>0</v>
      </c>
    </row>
    <row r="2649" spans="1:9" ht="12.9" x14ac:dyDescent="0.35">
      <c r="A2649" s="54" t="s">
        <v>40</v>
      </c>
      <c r="B2649" s="35" t="s">
        <v>32</v>
      </c>
      <c r="C2649" s="48">
        <f t="shared" si="516"/>
        <v>629</v>
      </c>
      <c r="D2649" s="49">
        <f t="shared" ref="D2649:I2650" si="518">D851+D1589+D2266</f>
        <v>0</v>
      </c>
      <c r="E2649" s="49">
        <f t="shared" si="518"/>
        <v>629</v>
      </c>
      <c r="F2649" s="49">
        <f t="shared" si="518"/>
        <v>0</v>
      </c>
      <c r="G2649" s="49">
        <f t="shared" si="518"/>
        <v>0</v>
      </c>
      <c r="H2649" s="49">
        <f t="shared" si="518"/>
        <v>0</v>
      </c>
      <c r="I2649" s="49">
        <f t="shared" si="518"/>
        <v>0</v>
      </c>
    </row>
    <row r="2650" spans="1:9" ht="12.9" x14ac:dyDescent="0.35">
      <c r="A2650" s="43"/>
      <c r="B2650" s="38" t="s">
        <v>33</v>
      </c>
      <c r="C2650" s="48">
        <f t="shared" si="516"/>
        <v>629</v>
      </c>
      <c r="D2650" s="49">
        <f t="shared" si="518"/>
        <v>0</v>
      </c>
      <c r="E2650" s="49">
        <f t="shared" si="518"/>
        <v>629</v>
      </c>
      <c r="F2650" s="49">
        <f t="shared" si="518"/>
        <v>0</v>
      </c>
      <c r="G2650" s="49">
        <f t="shared" si="518"/>
        <v>0</v>
      </c>
      <c r="H2650" s="49">
        <f t="shared" si="518"/>
        <v>0</v>
      </c>
      <c r="I2650" s="49">
        <f t="shared" si="518"/>
        <v>0</v>
      </c>
    </row>
    <row r="2651" spans="1:9" x14ac:dyDescent="0.3">
      <c r="A2651" s="991" t="s">
        <v>86</v>
      </c>
      <c r="B2651" s="992"/>
      <c r="C2651" s="992"/>
      <c r="D2651" s="992"/>
      <c r="E2651" s="992"/>
      <c r="F2651" s="992"/>
      <c r="G2651" s="992"/>
      <c r="H2651" s="992"/>
      <c r="I2651" s="993"/>
    </row>
    <row r="2652" spans="1:9" x14ac:dyDescent="0.3">
      <c r="A2652" s="245" t="s">
        <v>31</v>
      </c>
      <c r="B2652" s="35" t="s">
        <v>32</v>
      </c>
      <c r="C2652" s="48">
        <f t="shared" ref="C2652:C2661" si="519">D2652+E2652+F2652+G2652+H2652+I2652</f>
        <v>281993.196</v>
      </c>
      <c r="D2652" s="49">
        <f>D2654</f>
        <v>91306.385999999999</v>
      </c>
      <c r="E2652" s="49">
        <f t="shared" ref="E2652:I2653" si="520">E2654</f>
        <v>74750.5</v>
      </c>
      <c r="F2652" s="49">
        <f t="shared" si="520"/>
        <v>43960</v>
      </c>
      <c r="G2652" s="49">
        <f t="shared" si="520"/>
        <v>43960</v>
      </c>
      <c r="H2652" s="49">
        <f t="shared" si="520"/>
        <v>14385</v>
      </c>
      <c r="I2652" s="49">
        <f t="shared" si="520"/>
        <v>13631.309999999996</v>
      </c>
    </row>
    <row r="2653" spans="1:9" ht="12.9" thickBot="1" x14ac:dyDescent="0.35">
      <c r="A2653" s="246"/>
      <c r="B2653" s="247" t="s">
        <v>33</v>
      </c>
      <c r="C2653" s="48">
        <f t="shared" si="519"/>
        <v>281993.196</v>
      </c>
      <c r="D2653" s="49">
        <f>D2655</f>
        <v>91306.385999999999</v>
      </c>
      <c r="E2653" s="49">
        <f t="shared" si="520"/>
        <v>74750.5</v>
      </c>
      <c r="F2653" s="49">
        <f t="shared" si="520"/>
        <v>43960</v>
      </c>
      <c r="G2653" s="49">
        <f t="shared" si="520"/>
        <v>43960</v>
      </c>
      <c r="H2653" s="49">
        <f t="shared" si="520"/>
        <v>14385</v>
      </c>
      <c r="I2653" s="49">
        <f t="shared" si="520"/>
        <v>13631.309999999996</v>
      </c>
    </row>
    <row r="2654" spans="1:9" x14ac:dyDescent="0.3">
      <c r="A2654" s="61" t="s">
        <v>50</v>
      </c>
      <c r="B2654" s="47" t="s">
        <v>32</v>
      </c>
      <c r="C2654" s="48">
        <f t="shared" si="519"/>
        <v>281993.196</v>
      </c>
      <c r="D2654" s="49">
        <f>D2656+D2658+D2660</f>
        <v>91306.385999999999</v>
      </c>
      <c r="E2654" s="49">
        <f t="shared" ref="E2654:I2655" si="521">E2656+E2658+E2660</f>
        <v>74750.5</v>
      </c>
      <c r="F2654" s="49">
        <f t="shared" si="521"/>
        <v>43960</v>
      </c>
      <c r="G2654" s="49">
        <f t="shared" si="521"/>
        <v>43960</v>
      </c>
      <c r="H2654" s="49">
        <f t="shared" si="521"/>
        <v>14385</v>
      </c>
      <c r="I2654" s="49">
        <f t="shared" si="521"/>
        <v>13631.309999999996</v>
      </c>
    </row>
    <row r="2655" spans="1:9" x14ac:dyDescent="0.3">
      <c r="A2655" s="63" t="s">
        <v>51</v>
      </c>
      <c r="B2655" s="53" t="s">
        <v>33</v>
      </c>
      <c r="C2655" s="48">
        <f t="shared" si="519"/>
        <v>281993.196</v>
      </c>
      <c r="D2655" s="49">
        <f>D2657+D2659+D2661</f>
        <v>91306.385999999999</v>
      </c>
      <c r="E2655" s="49">
        <f t="shared" si="521"/>
        <v>74750.5</v>
      </c>
      <c r="F2655" s="49">
        <f t="shared" si="521"/>
        <v>43960</v>
      </c>
      <c r="G2655" s="49">
        <f t="shared" si="521"/>
        <v>43960</v>
      </c>
      <c r="H2655" s="49">
        <f t="shared" si="521"/>
        <v>14385</v>
      </c>
      <c r="I2655" s="49">
        <f t="shared" si="521"/>
        <v>13631.309999999996</v>
      </c>
    </row>
    <row r="2656" spans="1:9" s="65" customFormat="1" ht="12.9" x14ac:dyDescent="0.35">
      <c r="A2656" s="45" t="s">
        <v>37</v>
      </c>
      <c r="B2656" s="507" t="s">
        <v>32</v>
      </c>
      <c r="C2656" s="41">
        <f>D2656+E2656+F2656+G2656+H2656+I2656</f>
        <v>28294.950000000004</v>
      </c>
      <c r="D2656" s="41">
        <f t="shared" ref="D2656:I2657" si="522">D183+D870</f>
        <v>26417.070000000003</v>
      </c>
      <c r="E2656" s="41">
        <f t="shared" si="522"/>
        <v>24</v>
      </c>
      <c r="F2656" s="41">
        <f t="shared" si="522"/>
        <v>0</v>
      </c>
      <c r="G2656" s="41">
        <f t="shared" si="522"/>
        <v>0</v>
      </c>
      <c r="H2656" s="41">
        <f t="shared" si="522"/>
        <v>0</v>
      </c>
      <c r="I2656" s="41">
        <f t="shared" si="522"/>
        <v>1853.8799999999999</v>
      </c>
    </row>
    <row r="2657" spans="1:9" s="65" customFormat="1" ht="12.9" x14ac:dyDescent="0.35">
      <c r="A2657" s="43" t="s">
        <v>38</v>
      </c>
      <c r="B2657" s="86" t="s">
        <v>33</v>
      </c>
      <c r="C2657" s="41">
        <f>D2657+E2657+F2657+G2657+H2657+I2657</f>
        <v>28294.950000000004</v>
      </c>
      <c r="D2657" s="41">
        <f t="shared" si="522"/>
        <v>26417.070000000003</v>
      </c>
      <c r="E2657" s="41">
        <f t="shared" si="522"/>
        <v>24</v>
      </c>
      <c r="F2657" s="41">
        <f t="shared" si="522"/>
        <v>0</v>
      </c>
      <c r="G2657" s="41">
        <f t="shared" si="522"/>
        <v>0</v>
      </c>
      <c r="H2657" s="41">
        <f t="shared" si="522"/>
        <v>0</v>
      </c>
      <c r="I2657" s="41">
        <f t="shared" si="522"/>
        <v>1853.8799999999999</v>
      </c>
    </row>
    <row r="2658" spans="1:9" s="42" customFormat="1" ht="25.75" x14ac:dyDescent="0.35">
      <c r="A2658" s="39" t="s">
        <v>39</v>
      </c>
      <c r="B2658" s="507" t="s">
        <v>32</v>
      </c>
      <c r="C2658" s="41">
        <f>D2658+E2658+F2658+G2658+H2658+I2658</f>
        <v>19691</v>
      </c>
      <c r="D2658" s="41">
        <f>D880</f>
        <v>0</v>
      </c>
      <c r="E2658" s="41">
        <f t="shared" ref="E2658:I2659" si="523">E880</f>
        <v>19691</v>
      </c>
      <c r="F2658" s="41">
        <f t="shared" si="523"/>
        <v>0</v>
      </c>
      <c r="G2658" s="41">
        <f t="shared" si="523"/>
        <v>0</v>
      </c>
      <c r="H2658" s="41">
        <f t="shared" si="523"/>
        <v>0</v>
      </c>
      <c r="I2658" s="41">
        <f t="shared" si="523"/>
        <v>0</v>
      </c>
    </row>
    <row r="2659" spans="1:9" s="42" customFormat="1" ht="12.9" x14ac:dyDescent="0.35">
      <c r="A2659" s="43"/>
      <c r="B2659" s="86" t="s">
        <v>33</v>
      </c>
      <c r="C2659" s="41">
        <f t="shared" ref="C2659" si="524">D2659+E2659+F2659+G2659+H2659+I2659</f>
        <v>19691</v>
      </c>
      <c r="D2659" s="41">
        <f>D881</f>
        <v>0</v>
      </c>
      <c r="E2659" s="41">
        <f t="shared" si="523"/>
        <v>19691</v>
      </c>
      <c r="F2659" s="41">
        <f t="shared" si="523"/>
        <v>0</v>
      </c>
      <c r="G2659" s="41">
        <f t="shared" si="523"/>
        <v>0</v>
      </c>
      <c r="H2659" s="41">
        <f t="shared" si="523"/>
        <v>0</v>
      </c>
      <c r="I2659" s="41">
        <f t="shared" si="523"/>
        <v>0</v>
      </c>
    </row>
    <row r="2660" spans="1:9" ht="12.9" x14ac:dyDescent="0.35">
      <c r="A2660" s="54" t="s">
        <v>40</v>
      </c>
      <c r="B2660" s="35" t="s">
        <v>32</v>
      </c>
      <c r="C2660" s="48">
        <f t="shared" si="519"/>
        <v>234007.24599999998</v>
      </c>
      <c r="D2660" s="49">
        <f t="shared" ref="D2660:I2661" si="525">D189+D892+D1604+D2285+D405</f>
        <v>64889.315999999999</v>
      </c>
      <c r="E2660" s="49">
        <f t="shared" si="525"/>
        <v>55035.5</v>
      </c>
      <c r="F2660" s="49">
        <f t="shared" si="525"/>
        <v>43960</v>
      </c>
      <c r="G2660" s="49">
        <f t="shared" si="525"/>
        <v>43960</v>
      </c>
      <c r="H2660" s="49">
        <f t="shared" si="525"/>
        <v>14385</v>
      </c>
      <c r="I2660" s="49">
        <f t="shared" si="525"/>
        <v>11777.429999999997</v>
      </c>
    </row>
    <row r="2661" spans="1:9" ht="12.9" x14ac:dyDescent="0.35">
      <c r="A2661" s="43"/>
      <c r="B2661" s="38" t="s">
        <v>33</v>
      </c>
      <c r="C2661" s="48">
        <f t="shared" si="519"/>
        <v>234007.24599999998</v>
      </c>
      <c r="D2661" s="49">
        <f t="shared" si="525"/>
        <v>64889.315999999999</v>
      </c>
      <c r="E2661" s="49">
        <f t="shared" si="525"/>
        <v>55035.5</v>
      </c>
      <c r="F2661" s="49">
        <f t="shared" si="525"/>
        <v>43960</v>
      </c>
      <c r="G2661" s="49">
        <f t="shared" si="525"/>
        <v>43960</v>
      </c>
      <c r="H2661" s="49">
        <f t="shared" si="525"/>
        <v>14385</v>
      </c>
      <c r="I2661" s="49">
        <f t="shared" si="525"/>
        <v>11777.429999999997</v>
      </c>
    </row>
    <row r="2662" spans="1:9" x14ac:dyDescent="0.3">
      <c r="A2662" s="985" t="s">
        <v>915</v>
      </c>
      <c r="B2662" s="986"/>
      <c r="C2662" s="986"/>
      <c r="D2662" s="986"/>
      <c r="E2662" s="986"/>
      <c r="F2662" s="986"/>
      <c r="G2662" s="986"/>
      <c r="H2662" s="986"/>
      <c r="I2662" s="987"/>
    </row>
    <row r="2663" spans="1:9" x14ac:dyDescent="0.3">
      <c r="A2663" s="245" t="s">
        <v>31</v>
      </c>
      <c r="B2663" s="56" t="s">
        <v>32</v>
      </c>
      <c r="C2663" s="48">
        <f t="shared" ref="C2663:C2674" si="526">D2663+E2663+F2663+G2663+H2663+I2663</f>
        <v>67562.41</v>
      </c>
      <c r="D2663" s="48">
        <f>D2665+D2671</f>
        <v>1783.96</v>
      </c>
      <c r="E2663" s="48">
        <f t="shared" ref="E2663:I2664" si="527">E2665+E2671</f>
        <v>60422.879999999997</v>
      </c>
      <c r="F2663" s="48">
        <f t="shared" si="527"/>
        <v>1283.8699999999999</v>
      </c>
      <c r="G2663" s="48">
        <f t="shared" si="527"/>
        <v>0</v>
      </c>
      <c r="H2663" s="48">
        <f t="shared" si="527"/>
        <v>0</v>
      </c>
      <c r="I2663" s="48">
        <f t="shared" si="527"/>
        <v>4071.7</v>
      </c>
    </row>
    <row r="2664" spans="1:9" ht="12.9" thickBot="1" x14ac:dyDescent="0.35">
      <c r="A2664" s="246"/>
      <c r="B2664" s="38" t="s">
        <v>33</v>
      </c>
      <c r="C2664" s="48">
        <f t="shared" si="526"/>
        <v>67562.41</v>
      </c>
      <c r="D2664" s="48">
        <f>D2666+D2672</f>
        <v>1783.96</v>
      </c>
      <c r="E2664" s="48">
        <f t="shared" si="527"/>
        <v>60422.879999999997</v>
      </c>
      <c r="F2664" s="48">
        <f t="shared" si="527"/>
        <v>1283.8699999999999</v>
      </c>
      <c r="G2664" s="48">
        <f t="shared" si="527"/>
        <v>0</v>
      </c>
      <c r="H2664" s="48">
        <f t="shared" si="527"/>
        <v>0</v>
      </c>
      <c r="I2664" s="48">
        <f t="shared" si="527"/>
        <v>4071.7</v>
      </c>
    </row>
    <row r="2665" spans="1:9" x14ac:dyDescent="0.3">
      <c r="A2665" s="89" t="s">
        <v>63</v>
      </c>
      <c r="B2665" s="56" t="s">
        <v>32</v>
      </c>
      <c r="C2665" s="48">
        <f t="shared" si="526"/>
        <v>213.3</v>
      </c>
      <c r="D2665" s="48">
        <f>D2667+D2669</f>
        <v>10.8</v>
      </c>
      <c r="E2665" s="48">
        <f t="shared" ref="E2665:I2666" si="528">E2667+E2669</f>
        <v>202.5</v>
      </c>
      <c r="F2665" s="48">
        <f t="shared" si="528"/>
        <v>0</v>
      </c>
      <c r="G2665" s="48">
        <f t="shared" si="528"/>
        <v>0</v>
      </c>
      <c r="H2665" s="48">
        <f t="shared" si="528"/>
        <v>0</v>
      </c>
      <c r="I2665" s="48">
        <f t="shared" si="528"/>
        <v>0</v>
      </c>
    </row>
    <row r="2666" spans="1:9" x14ac:dyDescent="0.3">
      <c r="A2666" s="60" t="s">
        <v>89</v>
      </c>
      <c r="B2666" s="38" t="s">
        <v>33</v>
      </c>
      <c r="C2666" s="48">
        <f t="shared" si="526"/>
        <v>213.3</v>
      </c>
      <c r="D2666" s="48">
        <f>D2668+D2670</f>
        <v>10.8</v>
      </c>
      <c r="E2666" s="48">
        <f t="shared" si="528"/>
        <v>202.5</v>
      </c>
      <c r="F2666" s="48">
        <f t="shared" si="528"/>
        <v>0</v>
      </c>
      <c r="G2666" s="48">
        <f t="shared" si="528"/>
        <v>0</v>
      </c>
      <c r="H2666" s="48">
        <f t="shared" si="528"/>
        <v>0</v>
      </c>
      <c r="I2666" s="48">
        <f t="shared" si="528"/>
        <v>0</v>
      </c>
    </row>
    <row r="2667" spans="1:9" s="65" customFormat="1" ht="12.9" x14ac:dyDescent="0.35">
      <c r="A2667" s="45" t="s">
        <v>37</v>
      </c>
      <c r="B2667" s="507" t="s">
        <v>32</v>
      </c>
      <c r="C2667" s="41">
        <f>D2667+E2667+F2667+G2667+H2667+I2667</f>
        <v>28.8</v>
      </c>
      <c r="D2667" s="41">
        <f>D1187</f>
        <v>10.8</v>
      </c>
      <c r="E2667" s="41">
        <f t="shared" ref="E2667:I2668" si="529">E1187</f>
        <v>18</v>
      </c>
      <c r="F2667" s="41">
        <f t="shared" si="529"/>
        <v>0</v>
      </c>
      <c r="G2667" s="41">
        <f t="shared" si="529"/>
        <v>0</v>
      </c>
      <c r="H2667" s="41">
        <f t="shared" si="529"/>
        <v>0</v>
      </c>
      <c r="I2667" s="41">
        <f t="shared" si="529"/>
        <v>0</v>
      </c>
    </row>
    <row r="2668" spans="1:9" s="65" customFormat="1" ht="12.9" x14ac:dyDescent="0.35">
      <c r="A2668" s="43" t="s">
        <v>38</v>
      </c>
      <c r="B2668" s="86" t="s">
        <v>33</v>
      </c>
      <c r="C2668" s="41">
        <f>D2668+E2668+F2668+G2668+H2668+I2668</f>
        <v>28.8</v>
      </c>
      <c r="D2668" s="41">
        <f>D1188</f>
        <v>10.8</v>
      </c>
      <c r="E2668" s="41">
        <f t="shared" si="529"/>
        <v>18</v>
      </c>
      <c r="F2668" s="41">
        <f t="shared" si="529"/>
        <v>0</v>
      </c>
      <c r="G2668" s="41">
        <f t="shared" si="529"/>
        <v>0</v>
      </c>
      <c r="H2668" s="41">
        <f t="shared" si="529"/>
        <v>0</v>
      </c>
      <c r="I2668" s="41">
        <f t="shared" si="529"/>
        <v>0</v>
      </c>
    </row>
    <row r="2669" spans="1:9" ht="12.9" x14ac:dyDescent="0.35">
      <c r="A2669" s="54" t="s">
        <v>40</v>
      </c>
      <c r="B2669" s="35" t="s">
        <v>32</v>
      </c>
      <c r="C2669" s="48">
        <f t="shared" ref="C2669:C2672" si="530">D2669+E2669+F2669+G2669+H2669+I2669</f>
        <v>184.5</v>
      </c>
      <c r="D2669" s="48">
        <f t="shared" ref="D2669:I2670" si="531">D1193+D1757</f>
        <v>0</v>
      </c>
      <c r="E2669" s="48">
        <f t="shared" si="531"/>
        <v>184.5</v>
      </c>
      <c r="F2669" s="48">
        <f t="shared" si="531"/>
        <v>0</v>
      </c>
      <c r="G2669" s="48">
        <f t="shared" si="531"/>
        <v>0</v>
      </c>
      <c r="H2669" s="48">
        <f t="shared" si="531"/>
        <v>0</v>
      </c>
      <c r="I2669" s="48">
        <f t="shared" si="531"/>
        <v>0</v>
      </c>
    </row>
    <row r="2670" spans="1:9" ht="12.9" x14ac:dyDescent="0.35">
      <c r="A2670" s="43"/>
      <c r="B2670" s="38" t="s">
        <v>33</v>
      </c>
      <c r="C2670" s="48">
        <f t="shared" si="530"/>
        <v>184.5</v>
      </c>
      <c r="D2670" s="48">
        <f t="shared" si="531"/>
        <v>0</v>
      </c>
      <c r="E2670" s="48">
        <f t="shared" si="531"/>
        <v>184.5</v>
      </c>
      <c r="F2670" s="48">
        <f t="shared" si="531"/>
        <v>0</v>
      </c>
      <c r="G2670" s="48">
        <f t="shared" si="531"/>
        <v>0</v>
      </c>
      <c r="H2670" s="48">
        <f t="shared" si="531"/>
        <v>0</v>
      </c>
      <c r="I2670" s="48">
        <f t="shared" si="531"/>
        <v>0</v>
      </c>
    </row>
    <row r="2671" spans="1:9" x14ac:dyDescent="0.3">
      <c r="A2671" s="61" t="s">
        <v>50</v>
      </c>
      <c r="B2671" s="47" t="s">
        <v>32</v>
      </c>
      <c r="C2671" s="48">
        <f t="shared" si="530"/>
        <v>67349.11</v>
      </c>
      <c r="D2671" s="49">
        <f>D2673</f>
        <v>1773.16</v>
      </c>
      <c r="E2671" s="49">
        <f t="shared" ref="E2671:I2672" si="532">E2673</f>
        <v>60220.38</v>
      </c>
      <c r="F2671" s="49">
        <f t="shared" si="532"/>
        <v>1283.8699999999999</v>
      </c>
      <c r="G2671" s="49">
        <f t="shared" si="532"/>
        <v>0</v>
      </c>
      <c r="H2671" s="49">
        <f t="shared" si="532"/>
        <v>0</v>
      </c>
      <c r="I2671" s="49">
        <f t="shared" si="532"/>
        <v>4071.7</v>
      </c>
    </row>
    <row r="2672" spans="1:9" x14ac:dyDescent="0.3">
      <c r="A2672" s="63" t="s">
        <v>51</v>
      </c>
      <c r="B2672" s="53" t="s">
        <v>33</v>
      </c>
      <c r="C2672" s="48">
        <f t="shared" si="530"/>
        <v>67349.11</v>
      </c>
      <c r="D2672" s="49">
        <f>D2674</f>
        <v>1773.16</v>
      </c>
      <c r="E2672" s="49">
        <f t="shared" si="532"/>
        <v>60220.38</v>
      </c>
      <c r="F2672" s="49">
        <f t="shared" si="532"/>
        <v>1283.8699999999999</v>
      </c>
      <c r="G2672" s="49">
        <f t="shared" si="532"/>
        <v>0</v>
      </c>
      <c r="H2672" s="49">
        <f t="shared" si="532"/>
        <v>0</v>
      </c>
      <c r="I2672" s="49">
        <f t="shared" si="532"/>
        <v>4071.7</v>
      </c>
    </row>
    <row r="2673" spans="1:9" ht="12.9" x14ac:dyDescent="0.35">
      <c r="A2673" s="54" t="s">
        <v>40</v>
      </c>
      <c r="B2673" s="35" t="s">
        <v>32</v>
      </c>
      <c r="C2673" s="48">
        <f t="shared" si="526"/>
        <v>67349.11</v>
      </c>
      <c r="D2673" s="48">
        <f t="shared" ref="D2673:I2674" si="533">D432+D1213+D1769+D2400</f>
        <v>1773.16</v>
      </c>
      <c r="E2673" s="48">
        <f t="shared" si="533"/>
        <v>60220.38</v>
      </c>
      <c r="F2673" s="48">
        <f t="shared" si="533"/>
        <v>1283.8699999999999</v>
      </c>
      <c r="G2673" s="48">
        <f t="shared" si="533"/>
        <v>0</v>
      </c>
      <c r="H2673" s="48">
        <f t="shared" si="533"/>
        <v>0</v>
      </c>
      <c r="I2673" s="48">
        <f t="shared" si="533"/>
        <v>4071.7</v>
      </c>
    </row>
    <row r="2674" spans="1:9" ht="12.9" x14ac:dyDescent="0.35">
      <c r="A2674" s="43"/>
      <c r="B2674" s="38" t="s">
        <v>33</v>
      </c>
      <c r="C2674" s="48">
        <f t="shared" si="526"/>
        <v>67349.11</v>
      </c>
      <c r="D2674" s="48">
        <f t="shared" si="533"/>
        <v>1773.16</v>
      </c>
      <c r="E2674" s="48">
        <f t="shared" si="533"/>
        <v>60220.38</v>
      </c>
      <c r="F2674" s="48">
        <f t="shared" si="533"/>
        <v>1283.8699999999999</v>
      </c>
      <c r="G2674" s="48">
        <f t="shared" si="533"/>
        <v>0</v>
      </c>
      <c r="H2674" s="48">
        <f t="shared" si="533"/>
        <v>0</v>
      </c>
      <c r="I2674" s="48">
        <f t="shared" si="533"/>
        <v>4071.7</v>
      </c>
    </row>
    <row r="2675" spans="1:9" x14ac:dyDescent="0.3">
      <c r="A2675" s="985" t="s">
        <v>980</v>
      </c>
      <c r="B2675" s="986"/>
      <c r="C2675" s="986"/>
      <c r="D2675" s="986"/>
      <c r="E2675" s="986"/>
      <c r="F2675" s="986"/>
      <c r="G2675" s="986"/>
      <c r="H2675" s="986"/>
      <c r="I2675" s="987"/>
    </row>
    <row r="2676" spans="1:9" x14ac:dyDescent="0.3">
      <c r="A2676" s="603" t="s">
        <v>57</v>
      </c>
      <c r="B2676" s="604"/>
      <c r="C2676" s="598"/>
      <c r="D2676" s="49"/>
      <c r="E2676" s="49"/>
      <c r="F2676" s="49"/>
      <c r="G2676" s="49"/>
      <c r="H2676" s="49"/>
      <c r="I2676" s="49"/>
    </row>
    <row r="2677" spans="1:9" x14ac:dyDescent="0.3">
      <c r="A2677" s="245" t="s">
        <v>31</v>
      </c>
      <c r="B2677" s="35" t="s">
        <v>32</v>
      </c>
      <c r="C2677" s="598">
        <f t="shared" ref="C2677:C2690" si="534">D2677+E2677+F2677+G2677+H2677+I2677</f>
        <v>68469.820000000007</v>
      </c>
      <c r="D2677" s="59">
        <f t="shared" ref="D2677:I2678" si="535">D2679+D2687</f>
        <v>38292.370000000003</v>
      </c>
      <c r="E2677" s="59">
        <f t="shared" si="535"/>
        <v>18653</v>
      </c>
      <c r="F2677" s="59">
        <f t="shared" si="535"/>
        <v>6173.27</v>
      </c>
      <c r="G2677" s="59">
        <f t="shared" si="535"/>
        <v>0</v>
      </c>
      <c r="H2677" s="59">
        <f t="shared" si="535"/>
        <v>0</v>
      </c>
      <c r="I2677" s="59">
        <f t="shared" si="535"/>
        <v>5351.18</v>
      </c>
    </row>
    <row r="2678" spans="1:9" ht="12.9" thickBot="1" x14ac:dyDescent="0.35">
      <c r="A2678" s="246"/>
      <c r="B2678" s="247" t="s">
        <v>33</v>
      </c>
      <c r="C2678" s="598">
        <f t="shared" si="534"/>
        <v>68469.820000000007</v>
      </c>
      <c r="D2678" s="59">
        <f t="shared" si="535"/>
        <v>38292.370000000003</v>
      </c>
      <c r="E2678" s="59">
        <f t="shared" si="535"/>
        <v>18653</v>
      </c>
      <c r="F2678" s="59">
        <f t="shared" si="535"/>
        <v>6173.27</v>
      </c>
      <c r="G2678" s="59">
        <f t="shared" si="535"/>
        <v>0</v>
      </c>
      <c r="H2678" s="59">
        <f t="shared" si="535"/>
        <v>0</v>
      </c>
      <c r="I2678" s="59">
        <f t="shared" si="535"/>
        <v>5351.18</v>
      </c>
    </row>
    <row r="2679" spans="1:9" x14ac:dyDescent="0.3">
      <c r="A2679" s="89" t="s">
        <v>63</v>
      </c>
      <c r="B2679" s="47" t="s">
        <v>32</v>
      </c>
      <c r="C2679" s="598">
        <f t="shared" si="534"/>
        <v>59196.75</v>
      </c>
      <c r="D2679" s="59">
        <f>D2681+D2683+D2685</f>
        <v>37725.47</v>
      </c>
      <c r="E2679" s="59">
        <f t="shared" ref="E2679:I2680" si="536">E2681+E2683+E2685</f>
        <v>14443</v>
      </c>
      <c r="F2679" s="59">
        <f t="shared" si="536"/>
        <v>1730</v>
      </c>
      <c r="G2679" s="59">
        <f t="shared" si="536"/>
        <v>0</v>
      </c>
      <c r="H2679" s="59">
        <f t="shared" si="536"/>
        <v>0</v>
      </c>
      <c r="I2679" s="59">
        <f t="shared" si="536"/>
        <v>5298.2800000000007</v>
      </c>
    </row>
    <row r="2680" spans="1:9" x14ac:dyDescent="0.3">
      <c r="A2680" s="60" t="s">
        <v>48</v>
      </c>
      <c r="B2680" s="53" t="s">
        <v>33</v>
      </c>
      <c r="C2680" s="598">
        <f t="shared" si="534"/>
        <v>59196.75</v>
      </c>
      <c r="D2680" s="59">
        <f>D2682+D2684+D2686</f>
        <v>37725.47</v>
      </c>
      <c r="E2680" s="59">
        <f t="shared" si="536"/>
        <v>14443</v>
      </c>
      <c r="F2680" s="59">
        <f t="shared" si="536"/>
        <v>1730</v>
      </c>
      <c r="G2680" s="59">
        <f t="shared" si="536"/>
        <v>0</v>
      </c>
      <c r="H2680" s="59">
        <f t="shared" si="536"/>
        <v>0</v>
      </c>
      <c r="I2680" s="59">
        <f t="shared" si="536"/>
        <v>5298.2800000000007</v>
      </c>
    </row>
    <row r="2681" spans="1:9" ht="12.9" x14ac:dyDescent="0.35">
      <c r="A2681" s="54" t="s">
        <v>37</v>
      </c>
      <c r="B2681" s="151" t="s">
        <v>32</v>
      </c>
      <c r="C2681" s="598">
        <f>D2681+E2681+F2681+G2681+H2681+I2681</f>
        <v>43518.130000000005</v>
      </c>
      <c r="D2681" s="59">
        <f t="shared" ref="D2681:I2682" si="537">D212+D1354</f>
        <v>33574.450000000004</v>
      </c>
      <c r="E2681" s="59">
        <f t="shared" si="537"/>
        <v>4692</v>
      </c>
      <c r="F2681" s="59">
        <f t="shared" si="537"/>
        <v>0</v>
      </c>
      <c r="G2681" s="59">
        <f t="shared" si="537"/>
        <v>0</v>
      </c>
      <c r="H2681" s="59">
        <f t="shared" si="537"/>
        <v>0</v>
      </c>
      <c r="I2681" s="59">
        <f t="shared" si="537"/>
        <v>5251.68</v>
      </c>
    </row>
    <row r="2682" spans="1:9" ht="12.9" x14ac:dyDescent="0.35">
      <c r="A2682" s="43" t="s">
        <v>38</v>
      </c>
      <c r="B2682" s="44" t="s">
        <v>33</v>
      </c>
      <c r="C2682" s="598">
        <f>D2682+E2682+F2682+G2682+H2682+I2682</f>
        <v>43518.130000000005</v>
      </c>
      <c r="D2682" s="59">
        <f t="shared" si="537"/>
        <v>33574.450000000004</v>
      </c>
      <c r="E2682" s="59">
        <f t="shared" si="537"/>
        <v>4692</v>
      </c>
      <c r="F2682" s="59">
        <f t="shared" si="537"/>
        <v>0</v>
      </c>
      <c r="G2682" s="59">
        <f t="shared" si="537"/>
        <v>0</v>
      </c>
      <c r="H2682" s="59">
        <f t="shared" si="537"/>
        <v>0</v>
      </c>
      <c r="I2682" s="59">
        <f t="shared" si="537"/>
        <v>5251.68</v>
      </c>
    </row>
    <row r="2683" spans="1:9" s="42" customFormat="1" ht="25.75" x14ac:dyDescent="0.35">
      <c r="A2683" s="39" t="s">
        <v>39</v>
      </c>
      <c r="B2683" s="507" t="s">
        <v>32</v>
      </c>
      <c r="C2683" s="41">
        <f>D2683+E2683+F2683+G2683+H2683+I2683</f>
        <v>2613</v>
      </c>
      <c r="D2683" s="41">
        <f>D449</f>
        <v>0</v>
      </c>
      <c r="E2683" s="41">
        <f t="shared" ref="E2683:I2684" si="538">E449</f>
        <v>2613</v>
      </c>
      <c r="F2683" s="41">
        <f t="shared" si="538"/>
        <v>0</v>
      </c>
      <c r="G2683" s="41">
        <f t="shared" si="538"/>
        <v>0</v>
      </c>
      <c r="H2683" s="41">
        <f t="shared" si="538"/>
        <v>0</v>
      </c>
      <c r="I2683" s="41">
        <f t="shared" si="538"/>
        <v>0</v>
      </c>
    </row>
    <row r="2684" spans="1:9" s="42" customFormat="1" ht="12.9" x14ac:dyDescent="0.35">
      <c r="A2684" s="43"/>
      <c r="B2684" s="86" t="s">
        <v>33</v>
      </c>
      <c r="C2684" s="41">
        <f t="shared" ref="C2684" si="539">D2684+E2684+F2684+G2684+H2684+I2684</f>
        <v>2613</v>
      </c>
      <c r="D2684" s="41">
        <f>D450</f>
        <v>0</v>
      </c>
      <c r="E2684" s="41">
        <f t="shared" si="538"/>
        <v>2613</v>
      </c>
      <c r="F2684" s="41">
        <f t="shared" si="538"/>
        <v>0</v>
      </c>
      <c r="G2684" s="41">
        <f t="shared" si="538"/>
        <v>0</v>
      </c>
      <c r="H2684" s="41">
        <f t="shared" si="538"/>
        <v>0</v>
      </c>
      <c r="I2684" s="41">
        <f t="shared" si="538"/>
        <v>0</v>
      </c>
    </row>
    <row r="2685" spans="1:9" ht="12.9" x14ac:dyDescent="0.35">
      <c r="A2685" s="54" t="s">
        <v>40</v>
      </c>
      <c r="B2685" s="35" t="s">
        <v>32</v>
      </c>
      <c r="C2685" s="598">
        <f t="shared" si="534"/>
        <v>13065.62</v>
      </c>
      <c r="D2685" s="59">
        <f>D457+D590+D1360+D2431+D1830</f>
        <v>4151.0200000000004</v>
      </c>
      <c r="E2685" s="59">
        <f t="shared" ref="E2685:I2686" si="540">E457+E590+E1360+E2431+E1830</f>
        <v>7138</v>
      </c>
      <c r="F2685" s="59">
        <f t="shared" si="540"/>
        <v>1730</v>
      </c>
      <c r="G2685" s="59">
        <f t="shared" si="540"/>
        <v>0</v>
      </c>
      <c r="H2685" s="59">
        <f t="shared" si="540"/>
        <v>0</v>
      </c>
      <c r="I2685" s="59">
        <f t="shared" si="540"/>
        <v>46.6</v>
      </c>
    </row>
    <row r="2686" spans="1:9" ht="12.9" x14ac:dyDescent="0.35">
      <c r="A2686" s="43"/>
      <c r="B2686" s="38" t="s">
        <v>33</v>
      </c>
      <c r="C2686" s="598">
        <f t="shared" si="534"/>
        <v>13065.62</v>
      </c>
      <c r="D2686" s="59">
        <f>D458+D591+D1361+D2432+D1831</f>
        <v>4151.0200000000004</v>
      </c>
      <c r="E2686" s="59">
        <f t="shared" si="540"/>
        <v>7138</v>
      </c>
      <c r="F2686" s="59">
        <f t="shared" si="540"/>
        <v>1730</v>
      </c>
      <c r="G2686" s="59">
        <f t="shared" si="540"/>
        <v>0</v>
      </c>
      <c r="H2686" s="59">
        <f t="shared" si="540"/>
        <v>0</v>
      </c>
      <c r="I2686" s="59">
        <f t="shared" si="540"/>
        <v>46.6</v>
      </c>
    </row>
    <row r="2687" spans="1:9" x14ac:dyDescent="0.3">
      <c r="A2687" s="593" t="s">
        <v>50</v>
      </c>
      <c r="B2687" s="47" t="s">
        <v>32</v>
      </c>
      <c r="C2687" s="598">
        <f t="shared" si="534"/>
        <v>9273.07</v>
      </c>
      <c r="D2687" s="598">
        <f>D2689</f>
        <v>566.9</v>
      </c>
      <c r="E2687" s="598">
        <f t="shared" ref="E2687:I2688" si="541">E2689</f>
        <v>4210</v>
      </c>
      <c r="F2687" s="598">
        <f t="shared" si="541"/>
        <v>4443.2700000000004</v>
      </c>
      <c r="G2687" s="598">
        <f t="shared" si="541"/>
        <v>0</v>
      </c>
      <c r="H2687" s="598">
        <f t="shared" si="541"/>
        <v>0</v>
      </c>
      <c r="I2687" s="598">
        <f t="shared" si="541"/>
        <v>52.9</v>
      </c>
    </row>
    <row r="2688" spans="1:9" x14ac:dyDescent="0.3">
      <c r="A2688" s="386" t="s">
        <v>51</v>
      </c>
      <c r="B2688" s="53" t="s">
        <v>33</v>
      </c>
      <c r="C2688" s="598">
        <f t="shared" si="534"/>
        <v>9273.07</v>
      </c>
      <c r="D2688" s="598">
        <f>D2690</f>
        <v>566.9</v>
      </c>
      <c r="E2688" s="598">
        <f t="shared" si="541"/>
        <v>4210</v>
      </c>
      <c r="F2688" s="598">
        <f t="shared" si="541"/>
        <v>4443.2700000000004</v>
      </c>
      <c r="G2688" s="598">
        <f t="shared" si="541"/>
        <v>0</v>
      </c>
      <c r="H2688" s="598">
        <f t="shared" si="541"/>
        <v>0</v>
      </c>
      <c r="I2688" s="598">
        <f t="shared" si="541"/>
        <v>52.9</v>
      </c>
    </row>
    <row r="2689" spans="1:9" ht="12.9" x14ac:dyDescent="0.35">
      <c r="A2689" s="54" t="s">
        <v>40</v>
      </c>
      <c r="B2689" s="35" t="s">
        <v>32</v>
      </c>
      <c r="C2689" s="48">
        <f t="shared" si="534"/>
        <v>9273.07</v>
      </c>
      <c r="D2689" s="48">
        <f t="shared" ref="D2689:I2690" si="542">D469+D1418+D2561+D2016</f>
        <v>566.9</v>
      </c>
      <c r="E2689" s="48">
        <f t="shared" si="542"/>
        <v>4210</v>
      </c>
      <c r="F2689" s="48">
        <f t="shared" si="542"/>
        <v>4443.2700000000004</v>
      </c>
      <c r="G2689" s="48">
        <f t="shared" si="542"/>
        <v>0</v>
      </c>
      <c r="H2689" s="48">
        <f t="shared" si="542"/>
        <v>0</v>
      </c>
      <c r="I2689" s="48">
        <f t="shared" si="542"/>
        <v>52.9</v>
      </c>
    </row>
    <row r="2690" spans="1:9" ht="12.9" x14ac:dyDescent="0.35">
      <c r="A2690" s="43"/>
      <c r="B2690" s="38" t="s">
        <v>33</v>
      </c>
      <c r="C2690" s="48">
        <f t="shared" si="534"/>
        <v>9273.07</v>
      </c>
      <c r="D2690" s="48">
        <f t="shared" si="542"/>
        <v>566.9</v>
      </c>
      <c r="E2690" s="48">
        <f t="shared" si="542"/>
        <v>4210</v>
      </c>
      <c r="F2690" s="48">
        <f t="shared" si="542"/>
        <v>4443.2700000000004</v>
      </c>
      <c r="G2690" s="48">
        <f t="shared" si="542"/>
        <v>0</v>
      </c>
      <c r="H2690" s="48">
        <f t="shared" si="542"/>
        <v>0</v>
      </c>
      <c r="I2690" s="48">
        <f t="shared" si="542"/>
        <v>52.9</v>
      </c>
    </row>
    <row r="2691" spans="1:9" x14ac:dyDescent="0.3">
      <c r="A2691" s="988" t="s">
        <v>981</v>
      </c>
      <c r="B2691" s="989"/>
      <c r="C2691" s="989"/>
      <c r="D2691" s="989"/>
      <c r="E2691" s="989"/>
      <c r="F2691" s="989"/>
      <c r="G2691" s="989"/>
      <c r="H2691" s="989"/>
      <c r="I2691" s="990"/>
    </row>
    <row r="2692" spans="1:9" x14ac:dyDescent="0.3">
      <c r="A2692" s="245" t="s">
        <v>31</v>
      </c>
      <c r="B2692" s="56" t="s">
        <v>32</v>
      </c>
      <c r="C2692" s="598">
        <f t="shared" ref="C2692:C2699" si="543">D2692+E2692+F2692+G2692+H2692+I2692</f>
        <v>1984.71</v>
      </c>
      <c r="D2692" s="598">
        <f>D2694</f>
        <v>792.8</v>
      </c>
      <c r="E2692" s="598">
        <f t="shared" ref="E2692:I2693" si="544">E2694</f>
        <v>300</v>
      </c>
      <c r="F2692" s="598">
        <f t="shared" si="544"/>
        <v>675.78000000000009</v>
      </c>
      <c r="G2692" s="598">
        <f t="shared" si="544"/>
        <v>0</v>
      </c>
      <c r="H2692" s="598">
        <f t="shared" si="544"/>
        <v>0</v>
      </c>
      <c r="I2692" s="598">
        <f t="shared" si="544"/>
        <v>216.13</v>
      </c>
    </row>
    <row r="2693" spans="1:9" ht="12.9" thickBot="1" x14ac:dyDescent="0.35">
      <c r="A2693" s="246"/>
      <c r="B2693" s="38" t="s">
        <v>33</v>
      </c>
      <c r="C2693" s="598">
        <f t="shared" si="543"/>
        <v>1984.71</v>
      </c>
      <c r="D2693" s="598">
        <f>D2695</f>
        <v>792.8</v>
      </c>
      <c r="E2693" s="598">
        <f t="shared" si="544"/>
        <v>300</v>
      </c>
      <c r="F2693" s="598">
        <f t="shared" si="544"/>
        <v>675.78000000000009</v>
      </c>
      <c r="G2693" s="598">
        <f t="shared" si="544"/>
        <v>0</v>
      </c>
      <c r="H2693" s="598">
        <f t="shared" si="544"/>
        <v>0</v>
      </c>
      <c r="I2693" s="598">
        <f t="shared" si="544"/>
        <v>216.13</v>
      </c>
    </row>
    <row r="2694" spans="1:9" x14ac:dyDescent="0.3">
      <c r="A2694" s="15" t="s">
        <v>34</v>
      </c>
      <c r="B2694" s="56" t="s">
        <v>32</v>
      </c>
      <c r="C2694" s="598">
        <f t="shared" si="543"/>
        <v>1984.71</v>
      </c>
      <c r="D2694" s="598">
        <f>D2698+D2696</f>
        <v>792.8</v>
      </c>
      <c r="E2694" s="598">
        <f t="shared" ref="E2694:I2695" si="545">E2698+E2696</f>
        <v>300</v>
      </c>
      <c r="F2694" s="598">
        <f t="shared" si="545"/>
        <v>675.78000000000009</v>
      </c>
      <c r="G2694" s="598">
        <f t="shared" si="545"/>
        <v>0</v>
      </c>
      <c r="H2694" s="598">
        <f t="shared" si="545"/>
        <v>0</v>
      </c>
      <c r="I2694" s="598">
        <f t="shared" si="545"/>
        <v>216.13</v>
      </c>
    </row>
    <row r="2695" spans="1:9" x14ac:dyDescent="0.3">
      <c r="A2695" s="60" t="s">
        <v>89</v>
      </c>
      <c r="B2695" s="38" t="s">
        <v>33</v>
      </c>
      <c r="C2695" s="598">
        <f t="shared" si="543"/>
        <v>1984.71</v>
      </c>
      <c r="D2695" s="598">
        <f>D2699+D2697</f>
        <v>792.8</v>
      </c>
      <c r="E2695" s="598">
        <f t="shared" si="545"/>
        <v>300</v>
      </c>
      <c r="F2695" s="598">
        <f t="shared" si="545"/>
        <v>675.78000000000009</v>
      </c>
      <c r="G2695" s="598">
        <f t="shared" si="545"/>
        <v>0</v>
      </c>
      <c r="H2695" s="598">
        <f t="shared" si="545"/>
        <v>0</v>
      </c>
      <c r="I2695" s="598">
        <f t="shared" si="545"/>
        <v>216.13</v>
      </c>
    </row>
    <row r="2696" spans="1:9" s="157" customFormat="1" ht="25.75" x14ac:dyDescent="0.35">
      <c r="A2696" s="64" t="s">
        <v>122</v>
      </c>
      <c r="B2696" s="150" t="s">
        <v>32</v>
      </c>
      <c r="C2696" s="143">
        <f t="shared" si="543"/>
        <v>1008</v>
      </c>
      <c r="D2696" s="143">
        <f>D235</f>
        <v>791.87</v>
      </c>
      <c r="E2696" s="143">
        <f t="shared" ref="E2696:I2697" si="546">E235</f>
        <v>0</v>
      </c>
      <c r="F2696" s="143">
        <f t="shared" si="546"/>
        <v>0</v>
      </c>
      <c r="G2696" s="143">
        <f t="shared" si="546"/>
        <v>0</v>
      </c>
      <c r="H2696" s="143">
        <f t="shared" si="546"/>
        <v>0</v>
      </c>
      <c r="I2696" s="143">
        <f t="shared" si="546"/>
        <v>216.13</v>
      </c>
    </row>
    <row r="2697" spans="1:9" s="157" customFormat="1" ht="12.9" x14ac:dyDescent="0.35">
      <c r="A2697" s="52"/>
      <c r="B2697" s="99" t="s">
        <v>33</v>
      </c>
      <c r="C2697" s="143">
        <f t="shared" si="543"/>
        <v>1008</v>
      </c>
      <c r="D2697" s="143">
        <f>D236</f>
        <v>791.87</v>
      </c>
      <c r="E2697" s="143">
        <f t="shared" si="546"/>
        <v>0</v>
      </c>
      <c r="F2697" s="143">
        <f t="shared" si="546"/>
        <v>0</v>
      </c>
      <c r="G2697" s="143">
        <f t="shared" si="546"/>
        <v>0</v>
      </c>
      <c r="H2697" s="143">
        <f t="shared" si="546"/>
        <v>0</v>
      </c>
      <c r="I2697" s="143">
        <f t="shared" si="546"/>
        <v>216.13</v>
      </c>
    </row>
    <row r="2698" spans="1:9" ht="12.9" x14ac:dyDescent="0.35">
      <c r="A2698" s="54" t="s">
        <v>40</v>
      </c>
      <c r="B2698" s="35" t="s">
        <v>32</v>
      </c>
      <c r="C2698" s="599">
        <f t="shared" si="543"/>
        <v>976.71</v>
      </c>
      <c r="D2698" s="599">
        <f>D239</f>
        <v>0.93</v>
      </c>
      <c r="E2698" s="599">
        <f t="shared" ref="E2698:I2699" si="547">E239</f>
        <v>300</v>
      </c>
      <c r="F2698" s="599">
        <f t="shared" si="547"/>
        <v>675.78000000000009</v>
      </c>
      <c r="G2698" s="599">
        <f t="shared" si="547"/>
        <v>0</v>
      </c>
      <c r="H2698" s="599">
        <f t="shared" si="547"/>
        <v>0</v>
      </c>
      <c r="I2698" s="599">
        <f t="shared" si="547"/>
        <v>0</v>
      </c>
    </row>
    <row r="2699" spans="1:9" ht="12.9" x14ac:dyDescent="0.35">
      <c r="A2699" s="43"/>
      <c r="B2699" s="38" t="s">
        <v>33</v>
      </c>
      <c r="C2699" s="599">
        <f t="shared" si="543"/>
        <v>976.71</v>
      </c>
      <c r="D2699" s="599">
        <f>D240</f>
        <v>0.93</v>
      </c>
      <c r="E2699" s="599">
        <f t="shared" si="547"/>
        <v>300</v>
      </c>
      <c r="F2699" s="599">
        <f t="shared" si="547"/>
        <v>675.78000000000009</v>
      </c>
      <c r="G2699" s="599">
        <f t="shared" si="547"/>
        <v>0</v>
      </c>
      <c r="H2699" s="599">
        <f t="shared" si="547"/>
        <v>0</v>
      </c>
      <c r="I2699" s="599">
        <f t="shared" si="547"/>
        <v>0</v>
      </c>
    </row>
    <row r="2700" spans="1:9" x14ac:dyDescent="0.3">
      <c r="A2700" s="991" t="s">
        <v>982</v>
      </c>
      <c r="B2700" s="992"/>
      <c r="C2700" s="992"/>
      <c r="D2700" s="992"/>
      <c r="E2700" s="992"/>
      <c r="F2700" s="992"/>
      <c r="G2700" s="992"/>
      <c r="H2700" s="992"/>
      <c r="I2700" s="993"/>
    </row>
    <row r="2701" spans="1:9" x14ac:dyDescent="0.3">
      <c r="A2701" s="994" t="s">
        <v>57</v>
      </c>
      <c r="B2701" s="995"/>
      <c r="C2701" s="995"/>
      <c r="D2701" s="995"/>
      <c r="E2701" s="995"/>
      <c r="F2701" s="995"/>
      <c r="G2701" s="995"/>
      <c r="H2701" s="995"/>
      <c r="I2701" s="996"/>
    </row>
    <row r="2702" spans="1:9" x14ac:dyDescent="0.3">
      <c r="A2702" s="605" t="s">
        <v>31</v>
      </c>
      <c r="B2702" s="56" t="s">
        <v>32</v>
      </c>
      <c r="C2702" s="48">
        <f t="shared" ref="C2702:C2719" si="548">D2702+E2702+F2702+G2702+H2702+I2702</f>
        <v>1711791.7</v>
      </c>
      <c r="D2702" s="49">
        <f t="shared" ref="D2702:I2703" si="549">D2704+D2727</f>
        <v>355932.48</v>
      </c>
      <c r="E2702" s="49">
        <f t="shared" si="549"/>
        <v>166466</v>
      </c>
      <c r="F2702" s="49">
        <f t="shared" si="549"/>
        <v>563934.20000000007</v>
      </c>
      <c r="G2702" s="49">
        <f t="shared" si="549"/>
        <v>300314.70999999996</v>
      </c>
      <c r="H2702" s="49">
        <f t="shared" si="549"/>
        <v>200921.91</v>
      </c>
      <c r="I2702" s="49">
        <f t="shared" si="549"/>
        <v>124222.40000000001</v>
      </c>
    </row>
    <row r="2703" spans="1:9" x14ac:dyDescent="0.3">
      <c r="A2703" s="37"/>
      <c r="B2703" s="38" t="s">
        <v>33</v>
      </c>
      <c r="C2703" s="48">
        <f t="shared" si="548"/>
        <v>1711791.7</v>
      </c>
      <c r="D2703" s="49">
        <f t="shared" si="549"/>
        <v>355932.48</v>
      </c>
      <c r="E2703" s="49">
        <f t="shared" si="549"/>
        <v>166466</v>
      </c>
      <c r="F2703" s="49">
        <f t="shared" si="549"/>
        <v>563934.20000000007</v>
      </c>
      <c r="G2703" s="49">
        <f t="shared" si="549"/>
        <v>300314.70999999996</v>
      </c>
      <c r="H2703" s="49">
        <f t="shared" si="549"/>
        <v>200921.91</v>
      </c>
      <c r="I2703" s="49">
        <f t="shared" si="549"/>
        <v>124222.40000000001</v>
      </c>
    </row>
    <row r="2704" spans="1:9" s="1" customFormat="1" x14ac:dyDescent="0.3">
      <c r="A2704" s="163" t="s">
        <v>63</v>
      </c>
      <c r="B2704" s="47" t="s">
        <v>32</v>
      </c>
      <c r="C2704" s="49">
        <f t="shared" si="548"/>
        <v>1608462.5799999998</v>
      </c>
      <c r="D2704" s="49">
        <f>D2706+D2708+D2710</f>
        <v>305165.26</v>
      </c>
      <c r="E2704" s="49">
        <f t="shared" ref="E2704:I2705" si="550">E2706+E2708+E2710</f>
        <v>131969</v>
      </c>
      <c r="F2704" s="49">
        <f t="shared" si="550"/>
        <v>551863.30000000005</v>
      </c>
      <c r="G2704" s="49">
        <f t="shared" si="550"/>
        <v>300314.70999999996</v>
      </c>
      <c r="H2704" s="49">
        <f t="shared" si="550"/>
        <v>200921.91</v>
      </c>
      <c r="I2704" s="49">
        <f t="shared" si="550"/>
        <v>118228.40000000001</v>
      </c>
    </row>
    <row r="2705" spans="1:9" s="1" customFormat="1" x14ac:dyDescent="0.3">
      <c r="A2705" s="88" t="s">
        <v>87</v>
      </c>
      <c r="B2705" s="53" t="s">
        <v>33</v>
      </c>
      <c r="C2705" s="49">
        <f t="shared" si="548"/>
        <v>1608462.5799999998</v>
      </c>
      <c r="D2705" s="49">
        <f>D2707+D2709+D2711</f>
        <v>305165.26</v>
      </c>
      <c r="E2705" s="49">
        <f t="shared" si="550"/>
        <v>131969</v>
      </c>
      <c r="F2705" s="49">
        <f t="shared" si="550"/>
        <v>551863.30000000005</v>
      </c>
      <c r="G2705" s="49">
        <f t="shared" si="550"/>
        <v>300314.70999999996</v>
      </c>
      <c r="H2705" s="49">
        <f t="shared" si="550"/>
        <v>200921.91</v>
      </c>
      <c r="I2705" s="49">
        <f t="shared" si="550"/>
        <v>118228.40000000001</v>
      </c>
    </row>
    <row r="2706" spans="1:9" s="157" customFormat="1" ht="25.75" x14ac:dyDescent="0.35">
      <c r="A2706" s="64" t="s">
        <v>122</v>
      </c>
      <c r="B2706" s="150" t="s">
        <v>32</v>
      </c>
      <c r="C2706" s="143">
        <f t="shared" si="548"/>
        <v>738496.88</v>
      </c>
      <c r="D2706" s="143">
        <f>D484</f>
        <v>0</v>
      </c>
      <c r="E2706" s="143">
        <f t="shared" ref="E2706:I2707" si="551">E484</f>
        <v>16146</v>
      </c>
      <c r="F2706" s="143">
        <f t="shared" si="551"/>
        <v>200708.5</v>
      </c>
      <c r="G2706" s="143">
        <f t="shared" si="551"/>
        <v>211141</v>
      </c>
      <c r="H2706" s="143">
        <f t="shared" si="551"/>
        <v>200367</v>
      </c>
      <c r="I2706" s="143">
        <f t="shared" si="551"/>
        <v>110134.38</v>
      </c>
    </row>
    <row r="2707" spans="1:9" s="157" customFormat="1" ht="12.9" x14ac:dyDescent="0.35">
      <c r="A2707" s="52"/>
      <c r="B2707" s="99" t="s">
        <v>33</v>
      </c>
      <c r="C2707" s="143">
        <f t="shared" si="548"/>
        <v>738496.88</v>
      </c>
      <c r="D2707" s="143">
        <f>D485</f>
        <v>0</v>
      </c>
      <c r="E2707" s="143">
        <f t="shared" si="551"/>
        <v>16146</v>
      </c>
      <c r="F2707" s="143">
        <f t="shared" si="551"/>
        <v>200708.5</v>
      </c>
      <c r="G2707" s="143">
        <f t="shared" si="551"/>
        <v>211141</v>
      </c>
      <c r="H2707" s="143">
        <f t="shared" si="551"/>
        <v>200367</v>
      </c>
      <c r="I2707" s="143">
        <f t="shared" si="551"/>
        <v>110134.38</v>
      </c>
    </row>
    <row r="2708" spans="1:9" s="168" customFormat="1" ht="12.9" x14ac:dyDescent="0.35">
      <c r="A2708" s="45" t="s">
        <v>37</v>
      </c>
      <c r="B2708" s="74" t="s">
        <v>32</v>
      </c>
      <c r="C2708" s="59">
        <f t="shared" si="548"/>
        <v>188327</v>
      </c>
      <c r="D2708" s="49">
        <f t="shared" ref="D2708:I2709" si="552">D253+D2055</f>
        <v>186210</v>
      </c>
      <c r="E2708" s="49">
        <f t="shared" si="552"/>
        <v>318</v>
      </c>
      <c r="F2708" s="49">
        <f t="shared" si="552"/>
        <v>249</v>
      </c>
      <c r="G2708" s="49">
        <f t="shared" si="552"/>
        <v>1550</v>
      </c>
      <c r="H2708" s="49">
        <f t="shared" si="552"/>
        <v>0</v>
      </c>
      <c r="I2708" s="49">
        <f t="shared" si="552"/>
        <v>0</v>
      </c>
    </row>
    <row r="2709" spans="1:9" s="168" customFormat="1" ht="12.9" x14ac:dyDescent="0.35">
      <c r="A2709" s="43" t="s">
        <v>38</v>
      </c>
      <c r="B2709" s="53" t="s">
        <v>33</v>
      </c>
      <c r="C2709" s="49">
        <f t="shared" si="548"/>
        <v>188327</v>
      </c>
      <c r="D2709" s="49">
        <f t="shared" si="552"/>
        <v>186210</v>
      </c>
      <c r="E2709" s="49">
        <f t="shared" si="552"/>
        <v>318</v>
      </c>
      <c r="F2709" s="49">
        <f t="shared" si="552"/>
        <v>249</v>
      </c>
      <c r="G2709" s="49">
        <f t="shared" si="552"/>
        <v>1550</v>
      </c>
      <c r="H2709" s="49">
        <f t="shared" si="552"/>
        <v>0</v>
      </c>
      <c r="I2709" s="49">
        <f t="shared" si="552"/>
        <v>0</v>
      </c>
    </row>
    <row r="2710" spans="1:9" ht="12.9" x14ac:dyDescent="0.35">
      <c r="A2710" s="54" t="s">
        <v>40</v>
      </c>
      <c r="B2710" s="35" t="s">
        <v>32</v>
      </c>
      <c r="C2710" s="598">
        <f t="shared" si="548"/>
        <v>681638.70000000007</v>
      </c>
      <c r="D2710" s="598">
        <f t="shared" ref="D2710:I2711" si="553">D267+D490+D1447+D2059+D2598</f>
        <v>118955.26000000001</v>
      </c>
      <c r="E2710" s="598">
        <f t="shared" si="553"/>
        <v>115505</v>
      </c>
      <c r="F2710" s="598">
        <f t="shared" si="553"/>
        <v>350905.80000000005</v>
      </c>
      <c r="G2710" s="598">
        <f t="shared" si="553"/>
        <v>87623.709999999992</v>
      </c>
      <c r="H2710" s="598">
        <f t="shared" si="553"/>
        <v>554.9100000000002</v>
      </c>
      <c r="I2710" s="598">
        <f t="shared" si="553"/>
        <v>8094.0199999999995</v>
      </c>
    </row>
    <row r="2711" spans="1:9" ht="12.9" x14ac:dyDescent="0.35">
      <c r="A2711" s="43"/>
      <c r="B2711" s="38" t="s">
        <v>33</v>
      </c>
      <c r="C2711" s="598">
        <f t="shared" si="548"/>
        <v>681638.70000000007</v>
      </c>
      <c r="D2711" s="598">
        <f t="shared" si="553"/>
        <v>118955.26000000001</v>
      </c>
      <c r="E2711" s="598">
        <f t="shared" si="553"/>
        <v>115505</v>
      </c>
      <c r="F2711" s="598">
        <f t="shared" si="553"/>
        <v>350905.80000000005</v>
      </c>
      <c r="G2711" s="598">
        <f t="shared" si="553"/>
        <v>87623.709999999992</v>
      </c>
      <c r="H2711" s="598">
        <f t="shared" si="553"/>
        <v>554.9100000000002</v>
      </c>
      <c r="I2711" s="598">
        <f t="shared" si="553"/>
        <v>8094.0199999999995</v>
      </c>
    </row>
    <row r="2712" spans="1:9" ht="0.75" customHeight="1" x14ac:dyDescent="0.35">
      <c r="A2712" s="250" t="s">
        <v>983</v>
      </c>
      <c r="B2712" s="74" t="s">
        <v>32</v>
      </c>
      <c r="C2712" s="48" t="e">
        <f t="shared" si="548"/>
        <v>#REF!</v>
      </c>
      <c r="D2712" s="49" t="e">
        <f>#REF!</f>
        <v>#REF!</v>
      </c>
      <c r="E2712" s="49" t="e">
        <f>#REF!</f>
        <v>#REF!</v>
      </c>
      <c r="F2712" s="49" t="e">
        <f>#REF!</f>
        <v>#REF!</v>
      </c>
      <c r="G2712" s="49" t="e">
        <f>#REF!</f>
        <v>#REF!</v>
      </c>
      <c r="H2712" s="49" t="e">
        <f>#REF!</f>
        <v>#REF!</v>
      </c>
      <c r="I2712" s="49" t="e">
        <f>#REF!</f>
        <v>#REF!</v>
      </c>
    </row>
    <row r="2713" spans="1:9" ht="12.9" hidden="1" x14ac:dyDescent="0.35">
      <c r="A2713" s="52" t="s">
        <v>38</v>
      </c>
      <c r="B2713" s="74" t="s">
        <v>33</v>
      </c>
      <c r="C2713" s="48" t="e">
        <f t="shared" si="548"/>
        <v>#REF!</v>
      </c>
      <c r="D2713" s="49" t="e">
        <f>#REF!</f>
        <v>#REF!</v>
      </c>
      <c r="E2713" s="49" t="e">
        <f>#REF!</f>
        <v>#REF!</v>
      </c>
      <c r="F2713" s="49" t="e">
        <f>#REF!</f>
        <v>#REF!</v>
      </c>
      <c r="G2713" s="49" t="e">
        <f>#REF!</f>
        <v>#REF!</v>
      </c>
      <c r="H2713" s="49" t="e">
        <f>#REF!</f>
        <v>#REF!</v>
      </c>
      <c r="I2713" s="49" t="e">
        <f>#REF!</f>
        <v>#REF!</v>
      </c>
    </row>
    <row r="2714" spans="1:9" ht="12.9" hidden="1" x14ac:dyDescent="0.35">
      <c r="A2714" s="54" t="s">
        <v>40</v>
      </c>
      <c r="B2714" s="35" t="s">
        <v>32</v>
      </c>
      <c r="C2714" s="48" t="e">
        <f t="shared" si="548"/>
        <v>#REF!</v>
      </c>
      <c r="D2714" s="49" t="e">
        <f>D267+D490+#REF!+D2059+D2579+#REF!</f>
        <v>#REF!</v>
      </c>
      <c r="E2714" s="49" t="e">
        <f>E267+E490+#REF!+E2059+E2579+#REF!</f>
        <v>#REF!</v>
      </c>
      <c r="F2714" s="49" t="e">
        <f>F267+F490+#REF!+F2059+F2579+#REF!</f>
        <v>#REF!</v>
      </c>
      <c r="G2714" s="49" t="e">
        <f>G267+G490+#REF!+G2059+G2579+#REF!</f>
        <v>#REF!</v>
      </c>
      <c r="H2714" s="49" t="e">
        <f>H267+H490+#REF!+H2059+H2579+#REF!</f>
        <v>#REF!</v>
      </c>
      <c r="I2714" s="49" t="e">
        <f>I267+I490+#REF!+I2059+I2579+#REF!</f>
        <v>#REF!</v>
      </c>
    </row>
    <row r="2715" spans="1:9" ht="12.9" hidden="1" x14ac:dyDescent="0.35">
      <c r="A2715" s="43"/>
      <c r="B2715" s="38" t="s">
        <v>33</v>
      </c>
      <c r="C2715" s="48" t="e">
        <f t="shared" si="548"/>
        <v>#REF!</v>
      </c>
      <c r="D2715" s="49" t="e">
        <f>D268+D491+#REF!+D2060+D2580+#REF!</f>
        <v>#REF!</v>
      </c>
      <c r="E2715" s="49" t="e">
        <f>E268+E491+#REF!+E2060+E2580+#REF!</f>
        <v>#REF!</v>
      </c>
      <c r="F2715" s="49" t="e">
        <f>F268+F491+#REF!+F2060+F2580+#REF!</f>
        <v>#REF!</v>
      </c>
      <c r="G2715" s="49" t="e">
        <f>G268+G491+#REF!+G2060+G2580+#REF!</f>
        <v>#REF!</v>
      </c>
      <c r="H2715" s="49" t="e">
        <f>H268+H491+#REF!+H2060+H2580+#REF!</f>
        <v>#REF!</v>
      </c>
      <c r="I2715" s="49" t="e">
        <f>I268+I491+#REF!+I2060+I2580+#REF!</f>
        <v>#REF!</v>
      </c>
    </row>
    <row r="2716" spans="1:9" hidden="1" x14ac:dyDescent="0.3">
      <c r="A2716" s="34" t="s">
        <v>50</v>
      </c>
      <c r="B2716" s="47" t="s">
        <v>32</v>
      </c>
      <c r="C2716" s="48" t="e">
        <f t="shared" si="548"/>
        <v>#REF!</v>
      </c>
      <c r="D2716" s="48" t="e">
        <f>D2718</f>
        <v>#REF!</v>
      </c>
      <c r="E2716" s="48" t="e">
        <f t="shared" ref="E2716:I2717" si="554">E2718</f>
        <v>#REF!</v>
      </c>
      <c r="F2716" s="48" t="e">
        <f t="shared" si="554"/>
        <v>#REF!</v>
      </c>
      <c r="G2716" s="48" t="e">
        <f t="shared" si="554"/>
        <v>#REF!</v>
      </c>
      <c r="H2716" s="48" t="e">
        <f t="shared" si="554"/>
        <v>#REF!</v>
      </c>
      <c r="I2716" s="48" t="e">
        <f t="shared" si="554"/>
        <v>#REF!</v>
      </c>
    </row>
    <row r="2717" spans="1:9" hidden="1" x14ac:dyDescent="0.3">
      <c r="A2717" s="63" t="s">
        <v>51</v>
      </c>
      <c r="B2717" s="167" t="s">
        <v>33</v>
      </c>
      <c r="C2717" s="48" t="e">
        <f t="shared" si="548"/>
        <v>#REF!</v>
      </c>
      <c r="D2717" s="48" t="e">
        <f>D2719</f>
        <v>#REF!</v>
      </c>
      <c r="E2717" s="48" t="e">
        <f t="shared" si="554"/>
        <v>#REF!</v>
      </c>
      <c r="F2717" s="48" t="e">
        <f t="shared" si="554"/>
        <v>#REF!</v>
      </c>
      <c r="G2717" s="48" t="e">
        <f t="shared" si="554"/>
        <v>#REF!</v>
      </c>
      <c r="H2717" s="48" t="e">
        <f t="shared" si="554"/>
        <v>#REF!</v>
      </c>
      <c r="I2717" s="48" t="e">
        <f t="shared" si="554"/>
        <v>#REF!</v>
      </c>
    </row>
    <row r="2718" spans="1:9" ht="12.9" hidden="1" x14ac:dyDescent="0.35">
      <c r="A2718" s="54" t="s">
        <v>40</v>
      </c>
      <c r="B2718" s="35" t="s">
        <v>32</v>
      </c>
      <c r="C2718" s="48" t="e">
        <f t="shared" si="548"/>
        <v>#REF!</v>
      </c>
      <c r="D2718" s="48" t="e">
        <f>#REF!</f>
        <v>#REF!</v>
      </c>
      <c r="E2718" s="48" t="e">
        <f>#REF!</f>
        <v>#REF!</v>
      </c>
      <c r="F2718" s="48" t="e">
        <f>#REF!</f>
        <v>#REF!</v>
      </c>
      <c r="G2718" s="48" t="e">
        <f>#REF!</f>
        <v>#REF!</v>
      </c>
      <c r="H2718" s="48" t="e">
        <f>#REF!</f>
        <v>#REF!</v>
      </c>
      <c r="I2718" s="48" t="e">
        <f>#REF!</f>
        <v>#REF!</v>
      </c>
    </row>
    <row r="2719" spans="1:9" ht="12.9" hidden="1" x14ac:dyDescent="0.35">
      <c r="A2719" s="43"/>
      <c r="B2719" s="38" t="s">
        <v>33</v>
      </c>
      <c r="C2719" s="48" t="e">
        <f t="shared" si="548"/>
        <v>#REF!</v>
      </c>
      <c r="D2719" s="48" t="e">
        <f>#REF!</f>
        <v>#REF!</v>
      </c>
      <c r="E2719" s="48" t="e">
        <f>#REF!</f>
        <v>#REF!</v>
      </c>
      <c r="F2719" s="48" t="e">
        <f>#REF!</f>
        <v>#REF!</v>
      </c>
      <c r="G2719" s="48" t="e">
        <f>#REF!</f>
        <v>#REF!</v>
      </c>
      <c r="H2719" s="48" t="e">
        <f>#REF!</f>
        <v>#REF!</v>
      </c>
      <c r="I2719" s="48" t="e">
        <f>#REF!</f>
        <v>#REF!</v>
      </c>
    </row>
    <row r="2720" spans="1:9" hidden="1" x14ac:dyDescent="0.3">
      <c r="A2720" s="997" t="s">
        <v>984</v>
      </c>
      <c r="B2720" s="998"/>
      <c r="C2720" s="998"/>
      <c r="D2720" s="998"/>
      <c r="E2720" s="998"/>
      <c r="F2720" s="998"/>
      <c r="G2720" s="998"/>
      <c r="H2720" s="998"/>
      <c r="I2720" s="999"/>
    </row>
    <row r="2721" spans="1:9" hidden="1" x14ac:dyDescent="0.3">
      <c r="A2721" s="518" t="s">
        <v>57</v>
      </c>
      <c r="B2721" s="47" t="s">
        <v>32</v>
      </c>
      <c r="C2721" s="48" t="e">
        <f t="shared" ref="C2721:C2732" si="555">D2721+E2721+F2721+G2721+H2721+I2721</f>
        <v>#REF!</v>
      </c>
      <c r="D2721" s="48" t="e">
        <f t="shared" ref="D2721:I2724" si="556">D2723</f>
        <v>#REF!</v>
      </c>
      <c r="E2721" s="41" t="e">
        <f t="shared" si="556"/>
        <v>#REF!</v>
      </c>
      <c r="F2721" s="48" t="e">
        <f t="shared" si="556"/>
        <v>#REF!</v>
      </c>
      <c r="G2721" s="48" t="e">
        <f t="shared" si="556"/>
        <v>#REF!</v>
      </c>
      <c r="H2721" s="48" t="e">
        <f t="shared" si="556"/>
        <v>#REF!</v>
      </c>
      <c r="I2721" s="48" t="e">
        <f t="shared" si="556"/>
        <v>#REF!</v>
      </c>
    </row>
    <row r="2722" spans="1:9" hidden="1" x14ac:dyDescent="0.3">
      <c r="A2722" s="525" t="s">
        <v>87</v>
      </c>
      <c r="B2722" s="53" t="s">
        <v>33</v>
      </c>
      <c r="C2722" s="48" t="e">
        <f t="shared" si="555"/>
        <v>#REF!</v>
      </c>
      <c r="D2722" s="48" t="e">
        <f t="shared" si="556"/>
        <v>#REF!</v>
      </c>
      <c r="E2722" s="41" t="e">
        <f t="shared" si="556"/>
        <v>#REF!</v>
      </c>
      <c r="F2722" s="48" t="e">
        <f t="shared" si="556"/>
        <v>#REF!</v>
      </c>
      <c r="G2722" s="48" t="e">
        <f t="shared" si="556"/>
        <v>#REF!</v>
      </c>
      <c r="H2722" s="48" t="e">
        <f t="shared" si="556"/>
        <v>#REF!</v>
      </c>
      <c r="I2722" s="48" t="e">
        <f t="shared" si="556"/>
        <v>#REF!</v>
      </c>
    </row>
    <row r="2723" spans="1:9" hidden="1" x14ac:dyDescent="0.3">
      <c r="A2723" s="593" t="s">
        <v>50</v>
      </c>
      <c r="B2723" s="47" t="s">
        <v>32</v>
      </c>
      <c r="C2723" s="48" t="e">
        <f t="shared" si="555"/>
        <v>#REF!</v>
      </c>
      <c r="D2723" s="48" t="e">
        <f>D2725</f>
        <v>#REF!</v>
      </c>
      <c r="E2723" s="48" t="e">
        <f t="shared" si="556"/>
        <v>#REF!</v>
      </c>
      <c r="F2723" s="48" t="e">
        <f t="shared" si="556"/>
        <v>#REF!</v>
      </c>
      <c r="G2723" s="48" t="e">
        <f t="shared" si="556"/>
        <v>#REF!</v>
      </c>
      <c r="H2723" s="48" t="e">
        <f t="shared" si="556"/>
        <v>#REF!</v>
      </c>
      <c r="I2723" s="48" t="e">
        <f t="shared" si="556"/>
        <v>#REF!</v>
      </c>
    </row>
    <row r="2724" spans="1:9" hidden="1" x14ac:dyDescent="0.3">
      <c r="A2724" s="386" t="s">
        <v>51</v>
      </c>
      <c r="B2724" s="53" t="s">
        <v>33</v>
      </c>
      <c r="C2724" s="48" t="e">
        <f t="shared" si="555"/>
        <v>#REF!</v>
      </c>
      <c r="D2724" s="48" t="e">
        <f>D2726</f>
        <v>#REF!</v>
      </c>
      <c r="E2724" s="48" t="e">
        <f t="shared" si="556"/>
        <v>#REF!</v>
      </c>
      <c r="F2724" s="48" t="e">
        <f t="shared" si="556"/>
        <v>#REF!</v>
      </c>
      <c r="G2724" s="48" t="e">
        <f t="shared" si="556"/>
        <v>#REF!</v>
      </c>
      <c r="H2724" s="48" t="e">
        <f t="shared" si="556"/>
        <v>#REF!</v>
      </c>
      <c r="I2724" s="48" t="e">
        <f t="shared" si="556"/>
        <v>#REF!</v>
      </c>
    </row>
    <row r="2725" spans="1:9" ht="12.9" hidden="1" x14ac:dyDescent="0.35">
      <c r="A2725" s="54" t="s">
        <v>40</v>
      </c>
      <c r="B2725" s="35" t="s">
        <v>32</v>
      </c>
      <c r="C2725" s="48" t="e">
        <f t="shared" si="555"/>
        <v>#REF!</v>
      </c>
      <c r="D2725" s="48" t="e">
        <f>#REF!</f>
        <v>#REF!</v>
      </c>
      <c r="E2725" s="48" t="e">
        <f>#REF!</f>
        <v>#REF!</v>
      </c>
      <c r="F2725" s="48" t="e">
        <f>#REF!</f>
        <v>#REF!</v>
      </c>
      <c r="G2725" s="48" t="e">
        <f>#REF!</f>
        <v>#REF!</v>
      </c>
      <c r="H2725" s="48" t="e">
        <f>#REF!</f>
        <v>#REF!</v>
      </c>
      <c r="I2725" s="48" t="e">
        <f>#REF!</f>
        <v>#REF!</v>
      </c>
    </row>
    <row r="2726" spans="1:9" ht="12" hidden="1" customHeight="1" x14ac:dyDescent="0.35">
      <c r="A2726" s="43"/>
      <c r="B2726" s="38" t="s">
        <v>33</v>
      </c>
      <c r="C2726" s="48" t="e">
        <f t="shared" si="555"/>
        <v>#REF!</v>
      </c>
      <c r="D2726" s="48" t="e">
        <f>#REF!</f>
        <v>#REF!</v>
      </c>
      <c r="E2726" s="48" t="e">
        <f>#REF!</f>
        <v>#REF!</v>
      </c>
      <c r="F2726" s="48" t="e">
        <f>#REF!</f>
        <v>#REF!</v>
      </c>
      <c r="G2726" s="48" t="e">
        <f>#REF!</f>
        <v>#REF!</v>
      </c>
      <c r="H2726" s="48" t="e">
        <f>#REF!</f>
        <v>#REF!</v>
      </c>
      <c r="I2726" s="48" t="e">
        <f>#REF!</f>
        <v>#REF!</v>
      </c>
    </row>
    <row r="2727" spans="1:9" s="42" customFormat="1" x14ac:dyDescent="0.3">
      <c r="A2727" s="79" t="s">
        <v>47</v>
      </c>
      <c r="B2727" s="151" t="s">
        <v>32</v>
      </c>
      <c r="C2727" s="41">
        <f t="shared" si="555"/>
        <v>103329.12</v>
      </c>
      <c r="D2727" s="41">
        <f>D2729+D2731</f>
        <v>50767.22</v>
      </c>
      <c r="E2727" s="41">
        <f t="shared" ref="E2727:I2728" si="557">E2729+E2731</f>
        <v>34497</v>
      </c>
      <c r="F2727" s="41">
        <f t="shared" si="557"/>
        <v>12070.900000000001</v>
      </c>
      <c r="G2727" s="41">
        <f t="shared" si="557"/>
        <v>0</v>
      </c>
      <c r="H2727" s="41">
        <f t="shared" si="557"/>
        <v>0</v>
      </c>
      <c r="I2727" s="41">
        <f t="shared" si="557"/>
        <v>5994</v>
      </c>
    </row>
    <row r="2728" spans="1:9" s="42" customFormat="1" x14ac:dyDescent="0.3">
      <c r="A2728" s="63" t="s">
        <v>35</v>
      </c>
      <c r="B2728" s="44" t="s">
        <v>33</v>
      </c>
      <c r="C2728" s="41">
        <f t="shared" si="555"/>
        <v>103329.12</v>
      </c>
      <c r="D2728" s="41">
        <f>D2730+D2732</f>
        <v>50767.22</v>
      </c>
      <c r="E2728" s="41">
        <f t="shared" si="557"/>
        <v>34497</v>
      </c>
      <c r="F2728" s="41">
        <f t="shared" si="557"/>
        <v>12070.900000000001</v>
      </c>
      <c r="G2728" s="41">
        <f t="shared" si="557"/>
        <v>0</v>
      </c>
      <c r="H2728" s="41">
        <f t="shared" si="557"/>
        <v>0</v>
      </c>
      <c r="I2728" s="41">
        <f t="shared" si="557"/>
        <v>5994</v>
      </c>
    </row>
    <row r="2729" spans="1:9" s="42" customFormat="1" ht="12.9" x14ac:dyDescent="0.35">
      <c r="A2729" s="45" t="s">
        <v>37</v>
      </c>
      <c r="B2729" s="507" t="s">
        <v>32</v>
      </c>
      <c r="C2729" s="41">
        <f t="shared" si="555"/>
        <v>36442</v>
      </c>
      <c r="D2729" s="41">
        <f>D261</f>
        <v>30448</v>
      </c>
      <c r="E2729" s="41">
        <f t="shared" ref="E2729:I2730" si="558">E261</f>
        <v>0</v>
      </c>
      <c r="F2729" s="41">
        <f t="shared" si="558"/>
        <v>0</v>
      </c>
      <c r="G2729" s="41">
        <f t="shared" si="558"/>
        <v>0</v>
      </c>
      <c r="H2729" s="41">
        <f t="shared" si="558"/>
        <v>0</v>
      </c>
      <c r="I2729" s="41">
        <f t="shared" si="558"/>
        <v>5994</v>
      </c>
    </row>
    <row r="2730" spans="1:9" s="42" customFormat="1" ht="12.9" x14ac:dyDescent="0.35">
      <c r="A2730" s="43" t="s">
        <v>38</v>
      </c>
      <c r="B2730" s="86" t="s">
        <v>33</v>
      </c>
      <c r="C2730" s="41">
        <f t="shared" si="555"/>
        <v>36442</v>
      </c>
      <c r="D2730" s="41">
        <f>D262</f>
        <v>30448</v>
      </c>
      <c r="E2730" s="41">
        <f t="shared" si="558"/>
        <v>0</v>
      </c>
      <c r="F2730" s="41">
        <f t="shared" si="558"/>
        <v>0</v>
      </c>
      <c r="G2730" s="41">
        <f t="shared" si="558"/>
        <v>0</v>
      </c>
      <c r="H2730" s="41">
        <f t="shared" si="558"/>
        <v>0</v>
      </c>
      <c r="I2730" s="41">
        <f t="shared" si="558"/>
        <v>5994</v>
      </c>
    </row>
    <row r="2731" spans="1:9" ht="12.9" x14ac:dyDescent="0.35">
      <c r="A2731" s="54" t="s">
        <v>40</v>
      </c>
      <c r="B2731" s="35" t="s">
        <v>32</v>
      </c>
      <c r="C2731" s="598">
        <f t="shared" si="555"/>
        <v>66887.12</v>
      </c>
      <c r="D2731" s="598">
        <f>D343</f>
        <v>20319.22</v>
      </c>
      <c r="E2731" s="598">
        <f t="shared" ref="E2731:I2732" si="559">E343</f>
        <v>34497</v>
      </c>
      <c r="F2731" s="598">
        <f t="shared" si="559"/>
        <v>12070.900000000001</v>
      </c>
      <c r="G2731" s="598">
        <f t="shared" si="559"/>
        <v>0</v>
      </c>
      <c r="H2731" s="598">
        <f t="shared" si="559"/>
        <v>0</v>
      </c>
      <c r="I2731" s="598">
        <f t="shared" si="559"/>
        <v>0</v>
      </c>
    </row>
    <row r="2732" spans="1:9" ht="12.9" x14ac:dyDescent="0.35">
      <c r="A2732" s="43"/>
      <c r="B2732" s="38" t="s">
        <v>33</v>
      </c>
      <c r="C2732" s="598">
        <f t="shared" si="555"/>
        <v>66887.12</v>
      </c>
      <c r="D2732" s="598">
        <f>D344</f>
        <v>20319.22</v>
      </c>
      <c r="E2732" s="598">
        <f t="shared" si="559"/>
        <v>34497</v>
      </c>
      <c r="F2732" s="598">
        <f t="shared" si="559"/>
        <v>12070.900000000001</v>
      </c>
      <c r="G2732" s="598">
        <f t="shared" si="559"/>
        <v>0</v>
      </c>
      <c r="H2732" s="598">
        <f t="shared" si="559"/>
        <v>0</v>
      </c>
      <c r="I2732" s="598">
        <f t="shared" si="559"/>
        <v>0</v>
      </c>
    </row>
    <row r="2733" spans="1:9" ht="12.9" x14ac:dyDescent="0.35">
      <c r="A2733" s="606"/>
      <c r="C2733" s="607"/>
      <c r="D2733" s="607"/>
      <c r="E2733" s="607"/>
      <c r="F2733" s="607"/>
      <c r="G2733" s="607"/>
      <c r="H2733" s="607"/>
      <c r="I2733" s="607"/>
    </row>
    <row r="2734" spans="1:9" ht="12.9" x14ac:dyDescent="0.35">
      <c r="A2734" s="606"/>
      <c r="C2734" s="607"/>
      <c r="D2734" s="607"/>
      <c r="E2734" s="607"/>
      <c r="F2734" s="607"/>
      <c r="G2734" s="607"/>
      <c r="H2734" s="607"/>
      <c r="I2734" s="607"/>
    </row>
    <row r="2735" spans="1:9" ht="12.9" x14ac:dyDescent="0.35">
      <c r="A2735" s="606"/>
      <c r="C2735" s="607"/>
      <c r="D2735" s="607"/>
      <c r="E2735" s="607"/>
      <c r="F2735" s="607"/>
      <c r="G2735" s="607"/>
      <c r="H2735" s="607"/>
      <c r="I2735" s="607"/>
    </row>
    <row r="2736" spans="1:9" ht="12.9" x14ac:dyDescent="0.35">
      <c r="A2736" s="606"/>
      <c r="C2736" s="607"/>
      <c r="D2736" s="607"/>
      <c r="E2736" s="607"/>
      <c r="F2736" s="607"/>
      <c r="G2736" s="607"/>
      <c r="H2736" s="607"/>
      <c r="I2736" s="607"/>
    </row>
    <row r="2737" spans="1:9" ht="14.25" customHeight="1" x14ac:dyDescent="0.3">
      <c r="A2737" s="608" t="s">
        <v>985</v>
      </c>
      <c r="B2737" s="1000" t="s">
        <v>986</v>
      </c>
      <c r="C2737" s="1000"/>
      <c r="D2737" s="1000"/>
      <c r="E2737" s="1001"/>
      <c r="F2737" s="1001"/>
      <c r="G2737" s="1001"/>
      <c r="H2737" s="1001"/>
      <c r="I2737" s="1001"/>
    </row>
    <row r="2738" spans="1:9" x14ac:dyDescent="0.3">
      <c r="A2738" s="609" t="s">
        <v>987</v>
      </c>
      <c r="B2738" s="979" t="s">
        <v>988</v>
      </c>
      <c r="C2738" s="979"/>
      <c r="D2738" s="979"/>
      <c r="E2738" s="980"/>
      <c r="F2738" s="980"/>
      <c r="G2738" s="980"/>
      <c r="H2738" s="980"/>
      <c r="I2738" s="980"/>
    </row>
    <row r="2739" spans="1:9" x14ac:dyDescent="0.3">
      <c r="A2739" s="7" t="s">
        <v>989</v>
      </c>
      <c r="B2739" s="981" t="s">
        <v>990</v>
      </c>
      <c r="C2739" s="982"/>
      <c r="D2739" s="982"/>
      <c r="E2739" s="983"/>
      <c r="F2739" s="983"/>
      <c r="G2739" s="983"/>
      <c r="H2739" s="983"/>
      <c r="I2739" s="983"/>
    </row>
    <row r="2740" spans="1:9" x14ac:dyDescent="0.3">
      <c r="A2740" s="7"/>
      <c r="B2740" s="258"/>
      <c r="C2740" s="2"/>
    </row>
    <row r="2741" spans="1:9" x14ac:dyDescent="0.3">
      <c r="A2741" s="7"/>
      <c r="B2741" s="258"/>
      <c r="C2741" s="2"/>
    </row>
    <row r="2742" spans="1:9" x14ac:dyDescent="0.3">
      <c r="A2742" s="7"/>
      <c r="B2742" s="258"/>
      <c r="C2742" s="2"/>
    </row>
    <row r="2743" spans="1:9" x14ac:dyDescent="0.3">
      <c r="A2743" s="7"/>
      <c r="B2743" s="258"/>
      <c r="C2743" s="2"/>
    </row>
    <row r="2744" spans="1:9" ht="12.75" customHeight="1" x14ac:dyDescent="0.3">
      <c r="A2744" s="984" t="s">
        <v>991</v>
      </c>
      <c r="B2744" s="984"/>
      <c r="C2744" s="42"/>
      <c r="D2744"/>
      <c r="F2744" s="978"/>
      <c r="G2744" s="978"/>
    </row>
    <row r="2745" spans="1:9" x14ac:dyDescent="0.3">
      <c r="A2745" s="984" t="s">
        <v>992</v>
      </c>
      <c r="B2745" s="984"/>
      <c r="C2745" s="7"/>
      <c r="D2745"/>
      <c r="F2745" s="978"/>
      <c r="G2745" s="978"/>
    </row>
    <row r="2746" spans="1:9" x14ac:dyDescent="0.3">
      <c r="A2746" s="7"/>
      <c r="B2746"/>
      <c r="D2746"/>
      <c r="F2746" s="7"/>
      <c r="G2746" s="7"/>
    </row>
    <row r="2747" spans="1:9" x14ac:dyDescent="0.3">
      <c r="A2747" s="7"/>
      <c r="B2747"/>
      <c r="D2747"/>
      <c r="F2747" s="7"/>
      <c r="G2747" s="978"/>
      <c r="H2747" s="978"/>
      <c r="I2747" s="978"/>
    </row>
    <row r="2748" spans="1:9" x14ac:dyDescent="0.3">
      <c r="G2748" s="978"/>
      <c r="H2748" s="978"/>
      <c r="I2748" s="978"/>
    </row>
    <row r="2749" spans="1:9" x14ac:dyDescent="0.3">
      <c r="G2749" s="978"/>
      <c r="H2749" s="978"/>
      <c r="I2749" s="978"/>
    </row>
    <row r="2750" spans="1:9" x14ac:dyDescent="0.3">
      <c r="A2750" s="42"/>
    </row>
    <row r="2751" spans="1:9" x14ac:dyDescent="0.3">
      <c r="A2751" s="42"/>
    </row>
  </sheetData>
  <mergeCells count="273">
    <mergeCell ref="A11:I11"/>
    <mergeCell ref="F13:I13"/>
    <mergeCell ref="F14:I14"/>
    <mergeCell ref="F15:I15"/>
    <mergeCell ref="A17:I17"/>
    <mergeCell ref="A18:I18"/>
    <mergeCell ref="F1:I1"/>
    <mergeCell ref="A3:I3"/>
    <mergeCell ref="A4:I4"/>
    <mergeCell ref="A5:I5"/>
    <mergeCell ref="A9:I9"/>
    <mergeCell ref="A10:I10"/>
    <mergeCell ref="A76:I76"/>
    <mergeCell ref="A77:I77"/>
    <mergeCell ref="A110:I110"/>
    <mergeCell ref="A111:I111"/>
    <mergeCell ref="J118:O119"/>
    <mergeCell ref="J120:O121"/>
    <mergeCell ref="H20:I20"/>
    <mergeCell ref="E21:E24"/>
    <mergeCell ref="F21:F24"/>
    <mergeCell ref="G21:G24"/>
    <mergeCell ref="H21:H24"/>
    <mergeCell ref="I21:I24"/>
    <mergeCell ref="J150:P151"/>
    <mergeCell ref="J152:O153"/>
    <mergeCell ref="J164:N165"/>
    <mergeCell ref="J166:N167"/>
    <mergeCell ref="J170:N171"/>
    <mergeCell ref="J172:N173"/>
    <mergeCell ref="J126:N127"/>
    <mergeCell ref="J128:N129"/>
    <mergeCell ref="J130:P131"/>
    <mergeCell ref="J132:O133"/>
    <mergeCell ref="J134:O135"/>
    <mergeCell ref="J140:O141"/>
    <mergeCell ref="A207:I207"/>
    <mergeCell ref="J216:Q217"/>
    <mergeCell ref="K218:Q219"/>
    <mergeCell ref="K220:P221"/>
    <mergeCell ref="K222:Q223"/>
    <mergeCell ref="J224:M224"/>
    <mergeCell ref="J174:N175"/>
    <mergeCell ref="A178:I178"/>
    <mergeCell ref="J187:O188"/>
    <mergeCell ref="J197:O198"/>
    <mergeCell ref="J201:P202"/>
    <mergeCell ref="J205:Q206"/>
    <mergeCell ref="A255:A256"/>
    <mergeCell ref="J257:O258"/>
    <mergeCell ref="A263:A264"/>
    <mergeCell ref="J263:O264"/>
    <mergeCell ref="J265:O266"/>
    <mergeCell ref="J273:O274"/>
    <mergeCell ref="J225:M225"/>
    <mergeCell ref="J226:R227"/>
    <mergeCell ref="J228:R229"/>
    <mergeCell ref="A230:I230"/>
    <mergeCell ref="A247:I247"/>
    <mergeCell ref="A248:I248"/>
    <mergeCell ref="J287:M288"/>
    <mergeCell ref="J289:O290"/>
    <mergeCell ref="A291:A292"/>
    <mergeCell ref="A293:A294"/>
    <mergeCell ref="J293:Q294"/>
    <mergeCell ref="J303:O304"/>
    <mergeCell ref="J275:Q276"/>
    <mergeCell ref="J277:Q278"/>
    <mergeCell ref="J279:O280"/>
    <mergeCell ref="J281:O282"/>
    <mergeCell ref="J283:Q284"/>
    <mergeCell ref="J285:P286"/>
    <mergeCell ref="J321:N321"/>
    <mergeCell ref="K323:P323"/>
    <mergeCell ref="J325:P326"/>
    <mergeCell ref="K327:Q327"/>
    <mergeCell ref="J333:O334"/>
    <mergeCell ref="K337:Q337"/>
    <mergeCell ref="J309:P310"/>
    <mergeCell ref="J311:P312"/>
    <mergeCell ref="J313:P314"/>
    <mergeCell ref="J315:O316"/>
    <mergeCell ref="J317:O318"/>
    <mergeCell ref="J319:O320"/>
    <mergeCell ref="A357:I357"/>
    <mergeCell ref="A358:I358"/>
    <mergeCell ref="A381:I381"/>
    <mergeCell ref="A400:I400"/>
    <mergeCell ref="J415:P416"/>
    <mergeCell ref="J419:Q420"/>
    <mergeCell ref="J345:O346"/>
    <mergeCell ref="J347:O348"/>
    <mergeCell ref="J349:O350"/>
    <mergeCell ref="J351:O352"/>
    <mergeCell ref="J353:O354"/>
    <mergeCell ref="J355:O356"/>
    <mergeCell ref="J465:N466"/>
    <mergeCell ref="J477:N478"/>
    <mergeCell ref="A479:I479"/>
    <mergeCell ref="J486:P487"/>
    <mergeCell ref="J488:P489"/>
    <mergeCell ref="J500:O501"/>
    <mergeCell ref="A427:I427"/>
    <mergeCell ref="J440:P441"/>
    <mergeCell ref="J442:P443"/>
    <mergeCell ref="A444:I444"/>
    <mergeCell ref="J453:N454"/>
    <mergeCell ref="J455:N456"/>
    <mergeCell ref="J514:O515"/>
    <mergeCell ref="J516:O517"/>
    <mergeCell ref="A518:I518"/>
    <mergeCell ref="A519:I519"/>
    <mergeCell ref="A558:I558"/>
    <mergeCell ref="A559:I559"/>
    <mergeCell ref="J502:O503"/>
    <mergeCell ref="J504:O505"/>
    <mergeCell ref="J506:O507"/>
    <mergeCell ref="J508:O509"/>
    <mergeCell ref="J510:O511"/>
    <mergeCell ref="J512:O513"/>
    <mergeCell ref="A640:I640"/>
    <mergeCell ref="J647:Q648"/>
    <mergeCell ref="J651:Q652"/>
    <mergeCell ref="J653:Q654"/>
    <mergeCell ref="J671:N671"/>
    <mergeCell ref="A715:I715"/>
    <mergeCell ref="A570:I570"/>
    <mergeCell ref="A585:C585"/>
    <mergeCell ref="D585:F585"/>
    <mergeCell ref="G585:I585"/>
    <mergeCell ref="A604:I604"/>
    <mergeCell ref="A605:I605"/>
    <mergeCell ref="J836:P837"/>
    <mergeCell ref="A846:I846"/>
    <mergeCell ref="A865:I865"/>
    <mergeCell ref="J882:Q883"/>
    <mergeCell ref="J884:Q885"/>
    <mergeCell ref="J886:Q887"/>
    <mergeCell ref="J728:O729"/>
    <mergeCell ref="J730:O731"/>
    <mergeCell ref="A738:I738"/>
    <mergeCell ref="A779:I779"/>
    <mergeCell ref="J832:P833"/>
    <mergeCell ref="J834:P835"/>
    <mergeCell ref="A1182:I1182"/>
    <mergeCell ref="A1349:I1349"/>
    <mergeCell ref="J1358:M1358"/>
    <mergeCell ref="J1380:O1381"/>
    <mergeCell ref="J1410:N1411"/>
    <mergeCell ref="J1426:O1427"/>
    <mergeCell ref="J888:Q889"/>
    <mergeCell ref="J890:Q891"/>
    <mergeCell ref="J1148:O1149"/>
    <mergeCell ref="J1150:O1151"/>
    <mergeCell ref="J1152:O1153"/>
    <mergeCell ref="J1154:O1155"/>
    <mergeCell ref="A1479:I1479"/>
    <mergeCell ref="J1494:N1494"/>
    <mergeCell ref="A1498:A1499"/>
    <mergeCell ref="A1502:A1503"/>
    <mergeCell ref="A1504:A1505"/>
    <mergeCell ref="A1506:A1507"/>
    <mergeCell ref="J1428:O1429"/>
    <mergeCell ref="J1430:O1431"/>
    <mergeCell ref="J1434:O1435"/>
    <mergeCell ref="A1442:I1442"/>
    <mergeCell ref="A1457:I1457"/>
    <mergeCell ref="A1458:I1458"/>
    <mergeCell ref="J1646:N1647"/>
    <mergeCell ref="J1692:J1699"/>
    <mergeCell ref="A1742:A1743"/>
    <mergeCell ref="A1744:A1745"/>
    <mergeCell ref="A1752:I1752"/>
    <mergeCell ref="J1807:O1808"/>
    <mergeCell ref="A1508:A1509"/>
    <mergeCell ref="A1510:A1511"/>
    <mergeCell ref="A1512:A1513"/>
    <mergeCell ref="A1514:A1515"/>
    <mergeCell ref="A1569:I1569"/>
    <mergeCell ref="A1599:I1599"/>
    <mergeCell ref="J2156:S2157"/>
    <mergeCell ref="J2158:S2159"/>
    <mergeCell ref="A2160:I2160"/>
    <mergeCell ref="A2161:I2161"/>
    <mergeCell ref="A2184:I2184"/>
    <mergeCell ref="J2193:S2194"/>
    <mergeCell ref="A1825:I1825"/>
    <mergeCell ref="A2050:I2050"/>
    <mergeCell ref="J2057:M2058"/>
    <mergeCell ref="A2137:I2137"/>
    <mergeCell ref="A2138:I2138"/>
    <mergeCell ref="A2147:I2147"/>
    <mergeCell ref="J2207:S2208"/>
    <mergeCell ref="J2209:S2210"/>
    <mergeCell ref="J2211:S2212"/>
    <mergeCell ref="J2213:S2214"/>
    <mergeCell ref="J2215:S2216"/>
    <mergeCell ref="J2219:S2220"/>
    <mergeCell ref="J2195:S2196"/>
    <mergeCell ref="J2197:S2198"/>
    <mergeCell ref="J2199:S2200"/>
    <mergeCell ref="J2201:S2202"/>
    <mergeCell ref="J2203:S2204"/>
    <mergeCell ref="J2205:S2206"/>
    <mergeCell ref="J2293:O2293"/>
    <mergeCell ref="J2295:P2296"/>
    <mergeCell ref="J2297:P2298"/>
    <mergeCell ref="J2299:P2300"/>
    <mergeCell ref="J2305:M2306"/>
    <mergeCell ref="J2318:L2318"/>
    <mergeCell ref="A2221:I2221"/>
    <mergeCell ref="A2240:I2240"/>
    <mergeCell ref="J2251:M2251"/>
    <mergeCell ref="J2257:M2257"/>
    <mergeCell ref="J2259:P2260"/>
    <mergeCell ref="A2280:I2280"/>
    <mergeCell ref="J2335:O2336"/>
    <mergeCell ref="J2337:O2338"/>
    <mergeCell ref="J2339:O2340"/>
    <mergeCell ref="J2341:O2342"/>
    <mergeCell ref="J2345:O2346"/>
    <mergeCell ref="J2347:O2348"/>
    <mergeCell ref="J2320:L2320"/>
    <mergeCell ref="J2323:O2324"/>
    <mergeCell ref="J2325:O2326"/>
    <mergeCell ref="J2327:O2328"/>
    <mergeCell ref="J2329:O2330"/>
    <mergeCell ref="J2331:O2332"/>
    <mergeCell ref="J2367:P2368"/>
    <mergeCell ref="J2379:P2380"/>
    <mergeCell ref="J2381:P2382"/>
    <mergeCell ref="J2383:P2384"/>
    <mergeCell ref="J2385:P2386"/>
    <mergeCell ref="J2389:N2390"/>
    <mergeCell ref="J2349:O2350"/>
    <mergeCell ref="J2353:O2354"/>
    <mergeCell ref="J2355:O2356"/>
    <mergeCell ref="J2357:O2358"/>
    <mergeCell ref="J2361:P2362"/>
    <mergeCell ref="J2363:P2364"/>
    <mergeCell ref="J2569:Q2570"/>
    <mergeCell ref="J2571:Q2572"/>
    <mergeCell ref="J2587:O2588"/>
    <mergeCell ref="A2593:I2593"/>
    <mergeCell ref="A2606:I2606"/>
    <mergeCell ref="A2607:I2607"/>
    <mergeCell ref="J2393:N2394"/>
    <mergeCell ref="A2395:I2395"/>
    <mergeCell ref="A2426:I2426"/>
    <mergeCell ref="J2531:N2532"/>
    <mergeCell ref="J2533:N2534"/>
    <mergeCell ref="J2537:O2538"/>
    <mergeCell ref="A2675:I2675"/>
    <mergeCell ref="A2691:I2691"/>
    <mergeCell ref="A2700:I2700"/>
    <mergeCell ref="A2701:I2701"/>
    <mergeCell ref="A2720:I2720"/>
    <mergeCell ref="B2737:I2737"/>
    <mergeCell ref="A2622:I2622"/>
    <mergeCell ref="A2629:I2629"/>
    <mergeCell ref="A2636:I2636"/>
    <mergeCell ref="A2643:I2643"/>
    <mergeCell ref="A2651:I2651"/>
    <mergeCell ref="A2662:I2662"/>
    <mergeCell ref="G2747:I2747"/>
    <mergeCell ref="G2748:I2748"/>
    <mergeCell ref="G2749:I2749"/>
    <mergeCell ref="B2738:I2738"/>
    <mergeCell ref="B2739:I2739"/>
    <mergeCell ref="A2744:B2744"/>
    <mergeCell ref="F2744:G2744"/>
    <mergeCell ref="A2745:B2745"/>
    <mergeCell ref="F2745:G2745"/>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Lista dotari 11,12,2024</vt:lpstr>
      <vt:lpstr>Program investitii 11,12,2024</vt:lpstr>
      <vt:lpstr>'Lista dotari 11,12,2024'!Print_Area</vt:lpstr>
      <vt:lpstr>'Lista dotari 11,12,2024'!Print_Titles</vt:lpstr>
      <vt:lpstr>'Program investitii 11,12,2024'!Print_Titles</vt:lpstr>
    </vt:vector>
  </TitlesOfParts>
  <Company>Consiliul Judetean Arges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Georgiana ALBU</cp:lastModifiedBy>
  <dcterms:created xsi:type="dcterms:W3CDTF">2024-12-12T08:17:19Z</dcterms:created>
  <dcterms:modified xsi:type="dcterms:W3CDTF">2024-12-12T08:59:53Z</dcterms:modified>
</cp:coreProperties>
</file>