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165" yWindow="150" windowWidth="23955" windowHeight="9780"/>
  </bookViews>
  <sheets>
    <sheet name="BUGET INITIAL 2022" sheetId="18" r:id="rId1"/>
  </sheets>
  <definedNames>
    <definedName name="_xlnm._FilterDatabase" localSheetId="0" hidden="1">'BUGET INITIAL 2022'!$U$1:$U$1250</definedName>
    <definedName name="_xlnm.Print_Titles" localSheetId="0">'BUGET INITIAL 2022'!$9:$10</definedName>
  </definedNames>
  <calcPr calcId="125725"/>
</workbook>
</file>

<file path=xl/calcChain.xml><?xml version="1.0" encoding="utf-8"?>
<calcChain xmlns="http://schemas.openxmlformats.org/spreadsheetml/2006/main">
  <c r="K803" i="18"/>
  <c r="J803"/>
  <c r="J798"/>
  <c r="K798"/>
  <c r="J1122"/>
  <c r="M1122"/>
  <c r="L1122"/>
  <c r="J37"/>
  <c r="M37"/>
  <c r="L37"/>
  <c r="N1122"/>
  <c r="N37"/>
  <c r="K1169"/>
  <c r="K1170"/>
  <c r="K1171"/>
  <c r="K1172"/>
  <c r="K1175"/>
  <c r="K1176"/>
  <c r="M1176"/>
  <c r="J272"/>
  <c r="N272"/>
  <c r="L272"/>
  <c r="K272"/>
  <c r="K261" l="1"/>
  <c r="L261"/>
  <c r="M261"/>
  <c r="N261"/>
  <c r="Q261"/>
  <c r="R261"/>
  <c r="S261"/>
  <c r="J261"/>
  <c r="N65" l="1"/>
  <c r="M65"/>
  <c r="L65"/>
  <c r="K65"/>
  <c r="S1139"/>
  <c r="R1139"/>
  <c r="Q1139"/>
  <c r="N16"/>
  <c r="K16"/>
  <c r="M16"/>
  <c r="L16"/>
  <c r="M272"/>
  <c r="N579"/>
  <c r="K579"/>
  <c r="M581"/>
  <c r="K581"/>
  <c r="N1139"/>
  <c r="M1139"/>
  <c r="L1139"/>
  <c r="K1139"/>
  <c r="N21"/>
  <c r="M21"/>
  <c r="L21"/>
  <c r="K21"/>
  <c r="M22"/>
  <c r="M562"/>
  <c r="L562"/>
  <c r="K562"/>
  <c r="O14"/>
  <c r="P14" s="1"/>
  <c r="O17"/>
  <c r="P17" s="1"/>
  <c r="O18"/>
  <c r="P18" s="1"/>
  <c r="O23"/>
  <c r="P23" s="1"/>
  <c r="O25"/>
  <c r="P25" s="1"/>
  <c r="O27"/>
  <c r="P27" s="1"/>
  <c r="O28"/>
  <c r="P28" s="1"/>
  <c r="O29"/>
  <c r="P29" s="1"/>
  <c r="O30"/>
  <c r="O31"/>
  <c r="P31" s="1"/>
  <c r="O33"/>
  <c r="P33" s="1"/>
  <c r="O34"/>
  <c r="P34" s="1"/>
  <c r="O35"/>
  <c r="P35" s="1"/>
  <c r="O36"/>
  <c r="P36" s="1"/>
  <c r="O37"/>
  <c r="O38"/>
  <c r="P38" s="1"/>
  <c r="O39"/>
  <c r="P39" s="1"/>
  <c r="O42"/>
  <c r="P42" s="1"/>
  <c r="O43"/>
  <c r="P43" s="1"/>
  <c r="O44"/>
  <c r="P44" s="1"/>
  <c r="O46"/>
  <c r="P46" s="1"/>
  <c r="O47"/>
  <c r="P47" s="1"/>
  <c r="O48"/>
  <c r="P48" s="1"/>
  <c r="O49"/>
  <c r="P49" s="1"/>
  <c r="O51"/>
  <c r="P51" s="1"/>
  <c r="O53"/>
  <c r="P53" s="1"/>
  <c r="O54"/>
  <c r="P54" s="1"/>
  <c r="O55"/>
  <c r="P55" s="1"/>
  <c r="O56"/>
  <c r="P56" s="1"/>
  <c r="O58"/>
  <c r="P58" s="1"/>
  <c r="O60"/>
  <c r="P60" s="1"/>
  <c r="O61"/>
  <c r="P61" s="1"/>
  <c r="O62"/>
  <c r="P62" s="1"/>
  <c r="O64"/>
  <c r="P64" s="1"/>
  <c r="O67"/>
  <c r="P67" s="1"/>
  <c r="O68"/>
  <c r="P68" s="1"/>
  <c r="O69"/>
  <c r="P69" s="1"/>
  <c r="O70"/>
  <c r="P70" s="1"/>
  <c r="O71"/>
  <c r="P71" s="1"/>
  <c r="O72"/>
  <c r="P72" s="1"/>
  <c r="O73"/>
  <c r="P73" s="1"/>
  <c r="O74"/>
  <c r="P74" s="1"/>
  <c r="O77"/>
  <c r="P77" s="1"/>
  <c r="O79"/>
  <c r="P79" s="1"/>
  <c r="O80"/>
  <c r="P80" s="1"/>
  <c r="O81"/>
  <c r="P81" s="1"/>
  <c r="O82"/>
  <c r="P82" s="1"/>
  <c r="O83"/>
  <c r="P83" s="1"/>
  <c r="O84"/>
  <c r="P84" s="1"/>
  <c r="O86"/>
  <c r="P86" s="1"/>
  <c r="O87"/>
  <c r="P87" s="1"/>
  <c r="O88"/>
  <c r="P88" s="1"/>
  <c r="O89"/>
  <c r="P89" s="1"/>
  <c r="O90"/>
  <c r="P90" s="1"/>
  <c r="O91"/>
  <c r="P91" s="1"/>
  <c r="O92"/>
  <c r="P92" s="1"/>
  <c r="O93"/>
  <c r="P93" s="1"/>
  <c r="O94"/>
  <c r="P94" s="1"/>
  <c r="O95"/>
  <c r="P95" s="1"/>
  <c r="O96"/>
  <c r="P96" s="1"/>
  <c r="O98"/>
  <c r="P98" s="1"/>
  <c r="O100"/>
  <c r="P100" s="1"/>
  <c r="O104"/>
  <c r="P104" s="1"/>
  <c r="O105"/>
  <c r="P105" s="1"/>
  <c r="O108"/>
  <c r="P108" s="1"/>
  <c r="O109"/>
  <c r="P109" s="1"/>
  <c r="O113"/>
  <c r="P113" s="1"/>
  <c r="O114"/>
  <c r="P114" s="1"/>
  <c r="O115"/>
  <c r="P115" s="1"/>
  <c r="O116"/>
  <c r="P116" s="1"/>
  <c r="O117"/>
  <c r="P117" s="1"/>
  <c r="O118"/>
  <c r="P118" s="1"/>
  <c r="O119"/>
  <c r="P119" s="1"/>
  <c r="O120"/>
  <c r="P120" s="1"/>
  <c r="O121"/>
  <c r="P121" s="1"/>
  <c r="O128"/>
  <c r="P128" s="1"/>
  <c r="O135"/>
  <c r="P135" s="1"/>
  <c r="O139"/>
  <c r="P139" s="1"/>
  <c r="O141"/>
  <c r="P141" s="1"/>
  <c r="O150"/>
  <c r="P150" s="1"/>
  <c r="O151"/>
  <c r="P151" s="1"/>
  <c r="O153"/>
  <c r="P153" s="1"/>
  <c r="O159"/>
  <c r="P159" s="1"/>
  <c r="O164"/>
  <c r="P164" s="1"/>
  <c r="O169"/>
  <c r="P169" s="1"/>
  <c r="O170"/>
  <c r="P170" s="1"/>
  <c r="O171"/>
  <c r="P171" s="1"/>
  <c r="O172"/>
  <c r="P172" s="1"/>
  <c r="O175"/>
  <c r="P175" s="1"/>
  <c r="O176"/>
  <c r="P176" s="1"/>
  <c r="O177"/>
  <c r="P177" s="1"/>
  <c r="O179"/>
  <c r="P179" s="1"/>
  <c r="O181"/>
  <c r="P181" s="1"/>
  <c r="O182"/>
  <c r="P182" s="1"/>
  <c r="O183"/>
  <c r="P183" s="1"/>
  <c r="O184"/>
  <c r="P184" s="1"/>
  <c r="O185"/>
  <c r="P185" s="1"/>
  <c r="O186"/>
  <c r="P186" s="1"/>
  <c r="O190"/>
  <c r="P190" s="1"/>
  <c r="O191"/>
  <c r="P191" s="1"/>
  <c r="O192"/>
  <c r="P192" s="1"/>
  <c r="O194"/>
  <c r="P194" s="1"/>
  <c r="O196"/>
  <c r="P196" s="1"/>
  <c r="O197"/>
  <c r="P197" s="1"/>
  <c r="O199"/>
  <c r="P199" s="1"/>
  <c r="O200"/>
  <c r="P200" s="1"/>
  <c r="O202"/>
  <c r="P202" s="1"/>
  <c r="O205"/>
  <c r="P205" s="1"/>
  <c r="O206"/>
  <c r="P206" s="1"/>
  <c r="O207"/>
  <c r="P207" s="1"/>
  <c r="O211"/>
  <c r="P211" s="1"/>
  <c r="O212"/>
  <c r="P212" s="1"/>
  <c r="O215"/>
  <c r="P215" s="1"/>
  <c r="O216"/>
  <c r="P216" s="1"/>
  <c r="O219"/>
  <c r="P219" s="1"/>
  <c r="O220"/>
  <c r="P220" s="1"/>
  <c r="O221"/>
  <c r="P221" s="1"/>
  <c r="O222"/>
  <c r="P222" s="1"/>
  <c r="O263"/>
  <c r="P263" s="1"/>
  <c r="O264"/>
  <c r="P264" s="1"/>
  <c r="O271"/>
  <c r="P271" s="1"/>
  <c r="O273"/>
  <c r="P273" s="1"/>
  <c r="O274"/>
  <c r="P274" s="1"/>
  <c r="O275"/>
  <c r="P275" s="1"/>
  <c r="O276"/>
  <c r="P276" s="1"/>
  <c r="O278"/>
  <c r="P278" s="1"/>
  <c r="O279"/>
  <c r="P279" s="1"/>
  <c r="O280"/>
  <c r="P280" s="1"/>
  <c r="O281"/>
  <c r="P281" s="1"/>
  <c r="O282"/>
  <c r="P282" s="1"/>
  <c r="O293"/>
  <c r="P293" s="1"/>
  <c r="O294"/>
  <c r="P294" s="1"/>
  <c r="O295"/>
  <c r="P295" s="1"/>
  <c r="O296"/>
  <c r="P296" s="1"/>
  <c r="O297"/>
  <c r="P297" s="1"/>
  <c r="O298"/>
  <c r="P298" s="1"/>
  <c r="O299"/>
  <c r="P299" s="1"/>
  <c r="O300"/>
  <c r="P300" s="1"/>
  <c r="O301"/>
  <c r="P301" s="1"/>
  <c r="O302"/>
  <c r="P302" s="1"/>
  <c r="O303"/>
  <c r="P303" s="1"/>
  <c r="O304"/>
  <c r="P304" s="1"/>
  <c r="O305"/>
  <c r="P305" s="1"/>
  <c r="O306"/>
  <c r="P306" s="1"/>
  <c r="O307"/>
  <c r="P307" s="1"/>
  <c r="O308"/>
  <c r="P308" s="1"/>
  <c r="O312"/>
  <c r="P312" s="1"/>
  <c r="O313"/>
  <c r="P313" s="1"/>
  <c r="O314"/>
  <c r="P314" s="1"/>
  <c r="O318"/>
  <c r="P318" s="1"/>
  <c r="O319"/>
  <c r="P319" s="1"/>
  <c r="O320"/>
  <c r="P320" s="1"/>
  <c r="O324"/>
  <c r="P324" s="1"/>
  <c r="O325"/>
  <c r="P325" s="1"/>
  <c r="O326"/>
  <c r="P326" s="1"/>
  <c r="O330"/>
  <c r="P330" s="1"/>
  <c r="O331"/>
  <c r="P331" s="1"/>
  <c r="O336"/>
  <c r="P336" s="1"/>
  <c r="O337"/>
  <c r="P337" s="1"/>
  <c r="O338"/>
  <c r="P338" s="1"/>
  <c r="O339"/>
  <c r="P339" s="1"/>
  <c r="O340"/>
  <c r="P340" s="1"/>
  <c r="O341"/>
  <c r="P341" s="1"/>
  <c r="O342"/>
  <c r="P342" s="1"/>
  <c r="O343"/>
  <c r="P343" s="1"/>
  <c r="O344"/>
  <c r="P344" s="1"/>
  <c r="O345"/>
  <c r="P345" s="1"/>
  <c r="O346"/>
  <c r="P346" s="1"/>
  <c r="O347"/>
  <c r="P347" s="1"/>
  <c r="O348"/>
  <c r="P348" s="1"/>
  <c r="O349"/>
  <c r="P349" s="1"/>
  <c r="O350"/>
  <c r="P350" s="1"/>
  <c r="O351"/>
  <c r="P351" s="1"/>
  <c r="O352"/>
  <c r="P352" s="1"/>
  <c r="O353"/>
  <c r="P353" s="1"/>
  <c r="O354"/>
  <c r="P354" s="1"/>
  <c r="O355"/>
  <c r="P355" s="1"/>
  <c r="O356"/>
  <c r="P356" s="1"/>
  <c r="O360"/>
  <c r="P360" s="1"/>
  <c r="O361"/>
  <c r="P361" s="1"/>
  <c r="O362"/>
  <c r="P362" s="1"/>
  <c r="O366"/>
  <c r="P366" s="1"/>
  <c r="O367"/>
  <c r="P367" s="1"/>
  <c r="O368"/>
  <c r="P368" s="1"/>
  <c r="O372"/>
  <c r="P372" s="1"/>
  <c r="O373"/>
  <c r="P373" s="1"/>
  <c r="O374"/>
  <c r="P374" s="1"/>
  <c r="O378"/>
  <c r="P378" s="1"/>
  <c r="O379"/>
  <c r="P379" s="1"/>
  <c r="O380"/>
  <c r="P380" s="1"/>
  <c r="O384"/>
  <c r="P384" s="1"/>
  <c r="O385"/>
  <c r="P385" s="1"/>
  <c r="O386"/>
  <c r="P386" s="1"/>
  <c r="O391"/>
  <c r="P391" s="1"/>
  <c r="O396"/>
  <c r="P396" s="1"/>
  <c r="O397"/>
  <c r="P397" s="1"/>
  <c r="O398"/>
  <c r="P398" s="1"/>
  <c r="O400"/>
  <c r="O261" s="1"/>
  <c r="O405"/>
  <c r="P405" s="1"/>
  <c r="O406"/>
  <c r="P406" s="1"/>
  <c r="O407"/>
  <c r="P407" s="1"/>
  <c r="O408"/>
  <c r="P408" s="1"/>
  <c r="O409"/>
  <c r="P409" s="1"/>
  <c r="O410"/>
  <c r="P410" s="1"/>
  <c r="O411"/>
  <c r="P411" s="1"/>
  <c r="O412"/>
  <c r="P412" s="1"/>
  <c r="O413"/>
  <c r="P413" s="1"/>
  <c r="O414"/>
  <c r="P414" s="1"/>
  <c r="O418"/>
  <c r="P418" s="1"/>
  <c r="O420"/>
  <c r="P420" s="1"/>
  <c r="O421"/>
  <c r="P421" s="1"/>
  <c r="O434"/>
  <c r="P434" s="1"/>
  <c r="O436"/>
  <c r="P436" s="1"/>
  <c r="O437"/>
  <c r="P437" s="1"/>
  <c r="O438"/>
  <c r="P438" s="1"/>
  <c r="O439"/>
  <c r="P439" s="1"/>
  <c r="O443"/>
  <c r="P443" s="1"/>
  <c r="O444"/>
  <c r="P444" s="1"/>
  <c r="O445"/>
  <c r="P445" s="1"/>
  <c r="O450"/>
  <c r="P450" s="1"/>
  <c r="O451"/>
  <c r="P451" s="1"/>
  <c r="O452"/>
  <c r="P452" s="1"/>
  <c r="O454"/>
  <c r="P454" s="1"/>
  <c r="O455"/>
  <c r="P455" s="1"/>
  <c r="O456"/>
  <c r="P456" s="1"/>
  <c r="O471"/>
  <c r="P471" s="1"/>
  <c r="O485"/>
  <c r="P485" s="1"/>
  <c r="O491"/>
  <c r="P491" s="1"/>
  <c r="O496"/>
  <c r="P496" s="1"/>
  <c r="O501"/>
  <c r="P501" s="1"/>
  <c r="O502"/>
  <c r="P502" s="1"/>
  <c r="O503"/>
  <c r="P503" s="1"/>
  <c r="O504"/>
  <c r="P504" s="1"/>
  <c r="O505"/>
  <c r="P505" s="1"/>
  <c r="O506"/>
  <c r="P506" s="1"/>
  <c r="O507"/>
  <c r="P507" s="1"/>
  <c r="O509"/>
  <c r="P509" s="1"/>
  <c r="O510"/>
  <c r="P510" s="1"/>
  <c r="O511"/>
  <c r="P511" s="1"/>
  <c r="O512"/>
  <c r="P512" s="1"/>
  <c r="O513"/>
  <c r="P513" s="1"/>
  <c r="O517"/>
  <c r="P517" s="1"/>
  <c r="O518"/>
  <c r="P518" s="1"/>
  <c r="O519"/>
  <c r="P519" s="1"/>
  <c r="O520"/>
  <c r="P520" s="1"/>
  <c r="O521"/>
  <c r="P521" s="1"/>
  <c r="O522"/>
  <c r="P522" s="1"/>
  <c r="O524"/>
  <c r="P524" s="1"/>
  <c r="O528"/>
  <c r="P528" s="1"/>
  <c r="O529"/>
  <c r="P529" s="1"/>
  <c r="O530"/>
  <c r="P530" s="1"/>
  <c r="O531"/>
  <c r="P531" s="1"/>
  <c r="O532"/>
  <c r="P532" s="1"/>
  <c r="O533"/>
  <c r="P533" s="1"/>
  <c r="O535"/>
  <c r="P535" s="1"/>
  <c r="O539"/>
  <c r="P539" s="1"/>
  <c r="O540"/>
  <c r="P540" s="1"/>
  <c r="O541"/>
  <c r="P541" s="1"/>
  <c r="O542"/>
  <c r="P542" s="1"/>
  <c r="O543"/>
  <c r="P543" s="1"/>
  <c r="O544"/>
  <c r="P544" s="1"/>
  <c r="O546"/>
  <c r="P546" s="1"/>
  <c r="O550"/>
  <c r="P550" s="1"/>
  <c r="O551"/>
  <c r="P551" s="1"/>
  <c r="O552"/>
  <c r="P552" s="1"/>
  <c r="O553"/>
  <c r="P553" s="1"/>
  <c r="O554"/>
  <c r="P554" s="1"/>
  <c r="O555"/>
  <c r="P555" s="1"/>
  <c r="O557"/>
  <c r="P557" s="1"/>
  <c r="O561"/>
  <c r="P561" s="1"/>
  <c r="O563"/>
  <c r="P563" s="1"/>
  <c r="O567"/>
  <c r="P567" s="1"/>
  <c r="O568"/>
  <c r="P568" s="1"/>
  <c r="O569"/>
  <c r="P569" s="1"/>
  <c r="O570"/>
  <c r="P570" s="1"/>
  <c r="O571"/>
  <c r="P571" s="1"/>
  <c r="O573"/>
  <c r="P573" s="1"/>
  <c r="O582"/>
  <c r="P582" s="1"/>
  <c r="O591"/>
  <c r="P591" s="1"/>
  <c r="O592"/>
  <c r="P592" s="1"/>
  <c r="O597"/>
  <c r="P597" s="1"/>
  <c r="O598"/>
  <c r="P598" s="1"/>
  <c r="O603"/>
  <c r="P603" s="1"/>
  <c r="O604"/>
  <c r="P604" s="1"/>
  <c r="O609"/>
  <c r="P609" s="1"/>
  <c r="O610"/>
  <c r="P610" s="1"/>
  <c r="O615"/>
  <c r="P615" s="1"/>
  <c r="O616"/>
  <c r="P616" s="1"/>
  <c r="O620"/>
  <c r="P620" s="1"/>
  <c r="O623"/>
  <c r="P623" s="1"/>
  <c r="O626"/>
  <c r="P626" s="1"/>
  <c r="O629"/>
  <c r="P629" s="1"/>
  <c r="O632"/>
  <c r="P632" s="1"/>
  <c r="O635"/>
  <c r="P635" s="1"/>
  <c r="O651"/>
  <c r="P651" s="1"/>
  <c r="O652"/>
  <c r="P652" s="1"/>
  <c r="O653"/>
  <c r="P653" s="1"/>
  <c r="O654"/>
  <c r="P654" s="1"/>
  <c r="O655"/>
  <c r="P655" s="1"/>
  <c r="O657"/>
  <c r="P657" s="1"/>
  <c r="O658"/>
  <c r="P658" s="1"/>
  <c r="O663"/>
  <c r="P663" s="1"/>
  <c r="O664"/>
  <c r="P664" s="1"/>
  <c r="O665"/>
  <c r="P665" s="1"/>
  <c r="O667"/>
  <c r="P667" s="1"/>
  <c r="O668"/>
  <c r="P668" s="1"/>
  <c r="O669"/>
  <c r="P669" s="1"/>
  <c r="O670"/>
  <c r="P670" s="1"/>
  <c r="O671"/>
  <c r="P671" s="1"/>
  <c r="O672"/>
  <c r="P672" s="1"/>
  <c r="O673"/>
  <c r="P673" s="1"/>
  <c r="O677"/>
  <c r="P677" s="1"/>
  <c r="O678"/>
  <c r="P678" s="1"/>
  <c r="O679"/>
  <c r="P679" s="1"/>
  <c r="O684"/>
  <c r="P684" s="1"/>
  <c r="O685"/>
  <c r="P685" s="1"/>
  <c r="O686"/>
  <c r="P686" s="1"/>
  <c r="O688"/>
  <c r="P688" s="1"/>
  <c r="O689"/>
  <c r="P689" s="1"/>
  <c r="O694"/>
  <c r="P694" s="1"/>
  <c r="O695"/>
  <c r="P695" s="1"/>
  <c r="O696"/>
  <c r="P696" s="1"/>
  <c r="O698"/>
  <c r="P698" s="1"/>
  <c r="O703"/>
  <c r="P703" s="1"/>
  <c r="O704"/>
  <c r="P704" s="1"/>
  <c r="O705"/>
  <c r="P705" s="1"/>
  <c r="O707"/>
  <c r="P707" s="1"/>
  <c r="O712"/>
  <c r="P712" s="1"/>
  <c r="O713"/>
  <c r="P713" s="1"/>
  <c r="O714"/>
  <c r="P714" s="1"/>
  <c r="O716"/>
  <c r="P716" s="1"/>
  <c r="O720"/>
  <c r="P720" s="1"/>
  <c r="O721"/>
  <c r="P721" s="1"/>
  <c r="O726"/>
  <c r="P726" s="1"/>
  <c r="O727"/>
  <c r="P727" s="1"/>
  <c r="O728"/>
  <c r="P728" s="1"/>
  <c r="O729"/>
  <c r="P729" s="1"/>
  <c r="O730"/>
  <c r="P730" s="1"/>
  <c r="O731"/>
  <c r="P731" s="1"/>
  <c r="O735"/>
  <c r="P735" s="1"/>
  <c r="O736"/>
  <c r="P736" s="1"/>
  <c r="O740"/>
  <c r="O753"/>
  <c r="P753" s="1"/>
  <c r="O759"/>
  <c r="P759" s="1"/>
  <c r="O760"/>
  <c r="P760" s="1"/>
  <c r="O762"/>
  <c r="P762" s="1"/>
  <c r="O763"/>
  <c r="P763" s="1"/>
  <c r="O764"/>
  <c r="P764" s="1"/>
  <c r="O765"/>
  <c r="P765" s="1"/>
  <c r="O767"/>
  <c r="P767" s="1"/>
  <c r="O769"/>
  <c r="P769" s="1"/>
  <c r="O770"/>
  <c r="P770" s="1"/>
  <c r="O773"/>
  <c r="P773" s="1"/>
  <c r="O774"/>
  <c r="P774" s="1"/>
  <c r="O775"/>
  <c r="P775" s="1"/>
  <c r="O776"/>
  <c r="P776" s="1"/>
  <c r="O777"/>
  <c r="O778"/>
  <c r="P778" s="1"/>
  <c r="O779"/>
  <c r="P779" s="1"/>
  <c r="O780"/>
  <c r="P780" s="1"/>
  <c r="O781"/>
  <c r="P781" s="1"/>
  <c r="O782"/>
  <c r="P782" s="1"/>
  <c r="O786"/>
  <c r="P786" s="1"/>
  <c r="O787"/>
  <c r="P787" s="1"/>
  <c r="O788"/>
  <c r="P788" s="1"/>
  <c r="O789"/>
  <c r="P789" s="1"/>
  <c r="O790"/>
  <c r="P790" s="1"/>
  <c r="O791"/>
  <c r="P791" s="1"/>
  <c r="O792"/>
  <c r="P792" s="1"/>
  <c r="O793"/>
  <c r="P793" s="1"/>
  <c r="O794"/>
  <c r="P794" s="1"/>
  <c r="O797"/>
  <c r="P797" s="1"/>
  <c r="O798"/>
  <c r="P798" s="1"/>
  <c r="O799"/>
  <c r="P799" s="1"/>
  <c r="O802"/>
  <c r="P802" s="1"/>
  <c r="O803"/>
  <c r="P803" s="1"/>
  <c r="O804"/>
  <c r="P804" s="1"/>
  <c r="O807"/>
  <c r="P807" s="1"/>
  <c r="O808"/>
  <c r="P808" s="1"/>
  <c r="O809"/>
  <c r="P809" s="1"/>
  <c r="O812"/>
  <c r="P812" s="1"/>
  <c r="O813"/>
  <c r="P813" s="1"/>
  <c r="O814"/>
  <c r="P814" s="1"/>
  <c r="O818"/>
  <c r="P818" s="1"/>
  <c r="O819"/>
  <c r="P819" s="1"/>
  <c r="O820"/>
  <c r="P820" s="1"/>
  <c r="O824"/>
  <c r="P824" s="1"/>
  <c r="O825"/>
  <c r="P825" s="1"/>
  <c r="O826"/>
  <c r="P826" s="1"/>
  <c r="O830"/>
  <c r="P830" s="1"/>
  <c r="O831"/>
  <c r="P831" s="1"/>
  <c r="O832"/>
  <c r="P832" s="1"/>
  <c r="O836"/>
  <c r="P836" s="1"/>
  <c r="O837"/>
  <c r="P837" s="1"/>
  <c r="O838"/>
  <c r="P838" s="1"/>
  <c r="J740"/>
  <c r="P740" s="1"/>
  <c r="M292"/>
  <c r="K292"/>
  <c r="P400" l="1"/>
  <c r="P261" s="1"/>
  <c r="O65"/>
  <c r="P65" s="1"/>
  <c r="O579"/>
  <c r="P579" s="1"/>
  <c r="O16"/>
  <c r="P16" s="1"/>
  <c r="O272"/>
  <c r="P272" s="1"/>
  <c r="O22"/>
  <c r="P22" s="1"/>
  <c r="O21"/>
  <c r="P21" s="1"/>
  <c r="O562"/>
  <c r="P562" s="1"/>
  <c r="J1139" l="1"/>
  <c r="Q658" l="1"/>
  <c r="R112" l="1"/>
  <c r="S112"/>
  <c r="Q112"/>
  <c r="K112"/>
  <c r="O112" s="1"/>
  <c r="L112"/>
  <c r="M112"/>
  <c r="N112"/>
  <c r="J112"/>
  <c r="N581"/>
  <c r="O581" s="1"/>
  <c r="L292"/>
  <c r="N1138"/>
  <c r="M1138"/>
  <c r="L1138"/>
  <c r="M1137"/>
  <c r="L1137"/>
  <c r="N292"/>
  <c r="P112" l="1"/>
  <c r="O292"/>
  <c r="K1122"/>
  <c r="J777" l="1"/>
  <c r="P777" s="1"/>
  <c r="J581"/>
  <c r="P581" s="1"/>
  <c r="K26" l="1"/>
  <c r="O26" s="1"/>
  <c r="L26"/>
  <c r="M26"/>
  <c r="N26"/>
  <c r="K993" l="1"/>
  <c r="O993" s="1"/>
  <c r="L993"/>
  <c r="M993"/>
  <c r="N993"/>
  <c r="O850"/>
  <c r="P850" s="1"/>
  <c r="O851"/>
  <c r="P851" s="1"/>
  <c r="O852"/>
  <c r="P852" s="1"/>
  <c r="O853"/>
  <c r="P853" s="1"/>
  <c r="O854"/>
  <c r="P854" s="1"/>
  <c r="O858"/>
  <c r="P858" s="1"/>
  <c r="O859"/>
  <c r="P859" s="1"/>
  <c r="O860"/>
  <c r="P860" s="1"/>
  <c r="O862"/>
  <c r="P862" s="1"/>
  <c r="O866"/>
  <c r="P866" s="1"/>
  <c r="O867"/>
  <c r="P867" s="1"/>
  <c r="O868"/>
  <c r="P868" s="1"/>
  <c r="O870"/>
  <c r="P870" s="1"/>
  <c r="O874"/>
  <c r="P874" s="1"/>
  <c r="O875"/>
  <c r="P875" s="1"/>
  <c r="O876"/>
  <c r="P876" s="1"/>
  <c r="O878"/>
  <c r="P878" s="1"/>
  <c r="O882"/>
  <c r="P882" s="1"/>
  <c r="O883"/>
  <c r="P883" s="1"/>
  <c r="O884"/>
  <c r="P884" s="1"/>
  <c r="O886"/>
  <c r="P886" s="1"/>
  <c r="O890"/>
  <c r="P890" s="1"/>
  <c r="O891"/>
  <c r="P891" s="1"/>
  <c r="O892"/>
  <c r="P892" s="1"/>
  <c r="O894"/>
  <c r="P894" s="1"/>
  <c r="O895"/>
  <c r="P895" s="1"/>
  <c r="O896"/>
  <c r="P896" s="1"/>
  <c r="O897"/>
  <c r="P897" s="1"/>
  <c r="O898"/>
  <c r="P898" s="1"/>
  <c r="O899"/>
  <c r="P899" s="1"/>
  <c r="O903"/>
  <c r="P903" s="1"/>
  <c r="O904"/>
  <c r="P904" s="1"/>
  <c r="O905"/>
  <c r="P905" s="1"/>
  <c r="O907"/>
  <c r="P907" s="1"/>
  <c r="O911"/>
  <c r="P911" s="1"/>
  <c r="O912"/>
  <c r="P912" s="1"/>
  <c r="O913"/>
  <c r="P913" s="1"/>
  <c r="O915"/>
  <c r="P915" s="1"/>
  <c r="O919"/>
  <c r="P919" s="1"/>
  <c r="O920"/>
  <c r="P920" s="1"/>
  <c r="O921"/>
  <c r="P921" s="1"/>
  <c r="O923"/>
  <c r="P923" s="1"/>
  <c r="O935"/>
  <c r="P935" s="1"/>
  <c r="O936"/>
  <c r="P936" s="1"/>
  <c r="O937"/>
  <c r="P937" s="1"/>
  <c r="O939"/>
  <c r="P939" s="1"/>
  <c r="O944"/>
  <c r="P944" s="1"/>
  <c r="O945"/>
  <c r="P945" s="1"/>
  <c r="O946"/>
  <c r="P946" s="1"/>
  <c r="O948"/>
  <c r="P948" s="1"/>
  <c r="O953"/>
  <c r="P953" s="1"/>
  <c r="O954"/>
  <c r="P954" s="1"/>
  <c r="O955"/>
  <c r="P955" s="1"/>
  <c r="O956"/>
  <c r="P956" s="1"/>
  <c r="O958"/>
  <c r="P958" s="1"/>
  <c r="O963"/>
  <c r="P963" s="1"/>
  <c r="O964"/>
  <c r="P964" s="1"/>
  <c r="O965"/>
  <c r="P965" s="1"/>
  <c r="O966"/>
  <c r="P966" s="1"/>
  <c r="O967"/>
  <c r="P967" s="1"/>
  <c r="O972"/>
  <c r="P972" s="1"/>
  <c r="O973"/>
  <c r="P973" s="1"/>
  <c r="O974"/>
  <c r="P974" s="1"/>
  <c r="O975"/>
  <c r="P975" s="1"/>
  <c r="O979"/>
  <c r="P979" s="1"/>
  <c r="O980"/>
  <c r="P980" s="1"/>
  <c r="O981"/>
  <c r="P981" s="1"/>
  <c r="O982"/>
  <c r="P982" s="1"/>
  <c r="O983"/>
  <c r="P983" s="1"/>
  <c r="O984"/>
  <c r="P984" s="1"/>
  <c r="O992"/>
  <c r="P992" s="1"/>
  <c r="O994"/>
  <c r="P994" s="1"/>
  <c r="O1004"/>
  <c r="P1004" s="1"/>
  <c r="O1005"/>
  <c r="P1005" s="1"/>
  <c r="O1006"/>
  <c r="O1012"/>
  <c r="P1012" s="1"/>
  <c r="O1013"/>
  <c r="P1013" s="1"/>
  <c r="O1014"/>
  <c r="P1014" s="1"/>
  <c r="O1016"/>
  <c r="P1016" s="1"/>
  <c r="O1018"/>
  <c r="P1018" s="1"/>
  <c r="O1019"/>
  <c r="P1019" s="1"/>
  <c r="O1020"/>
  <c r="P1020" s="1"/>
  <c r="O1021"/>
  <c r="P1021" s="1"/>
  <c r="O1022"/>
  <c r="P1022" s="1"/>
  <c r="O1023"/>
  <c r="P1023" s="1"/>
  <c r="O1024"/>
  <c r="P1024" s="1"/>
  <c r="O1025"/>
  <c r="P1025" s="1"/>
  <c r="O1029"/>
  <c r="P1029" s="1"/>
  <c r="O1030"/>
  <c r="P1030" s="1"/>
  <c r="O1031"/>
  <c r="P1031" s="1"/>
  <c r="O1032"/>
  <c r="P1032" s="1"/>
  <c r="O1033"/>
  <c r="P1033" s="1"/>
  <c r="O1034"/>
  <c r="P1034" s="1"/>
  <c r="O1035"/>
  <c r="P1035" s="1"/>
  <c r="O1036"/>
  <c r="P1036" s="1"/>
  <c r="O1037"/>
  <c r="P1037" s="1"/>
  <c r="O1038"/>
  <c r="P1038" s="1"/>
  <c r="O1039"/>
  <c r="P1039" s="1"/>
  <c r="O1040"/>
  <c r="P1040" s="1"/>
  <c r="O1045"/>
  <c r="P1045" s="1"/>
  <c r="O1046"/>
  <c r="P1046" s="1"/>
  <c r="O1047"/>
  <c r="P1047" s="1"/>
  <c r="O1048"/>
  <c r="P1048" s="1"/>
  <c r="O1049"/>
  <c r="P1049" s="1"/>
  <c r="O1050"/>
  <c r="P1050" s="1"/>
  <c r="O1051"/>
  <c r="P1051" s="1"/>
  <c r="O1052"/>
  <c r="P1052" s="1"/>
  <c r="O1053"/>
  <c r="P1053" s="1"/>
  <c r="O1054"/>
  <c r="P1054" s="1"/>
  <c r="O1055"/>
  <c r="P1055" s="1"/>
  <c r="O1056"/>
  <c r="P1056" s="1"/>
  <c r="O1060"/>
  <c r="P1060" s="1"/>
  <c r="O1064"/>
  <c r="P1064" s="1"/>
  <c r="O1066"/>
  <c r="P1066" s="1"/>
  <c r="O1067"/>
  <c r="P1067" s="1"/>
  <c r="O1068"/>
  <c r="P1068" s="1"/>
  <c r="O1071"/>
  <c r="P1071" s="1"/>
  <c r="O1072"/>
  <c r="P1072" s="1"/>
  <c r="O1075"/>
  <c r="P1075" s="1"/>
  <c r="O1080"/>
  <c r="P1080" s="1"/>
  <c r="O1085"/>
  <c r="P1085" s="1"/>
  <c r="O1089"/>
  <c r="P1089" s="1"/>
  <c r="O1090"/>
  <c r="P1090" s="1"/>
  <c r="O1091"/>
  <c r="P1091" s="1"/>
  <c r="O1092"/>
  <c r="P1092" s="1"/>
  <c r="O1093"/>
  <c r="P1093" s="1"/>
  <c r="O1094"/>
  <c r="P1094" s="1"/>
  <c r="O1095"/>
  <c r="P1095" s="1"/>
  <c r="O1096"/>
  <c r="P1096" s="1"/>
  <c r="O1097"/>
  <c r="P1097" s="1"/>
  <c r="O1098"/>
  <c r="P1098" s="1"/>
  <c r="O1099"/>
  <c r="P1099" s="1"/>
  <c r="O1100"/>
  <c r="P1100" s="1"/>
  <c r="O1101"/>
  <c r="P1101" s="1"/>
  <c r="O1102"/>
  <c r="P1102" s="1"/>
  <c r="O1103"/>
  <c r="P1103" s="1"/>
  <c r="O1104"/>
  <c r="P1104" s="1"/>
  <c r="O1105"/>
  <c r="P1105" s="1"/>
  <c r="O1106"/>
  <c r="P1106" s="1"/>
  <c r="O1110"/>
  <c r="P1110" s="1"/>
  <c r="O1114"/>
  <c r="P1114" s="1"/>
  <c r="O1117"/>
  <c r="P1117" s="1"/>
  <c r="O1121"/>
  <c r="P1121" s="1"/>
  <c r="O1122"/>
  <c r="O1123"/>
  <c r="P1123" s="1"/>
  <c r="O1124"/>
  <c r="P1124" s="1"/>
  <c r="O1125"/>
  <c r="P1125" s="1"/>
  <c r="O1129"/>
  <c r="P1129" s="1"/>
  <c r="O1130"/>
  <c r="P1130" s="1"/>
  <c r="O1131"/>
  <c r="P1131" s="1"/>
  <c r="O1132"/>
  <c r="P1132" s="1"/>
  <c r="O1133"/>
  <c r="P1133" s="1"/>
  <c r="O1134"/>
  <c r="P1134" s="1"/>
  <c r="O1135"/>
  <c r="P1135" s="1"/>
  <c r="O1136"/>
  <c r="P1136" s="1"/>
  <c r="O1137"/>
  <c r="P1137" s="1"/>
  <c r="O1138"/>
  <c r="P1138" s="1"/>
  <c r="O1139"/>
  <c r="P1139" s="1"/>
  <c r="O1143"/>
  <c r="P1143" s="1"/>
  <c r="O1147"/>
  <c r="P1147" s="1"/>
  <c r="O1148"/>
  <c r="P1148" s="1"/>
  <c r="O1149"/>
  <c r="P1149" s="1"/>
  <c r="O1153"/>
  <c r="P1153" s="1"/>
  <c r="O1154"/>
  <c r="P1154" s="1"/>
  <c r="O1155"/>
  <c r="P1155" s="1"/>
  <c r="O1159"/>
  <c r="P1159" s="1"/>
  <c r="O1160"/>
  <c r="P1160" s="1"/>
  <c r="O1161"/>
  <c r="P1161" s="1"/>
  <c r="O1165"/>
  <c r="O1166"/>
  <c r="N1164"/>
  <c r="N1163" s="1"/>
  <c r="N1162" s="1"/>
  <c r="N1158"/>
  <c r="N1157" s="1"/>
  <c r="N1156" s="1"/>
  <c r="N1152"/>
  <c r="N1151" s="1"/>
  <c r="N1150" s="1"/>
  <c r="N1146"/>
  <c r="N1145" s="1"/>
  <c r="N1144" s="1"/>
  <c r="N1142"/>
  <c r="N1141" s="1"/>
  <c r="N1140" s="1"/>
  <c r="N1128"/>
  <c r="N1127" s="1"/>
  <c r="N1120"/>
  <c r="N1112"/>
  <c r="N1111"/>
  <c r="N1088"/>
  <c r="N1087" s="1"/>
  <c r="N1084"/>
  <c r="N1081" s="1"/>
  <c r="N1082"/>
  <c r="N1070" s="1"/>
  <c r="N242" s="1"/>
  <c r="N1079"/>
  <c r="N1059"/>
  <c r="N1043" s="1"/>
  <c r="N1044"/>
  <c r="N1028"/>
  <c r="N1027" s="1"/>
  <c r="N1017"/>
  <c r="N1015"/>
  <c r="N1011"/>
  <c r="N1010" s="1"/>
  <c r="N1008"/>
  <c r="N996" s="1"/>
  <c r="N246" s="1"/>
  <c r="N1007"/>
  <c r="N995" s="1"/>
  <c r="N1002"/>
  <c r="N1001"/>
  <c r="N1000"/>
  <c r="N988" s="1"/>
  <c r="N990"/>
  <c r="N978"/>
  <c r="N977" s="1"/>
  <c r="N976" s="1"/>
  <c r="N971"/>
  <c r="N970" s="1"/>
  <c r="N969" s="1"/>
  <c r="N968" s="1"/>
  <c r="N962"/>
  <c r="N961" s="1"/>
  <c r="N960" s="1"/>
  <c r="N959" s="1"/>
  <c r="N957"/>
  <c r="N952"/>
  <c r="N951" s="1"/>
  <c r="N950" s="1"/>
  <c r="N947"/>
  <c r="N943"/>
  <c r="N942" s="1"/>
  <c r="N941" s="1"/>
  <c r="N938"/>
  <c r="N934"/>
  <c r="N930"/>
  <c r="N752" s="1"/>
  <c r="N928"/>
  <c r="N922"/>
  <c r="N918"/>
  <c r="N917" s="1"/>
  <c r="N914"/>
  <c r="N910"/>
  <c r="N909" s="1"/>
  <c r="N906"/>
  <c r="N902"/>
  <c r="N901" s="1"/>
  <c r="N893"/>
  <c r="N889"/>
  <c r="N888" s="1"/>
  <c r="N885"/>
  <c r="N881"/>
  <c r="N880" s="1"/>
  <c r="N877"/>
  <c r="N873"/>
  <c r="N872" s="1"/>
  <c r="N869"/>
  <c r="N865"/>
  <c r="N861"/>
  <c r="N857"/>
  <c r="N856" s="1"/>
  <c r="N849"/>
  <c r="N848" s="1"/>
  <c r="N846"/>
  <c r="N755" s="1"/>
  <c r="N844"/>
  <c r="N843"/>
  <c r="N745" s="1"/>
  <c r="N842"/>
  <c r="N744" s="1"/>
  <c r="N835"/>
  <c r="N834" s="1"/>
  <c r="N833" s="1"/>
  <c r="N829"/>
  <c r="N827" s="1"/>
  <c r="N823"/>
  <c r="N821" s="1"/>
  <c r="N817"/>
  <c r="N816" s="1"/>
  <c r="N815" s="1"/>
  <c r="N811"/>
  <c r="N810" s="1"/>
  <c r="N806"/>
  <c r="N805" s="1"/>
  <c r="N801"/>
  <c r="N800" s="1"/>
  <c r="N796"/>
  <c r="N795" s="1"/>
  <c r="N785"/>
  <c r="N784" s="1"/>
  <c r="N783" s="1"/>
  <c r="N768"/>
  <c r="N766" s="1"/>
  <c r="N761"/>
  <c r="N758" s="1"/>
  <c r="N757" s="1"/>
  <c r="N749"/>
  <c r="N747"/>
  <c r="N739"/>
  <c r="N738"/>
  <c r="N737" s="1"/>
  <c r="N734"/>
  <c r="N733"/>
  <c r="N732" s="1"/>
  <c r="N725"/>
  <c r="N724" s="1"/>
  <c r="N723" s="1"/>
  <c r="N722" s="1"/>
  <c r="N719"/>
  <c r="N718" s="1"/>
  <c r="N717" s="1"/>
  <c r="N715"/>
  <c r="N711"/>
  <c r="N710" s="1"/>
  <c r="N709" s="1"/>
  <c r="N706"/>
  <c r="N702"/>
  <c r="N701" s="1"/>
  <c r="N700" s="1"/>
  <c r="N699" s="1"/>
  <c r="N697"/>
  <c r="N693"/>
  <c r="N692" s="1"/>
  <c r="N691" s="1"/>
  <c r="N687"/>
  <c r="N683"/>
  <c r="N682" s="1"/>
  <c r="N681" s="1"/>
  <c r="N676"/>
  <c r="N675" s="1"/>
  <c r="N674" s="1"/>
  <c r="N666"/>
  <c r="N662"/>
  <c r="N656"/>
  <c r="N650"/>
  <c r="N649" s="1"/>
  <c r="N648" s="1"/>
  <c r="N645"/>
  <c r="N644"/>
  <c r="N642"/>
  <c r="N641"/>
  <c r="N639"/>
  <c r="N634"/>
  <c r="N633" s="1"/>
  <c r="N631"/>
  <c r="N630" s="1"/>
  <c r="N628"/>
  <c r="N627" s="1"/>
  <c r="N625"/>
  <c r="N624" s="1"/>
  <c r="N622"/>
  <c r="N621" s="1"/>
  <c r="N619"/>
  <c r="N618" s="1"/>
  <c r="N614"/>
  <c r="N613" s="1"/>
  <c r="N612" s="1"/>
  <c r="N611" s="1"/>
  <c r="N608"/>
  <c r="N607" s="1"/>
  <c r="N606" s="1"/>
  <c r="N605" s="1"/>
  <c r="N602"/>
  <c r="N601" s="1"/>
  <c r="N600" s="1"/>
  <c r="N599" s="1"/>
  <c r="N596"/>
  <c r="N595" s="1"/>
  <c r="N594" s="1"/>
  <c r="N593" s="1"/>
  <c r="N590"/>
  <c r="N580"/>
  <c r="N578"/>
  <c r="N572"/>
  <c r="N566"/>
  <c r="N565" s="1"/>
  <c r="N560"/>
  <c r="N559" s="1"/>
  <c r="N558" s="1"/>
  <c r="N24" s="1"/>
  <c r="N556"/>
  <c r="N549"/>
  <c r="N548" s="1"/>
  <c r="N545"/>
  <c r="N538"/>
  <c r="N537" s="1"/>
  <c r="N534"/>
  <c r="N527"/>
  <c r="N526" s="1"/>
  <c r="N525" s="1"/>
  <c r="N523"/>
  <c r="N516"/>
  <c r="N515" s="1"/>
  <c r="N508"/>
  <c r="N500"/>
  <c r="N499" s="1"/>
  <c r="N497"/>
  <c r="N486" s="1"/>
  <c r="N494"/>
  <c r="N482" s="1"/>
  <c r="N493"/>
  <c r="N481" s="1"/>
  <c r="N492"/>
  <c r="N479" s="1"/>
  <c r="N490"/>
  <c r="N478" s="1"/>
  <c r="N483"/>
  <c r="N480"/>
  <c r="N469"/>
  <c r="N240" s="1"/>
  <c r="N468"/>
  <c r="N239" s="1"/>
  <c r="N463"/>
  <c r="N232" s="1"/>
  <c r="N453"/>
  <c r="N449"/>
  <c r="N448" s="1"/>
  <c r="N442"/>
  <c r="N440" s="1"/>
  <c r="N435"/>
  <c r="N433"/>
  <c r="N432" s="1"/>
  <c r="N429"/>
  <c r="N427"/>
  <c r="N426"/>
  <c r="N425"/>
  <c r="N419"/>
  <c r="N252" s="1"/>
  <c r="N228" s="1"/>
  <c r="N404"/>
  <c r="N403" s="1"/>
  <c r="N399"/>
  <c r="N395"/>
  <c r="N254" s="1"/>
  <c r="N390"/>
  <c r="N389" s="1"/>
  <c r="N388" s="1"/>
  <c r="N383"/>
  <c r="N382" s="1"/>
  <c r="N381" s="1"/>
  <c r="N377"/>
  <c r="N376" s="1"/>
  <c r="N375" s="1"/>
  <c r="N371"/>
  <c r="N370" s="1"/>
  <c r="N369" s="1"/>
  <c r="N365"/>
  <c r="N364" s="1"/>
  <c r="N363" s="1"/>
  <c r="N359"/>
  <c r="N358" s="1"/>
  <c r="N357" s="1"/>
  <c r="N335"/>
  <c r="N334" s="1"/>
  <c r="N333" s="1"/>
  <c r="N332"/>
  <c r="N329" s="1"/>
  <c r="N328" s="1"/>
  <c r="N327" s="1"/>
  <c r="N323"/>
  <c r="N322" s="1"/>
  <c r="N321" s="1"/>
  <c r="N317"/>
  <c r="N311"/>
  <c r="N310" s="1"/>
  <c r="N309" s="1"/>
  <c r="N291"/>
  <c r="N290"/>
  <c r="N289"/>
  <c r="N288"/>
  <c r="N286"/>
  <c r="N285"/>
  <c r="N270"/>
  <c r="N267"/>
  <c r="N266"/>
  <c r="N262"/>
  <c r="N259"/>
  <c r="N257"/>
  <c r="N256"/>
  <c r="N255"/>
  <c r="N253"/>
  <c r="N230" s="1"/>
  <c r="N251"/>
  <c r="N250"/>
  <c r="N229"/>
  <c r="N203"/>
  <c r="N201"/>
  <c r="N198"/>
  <c r="N195"/>
  <c r="N180"/>
  <c r="N168"/>
  <c r="N189" s="1"/>
  <c r="N188" s="1"/>
  <c r="N167"/>
  <c r="N165"/>
  <c r="N163" s="1"/>
  <c r="N162"/>
  <c r="N161" s="1"/>
  <c r="N160"/>
  <c r="N158"/>
  <c r="N157"/>
  <c r="N155"/>
  <c r="N154" s="1"/>
  <c r="N152"/>
  <c r="N148"/>
  <c r="N147"/>
  <c r="N146"/>
  <c r="N143"/>
  <c r="N140"/>
  <c r="N138"/>
  <c r="N133"/>
  <c r="N132"/>
  <c r="N131"/>
  <c r="N127"/>
  <c r="N126"/>
  <c r="N111"/>
  <c r="N218" s="1"/>
  <c r="N107"/>
  <c r="N214" s="1"/>
  <c r="N213" s="1"/>
  <c r="N99"/>
  <c r="N78"/>
  <c r="N66"/>
  <c r="N63"/>
  <c r="N59"/>
  <c r="N57"/>
  <c r="N52"/>
  <c r="N50"/>
  <c r="N45" s="1"/>
  <c r="N149" s="1"/>
  <c r="N41"/>
  <c r="N142"/>
  <c r="N32"/>
  <c r="N137" s="1"/>
  <c r="N136"/>
  <c r="N15"/>
  <c r="N13"/>
  <c r="N124" s="1"/>
  <c r="N123" s="1"/>
  <c r="M1164"/>
  <c r="M1163" s="1"/>
  <c r="M1162" s="1"/>
  <c r="M1158"/>
  <c r="M1157" s="1"/>
  <c r="M1156" s="1"/>
  <c r="M1152"/>
  <c r="M1151" s="1"/>
  <c r="M1150" s="1"/>
  <c r="M1146"/>
  <c r="M1145" s="1"/>
  <c r="M1144" s="1"/>
  <c r="M1142"/>
  <c r="M1141" s="1"/>
  <c r="M1140" s="1"/>
  <c r="M1128"/>
  <c r="M1127" s="1"/>
  <c r="M1120"/>
  <c r="M1112"/>
  <c r="M1111"/>
  <c r="M1088"/>
  <c r="M1087" s="1"/>
  <c r="M1084"/>
  <c r="M1081" s="1"/>
  <c r="M1082"/>
  <c r="M1070" s="1"/>
  <c r="M242" s="1"/>
  <c r="M1079"/>
  <c r="M1059"/>
  <c r="M1043" s="1"/>
  <c r="M1044"/>
  <c r="M1028"/>
  <c r="M1027" s="1"/>
  <c r="M1017"/>
  <c r="M1015"/>
  <c r="M1011"/>
  <c r="M1010" s="1"/>
  <c r="M1008"/>
  <c r="M996" s="1"/>
  <c r="M246" s="1"/>
  <c r="M1007"/>
  <c r="M995" s="1"/>
  <c r="M1002"/>
  <c r="M1001"/>
  <c r="M1000"/>
  <c r="M988" s="1"/>
  <c r="M990"/>
  <c r="M978"/>
  <c r="M977" s="1"/>
  <c r="M976" s="1"/>
  <c r="M971"/>
  <c r="M970" s="1"/>
  <c r="M969" s="1"/>
  <c r="M968" s="1"/>
  <c r="M962"/>
  <c r="M961" s="1"/>
  <c r="M960" s="1"/>
  <c r="M959" s="1"/>
  <c r="M957"/>
  <c r="M952"/>
  <c r="M951" s="1"/>
  <c r="M950" s="1"/>
  <c r="M947"/>
  <c r="M943"/>
  <c r="M942" s="1"/>
  <c r="M941" s="1"/>
  <c r="M938"/>
  <c r="M934"/>
  <c r="M933" s="1"/>
  <c r="M930"/>
  <c r="M752" s="1"/>
  <c r="M928"/>
  <c r="M922"/>
  <c r="M918"/>
  <c r="M917" s="1"/>
  <c r="M914"/>
  <c r="M910"/>
  <c r="M909" s="1"/>
  <c r="M906"/>
  <c r="M902"/>
  <c r="M901" s="1"/>
  <c r="M893"/>
  <c r="M889"/>
  <c r="M888" s="1"/>
  <c r="M885"/>
  <c r="M881"/>
  <c r="M880" s="1"/>
  <c r="M877"/>
  <c r="M873"/>
  <c r="M872" s="1"/>
  <c r="M869"/>
  <c r="M865"/>
  <c r="M864" s="1"/>
  <c r="M861"/>
  <c r="M857"/>
  <c r="M856" s="1"/>
  <c r="M849"/>
  <c r="M848" s="1"/>
  <c r="M846"/>
  <c r="M844"/>
  <c r="M843"/>
  <c r="M745" s="1"/>
  <c r="M842"/>
  <c r="M744" s="1"/>
  <c r="M835"/>
  <c r="M834" s="1"/>
  <c r="M833" s="1"/>
  <c r="M829"/>
  <c r="M828" s="1"/>
  <c r="M823"/>
  <c r="M822" s="1"/>
  <c r="M817"/>
  <c r="M816" s="1"/>
  <c r="M815" s="1"/>
  <c r="M811"/>
  <c r="M810" s="1"/>
  <c r="M806"/>
  <c r="M805" s="1"/>
  <c r="M801"/>
  <c r="M800" s="1"/>
  <c r="M796"/>
  <c r="M795" s="1"/>
  <c r="M785"/>
  <c r="M784" s="1"/>
  <c r="M783" s="1"/>
  <c r="M768"/>
  <c r="M766" s="1"/>
  <c r="M761"/>
  <c r="M755"/>
  <c r="M749"/>
  <c r="M747"/>
  <c r="M463" s="1"/>
  <c r="M739"/>
  <c r="M738"/>
  <c r="M737" s="1"/>
  <c r="M734"/>
  <c r="M733"/>
  <c r="M732" s="1"/>
  <c r="M725"/>
  <c r="M724" s="1"/>
  <c r="M723" s="1"/>
  <c r="M722" s="1"/>
  <c r="M719"/>
  <c r="M718" s="1"/>
  <c r="M717" s="1"/>
  <c r="M715"/>
  <c r="M711"/>
  <c r="M710" s="1"/>
  <c r="M709" s="1"/>
  <c r="M706"/>
  <c r="M702"/>
  <c r="M701" s="1"/>
  <c r="M700" s="1"/>
  <c r="M697"/>
  <c r="M693"/>
  <c r="M692" s="1"/>
  <c r="M691" s="1"/>
  <c r="M687"/>
  <c r="M683"/>
  <c r="M682" s="1"/>
  <c r="M681" s="1"/>
  <c r="M676"/>
  <c r="M646" s="1"/>
  <c r="M472" s="1"/>
  <c r="M243" s="1"/>
  <c r="M666"/>
  <c r="M662"/>
  <c r="M656"/>
  <c r="M650"/>
  <c r="M649" s="1"/>
  <c r="M648" s="1"/>
  <c r="M645"/>
  <c r="M644"/>
  <c r="M642"/>
  <c r="M641"/>
  <c r="M639"/>
  <c r="M634"/>
  <c r="M633" s="1"/>
  <c r="M631"/>
  <c r="M630" s="1"/>
  <c r="M628"/>
  <c r="M627" s="1"/>
  <c r="M625"/>
  <c r="M624" s="1"/>
  <c r="M622"/>
  <c r="M621" s="1"/>
  <c r="M619"/>
  <c r="M618" s="1"/>
  <c r="M614"/>
  <c r="M613" s="1"/>
  <c r="M612" s="1"/>
  <c r="M611" s="1"/>
  <c r="M608"/>
  <c r="M607" s="1"/>
  <c r="M606" s="1"/>
  <c r="M605" s="1"/>
  <c r="M602"/>
  <c r="M601" s="1"/>
  <c r="M600" s="1"/>
  <c r="M599" s="1"/>
  <c r="M596"/>
  <c r="M595" s="1"/>
  <c r="M594" s="1"/>
  <c r="M593" s="1"/>
  <c r="M590"/>
  <c r="M580"/>
  <c r="M578"/>
  <c r="M577" s="1"/>
  <c r="M576" s="1"/>
  <c r="M572"/>
  <c r="M566"/>
  <c r="M565" s="1"/>
  <c r="M560"/>
  <c r="M559" s="1"/>
  <c r="M558" s="1"/>
  <c r="M24" s="1"/>
  <c r="M556"/>
  <c r="M549"/>
  <c r="M548" s="1"/>
  <c r="M545"/>
  <c r="M538"/>
  <c r="M537" s="1"/>
  <c r="M534"/>
  <c r="M527"/>
  <c r="M526" s="1"/>
  <c r="M523"/>
  <c r="M516"/>
  <c r="M515" s="1"/>
  <c r="M508"/>
  <c r="M500"/>
  <c r="M499" s="1"/>
  <c r="M497"/>
  <c r="M486" s="1"/>
  <c r="M494"/>
  <c r="M482" s="1"/>
  <c r="M493"/>
  <c r="M481" s="1"/>
  <c r="M492"/>
  <c r="M479" s="1"/>
  <c r="M490"/>
  <c r="M478" s="1"/>
  <c r="M483"/>
  <c r="M480"/>
  <c r="M469"/>
  <c r="M240" s="1"/>
  <c r="M468"/>
  <c r="M239" s="1"/>
  <c r="M453"/>
  <c r="M449"/>
  <c r="M448" s="1"/>
  <c r="M442"/>
  <c r="M440" s="1"/>
  <c r="M435"/>
  <c r="M433"/>
  <c r="M432" s="1"/>
  <c r="M429"/>
  <c r="M427"/>
  <c r="M426"/>
  <c r="M425"/>
  <c r="M419"/>
  <c r="M417" s="1"/>
  <c r="M404"/>
  <c r="M403" s="1"/>
  <c r="M399"/>
  <c r="M395"/>
  <c r="M254" s="1"/>
  <c r="M390"/>
  <c r="M389" s="1"/>
  <c r="M388" s="1"/>
  <c r="M383"/>
  <c r="M382" s="1"/>
  <c r="M381" s="1"/>
  <c r="M377"/>
  <c r="M376" s="1"/>
  <c r="M375" s="1"/>
  <c r="M371"/>
  <c r="M370" s="1"/>
  <c r="M369" s="1"/>
  <c r="M365"/>
  <c r="M364" s="1"/>
  <c r="M363" s="1"/>
  <c r="M359"/>
  <c r="M358" s="1"/>
  <c r="M357" s="1"/>
  <c r="M335"/>
  <c r="M334" s="1"/>
  <c r="M333" s="1"/>
  <c r="M332"/>
  <c r="M329" s="1"/>
  <c r="M328" s="1"/>
  <c r="M327" s="1"/>
  <c r="M323"/>
  <c r="M322" s="1"/>
  <c r="M321" s="1"/>
  <c r="M317"/>
  <c r="M316" s="1"/>
  <c r="M315" s="1"/>
  <c r="M311"/>
  <c r="M310" s="1"/>
  <c r="M309" s="1"/>
  <c r="M291"/>
  <c r="M290"/>
  <c r="M107" s="1"/>
  <c r="M214" s="1"/>
  <c r="M213" s="1"/>
  <c r="M289"/>
  <c r="M286"/>
  <c r="M285"/>
  <c r="M270"/>
  <c r="M267"/>
  <c r="M266"/>
  <c r="M262"/>
  <c r="M259"/>
  <c r="M257"/>
  <c r="M256"/>
  <c r="M255"/>
  <c r="M253"/>
  <c r="M230" s="1"/>
  <c r="M251"/>
  <c r="M250"/>
  <c r="M229"/>
  <c r="M203"/>
  <c r="M201"/>
  <c r="M198"/>
  <c r="M195"/>
  <c r="M180"/>
  <c r="M168"/>
  <c r="M167"/>
  <c r="M165"/>
  <c r="M163" s="1"/>
  <c r="M162"/>
  <c r="M161" s="1"/>
  <c r="M160"/>
  <c r="M158"/>
  <c r="M157"/>
  <c r="M155"/>
  <c r="M154" s="1"/>
  <c r="M152"/>
  <c r="M148"/>
  <c r="M147"/>
  <c r="M146"/>
  <c r="M143"/>
  <c r="M140"/>
  <c r="M138"/>
  <c r="M133"/>
  <c r="M132"/>
  <c r="M131"/>
  <c r="M127"/>
  <c r="M126"/>
  <c r="M111"/>
  <c r="M218" s="1"/>
  <c r="M99"/>
  <c r="M78"/>
  <c r="M66"/>
  <c r="M63"/>
  <c r="M59"/>
  <c r="M57"/>
  <c r="M52"/>
  <c r="M50"/>
  <c r="M45" s="1"/>
  <c r="M149" s="1"/>
  <c r="M41"/>
  <c r="M142"/>
  <c r="M32"/>
  <c r="M137" s="1"/>
  <c r="M15"/>
  <c r="M13"/>
  <c r="M124" s="1"/>
  <c r="M123" s="1"/>
  <c r="L1164"/>
  <c r="L1163" s="1"/>
  <c r="L1162" s="1"/>
  <c r="L1158"/>
  <c r="L1157" s="1"/>
  <c r="L1156" s="1"/>
  <c r="L1152"/>
  <c r="L1151" s="1"/>
  <c r="L1150" s="1"/>
  <c r="L1146"/>
  <c r="L1145" s="1"/>
  <c r="L1144" s="1"/>
  <c r="L1142"/>
  <c r="L1141" s="1"/>
  <c r="L1140" s="1"/>
  <c r="L1128"/>
  <c r="L1127" s="1"/>
  <c r="L1120"/>
  <c r="L1112"/>
  <c r="L1111"/>
  <c r="L1088"/>
  <c r="L1087" s="1"/>
  <c r="L1084"/>
  <c r="L1081" s="1"/>
  <c r="L1082"/>
  <c r="L1070" s="1"/>
  <c r="L242" s="1"/>
  <c r="L1079"/>
  <c r="L1059"/>
  <c r="L1043" s="1"/>
  <c r="L1044"/>
  <c r="L1028"/>
  <c r="L1027" s="1"/>
  <c r="L1017"/>
  <c r="L1015"/>
  <c r="L1011"/>
  <c r="L1010" s="1"/>
  <c r="L1008"/>
  <c r="L996" s="1"/>
  <c r="L246" s="1"/>
  <c r="L1007"/>
  <c r="L995" s="1"/>
  <c r="L1002"/>
  <c r="L1001"/>
  <c r="L1000"/>
  <c r="L988" s="1"/>
  <c r="L990"/>
  <c r="L978"/>
  <c r="L977" s="1"/>
  <c r="L976" s="1"/>
  <c r="L971"/>
  <c r="L970" s="1"/>
  <c r="L969" s="1"/>
  <c r="L968" s="1"/>
  <c r="L962"/>
  <c r="L961" s="1"/>
  <c r="L960" s="1"/>
  <c r="L959" s="1"/>
  <c r="L957"/>
  <c r="L952"/>
  <c r="L951" s="1"/>
  <c r="L950" s="1"/>
  <c r="L947"/>
  <c r="L943"/>
  <c r="L942" s="1"/>
  <c r="L941" s="1"/>
  <c r="L938"/>
  <c r="L934"/>
  <c r="L930"/>
  <c r="L752" s="1"/>
  <c r="L928"/>
  <c r="L922"/>
  <c r="L918"/>
  <c r="L917" s="1"/>
  <c r="L914"/>
  <c r="L910"/>
  <c r="L909" s="1"/>
  <c r="L906"/>
  <c r="L902"/>
  <c r="L901" s="1"/>
  <c r="L900" s="1"/>
  <c r="L893"/>
  <c r="L889"/>
  <c r="L888" s="1"/>
  <c r="L885"/>
  <c r="L881"/>
  <c r="L880" s="1"/>
  <c r="L877"/>
  <c r="L873"/>
  <c r="L872" s="1"/>
  <c r="L869"/>
  <c r="L865"/>
  <c r="L861"/>
  <c r="L857"/>
  <c r="L856" s="1"/>
  <c r="L849"/>
  <c r="L848" s="1"/>
  <c r="L846"/>
  <c r="L755" s="1"/>
  <c r="L844"/>
  <c r="L843"/>
  <c r="L745" s="1"/>
  <c r="L842"/>
  <c r="L744" s="1"/>
  <c r="L835"/>
  <c r="L834" s="1"/>
  <c r="L833" s="1"/>
  <c r="L829"/>
  <c r="L827" s="1"/>
  <c r="L823"/>
  <c r="L821" s="1"/>
  <c r="L817"/>
  <c r="L816" s="1"/>
  <c r="L815" s="1"/>
  <c r="L811"/>
  <c r="L810" s="1"/>
  <c r="L806"/>
  <c r="L805" s="1"/>
  <c r="L801"/>
  <c r="L800" s="1"/>
  <c r="L796"/>
  <c r="L795" s="1"/>
  <c r="L785"/>
  <c r="L784" s="1"/>
  <c r="L783" s="1"/>
  <c r="L768"/>
  <c r="L766" s="1"/>
  <c r="L761"/>
  <c r="L758" s="1"/>
  <c r="L757" s="1"/>
  <c r="L749"/>
  <c r="L747"/>
  <c r="L463" s="1"/>
  <c r="L739"/>
  <c r="L738"/>
  <c r="L737" s="1"/>
  <c r="L734"/>
  <c r="L733"/>
  <c r="L732" s="1"/>
  <c r="L725"/>
  <c r="L724" s="1"/>
  <c r="L723" s="1"/>
  <c r="L722" s="1"/>
  <c r="L719"/>
  <c r="L718" s="1"/>
  <c r="L717" s="1"/>
  <c r="L715"/>
  <c r="L711"/>
  <c r="L710" s="1"/>
  <c r="L709" s="1"/>
  <c r="L706"/>
  <c r="L702"/>
  <c r="L701" s="1"/>
  <c r="L700" s="1"/>
  <c r="L697"/>
  <c r="L693"/>
  <c r="L692" s="1"/>
  <c r="L691" s="1"/>
  <c r="L687"/>
  <c r="L683"/>
  <c r="L682" s="1"/>
  <c r="L681" s="1"/>
  <c r="L680" s="1"/>
  <c r="L676"/>
  <c r="L675" s="1"/>
  <c r="L674" s="1"/>
  <c r="L666"/>
  <c r="L662"/>
  <c r="L656"/>
  <c r="L650"/>
  <c r="L649" s="1"/>
  <c r="L648" s="1"/>
  <c r="L645"/>
  <c r="L644"/>
  <c r="L642"/>
  <c r="L641"/>
  <c r="L639"/>
  <c r="L634"/>
  <c r="L633" s="1"/>
  <c r="L631"/>
  <c r="L630" s="1"/>
  <c r="L628"/>
  <c r="L627" s="1"/>
  <c r="L625"/>
  <c r="L624" s="1"/>
  <c r="L622"/>
  <c r="L621" s="1"/>
  <c r="L619"/>
  <c r="L618" s="1"/>
  <c r="L614"/>
  <c r="L613" s="1"/>
  <c r="L612" s="1"/>
  <c r="L611" s="1"/>
  <c r="L608"/>
  <c r="L607" s="1"/>
  <c r="L606" s="1"/>
  <c r="L605" s="1"/>
  <c r="L602"/>
  <c r="L601" s="1"/>
  <c r="L600" s="1"/>
  <c r="L599" s="1"/>
  <c r="L596"/>
  <c r="L595" s="1"/>
  <c r="L594" s="1"/>
  <c r="L593" s="1"/>
  <c r="L590"/>
  <c r="L589" s="1"/>
  <c r="L580"/>
  <c r="L578"/>
  <c r="L572"/>
  <c r="L566"/>
  <c r="L565" s="1"/>
  <c r="L560"/>
  <c r="L559" s="1"/>
  <c r="L558" s="1"/>
  <c r="L24" s="1"/>
  <c r="L556"/>
  <c r="L549"/>
  <c r="L548" s="1"/>
  <c r="L545"/>
  <c r="L538"/>
  <c r="L537" s="1"/>
  <c r="L534"/>
  <c r="L527"/>
  <c r="L526" s="1"/>
  <c r="L523"/>
  <c r="L516"/>
  <c r="L515" s="1"/>
  <c r="L508"/>
  <c r="L500"/>
  <c r="L499" s="1"/>
  <c r="L497"/>
  <c r="L486" s="1"/>
  <c r="L494"/>
  <c r="L482" s="1"/>
  <c r="L493"/>
  <c r="L481" s="1"/>
  <c r="L492"/>
  <c r="L479" s="1"/>
  <c r="L490"/>
  <c r="L478" s="1"/>
  <c r="L483"/>
  <c r="L480"/>
  <c r="L469"/>
  <c r="L240" s="1"/>
  <c r="L468"/>
  <c r="L239" s="1"/>
  <c r="L453"/>
  <c r="L449"/>
  <c r="L448" s="1"/>
  <c r="L442"/>
  <c r="L440" s="1"/>
  <c r="L435"/>
  <c r="L433"/>
  <c r="L432" s="1"/>
  <c r="L429"/>
  <c r="L427"/>
  <c r="L426"/>
  <c r="L425"/>
  <c r="L419"/>
  <c r="L252" s="1"/>
  <c r="L228" s="1"/>
  <c r="L404"/>
  <c r="L403" s="1"/>
  <c r="L399"/>
  <c r="L395"/>
  <c r="L254" s="1"/>
  <c r="L390"/>
  <c r="L389" s="1"/>
  <c r="L388" s="1"/>
  <c r="L383"/>
  <c r="L382" s="1"/>
  <c r="L381" s="1"/>
  <c r="L377"/>
  <c r="L376" s="1"/>
  <c r="L375" s="1"/>
  <c r="L371"/>
  <c r="L370" s="1"/>
  <c r="L369" s="1"/>
  <c r="L365"/>
  <c r="L364" s="1"/>
  <c r="L363" s="1"/>
  <c r="L359"/>
  <c r="L358" s="1"/>
  <c r="L357" s="1"/>
  <c r="L335"/>
  <c r="L334" s="1"/>
  <c r="L333" s="1"/>
  <c r="L332"/>
  <c r="L329" s="1"/>
  <c r="L328" s="1"/>
  <c r="L327" s="1"/>
  <c r="L323"/>
  <c r="L322" s="1"/>
  <c r="L321" s="1"/>
  <c r="L317"/>
  <c r="L311"/>
  <c r="L310" s="1"/>
  <c r="L309" s="1"/>
  <c r="L291"/>
  <c r="L290"/>
  <c r="L107" s="1"/>
  <c r="L214" s="1"/>
  <c r="L213" s="1"/>
  <c r="L289"/>
  <c r="L287"/>
  <c r="L286"/>
  <c r="L285"/>
  <c r="L270"/>
  <c r="L267"/>
  <c r="L266"/>
  <c r="L262"/>
  <c r="L259"/>
  <c r="L257"/>
  <c r="L256"/>
  <c r="L255"/>
  <c r="L253"/>
  <c r="L230" s="1"/>
  <c r="L251"/>
  <c r="L250"/>
  <c r="L229"/>
  <c r="L203"/>
  <c r="L201"/>
  <c r="L198"/>
  <c r="L195"/>
  <c r="L180"/>
  <c r="L168"/>
  <c r="L167"/>
  <c r="L165"/>
  <c r="L163" s="1"/>
  <c r="L162"/>
  <c r="L161" s="1"/>
  <c r="L160"/>
  <c r="L158"/>
  <c r="L157"/>
  <c r="L155"/>
  <c r="L154" s="1"/>
  <c r="L152"/>
  <c r="L148"/>
  <c r="L147"/>
  <c r="L146"/>
  <c r="L143"/>
  <c r="L140"/>
  <c r="L138"/>
  <c r="L133"/>
  <c r="L132"/>
  <c r="L131"/>
  <c r="L127"/>
  <c r="L126"/>
  <c r="L111"/>
  <c r="L218" s="1"/>
  <c r="L99"/>
  <c r="L78"/>
  <c r="L66"/>
  <c r="L63"/>
  <c r="L59"/>
  <c r="L57"/>
  <c r="L52"/>
  <c r="L50"/>
  <c r="L45" s="1"/>
  <c r="L149" s="1"/>
  <c r="L41"/>
  <c r="L142"/>
  <c r="L32"/>
  <c r="L137" s="1"/>
  <c r="L15"/>
  <c r="L13"/>
  <c r="L124" s="1"/>
  <c r="L123" s="1"/>
  <c r="K1164"/>
  <c r="O1164" s="1"/>
  <c r="K1158"/>
  <c r="K1157" s="1"/>
  <c r="K1156" s="1"/>
  <c r="K1152"/>
  <c r="K1151" s="1"/>
  <c r="K1150" s="1"/>
  <c r="K1146"/>
  <c r="K1145" s="1"/>
  <c r="K1144" s="1"/>
  <c r="O1144" s="1"/>
  <c r="K1142"/>
  <c r="O1142" s="1"/>
  <c r="K1141"/>
  <c r="K1140" s="1"/>
  <c r="O1140" s="1"/>
  <c r="K1128"/>
  <c r="K1120"/>
  <c r="K1112"/>
  <c r="O1112" s="1"/>
  <c r="K1111"/>
  <c r="K1088"/>
  <c r="K1087" s="1"/>
  <c r="K1084"/>
  <c r="K1081" s="1"/>
  <c r="K1082"/>
  <c r="K1070" s="1"/>
  <c r="K242" s="1"/>
  <c r="O242" s="1"/>
  <c r="K1079"/>
  <c r="K1059"/>
  <c r="K1043" s="1"/>
  <c r="K1044"/>
  <c r="O1044" s="1"/>
  <c r="K1028"/>
  <c r="K1027" s="1"/>
  <c r="O1027" s="1"/>
  <c r="K1017"/>
  <c r="O1017" s="1"/>
  <c r="K1015"/>
  <c r="O1015" s="1"/>
  <c r="K1011"/>
  <c r="K1010" s="1"/>
  <c r="K1008"/>
  <c r="O1008" s="1"/>
  <c r="K1007"/>
  <c r="K995" s="1"/>
  <c r="K1002"/>
  <c r="O1002" s="1"/>
  <c r="K1001"/>
  <c r="K1000"/>
  <c r="K988" s="1"/>
  <c r="K990"/>
  <c r="K978"/>
  <c r="K977" s="1"/>
  <c r="K976" s="1"/>
  <c r="K971"/>
  <c r="O971" s="1"/>
  <c r="K962"/>
  <c r="K957"/>
  <c r="O957" s="1"/>
  <c r="K952"/>
  <c r="K951" s="1"/>
  <c r="K950" s="1"/>
  <c r="K947"/>
  <c r="K943"/>
  <c r="K942" s="1"/>
  <c r="K941" s="1"/>
  <c r="K938"/>
  <c r="O938" s="1"/>
  <c r="K934"/>
  <c r="K930"/>
  <c r="K928"/>
  <c r="O928" s="1"/>
  <c r="K922"/>
  <c r="K918"/>
  <c r="K917" s="1"/>
  <c r="K914"/>
  <c r="O914" s="1"/>
  <c r="K910"/>
  <c r="K909" s="1"/>
  <c r="K906"/>
  <c r="O906" s="1"/>
  <c r="K902"/>
  <c r="K901" s="1"/>
  <c r="K893"/>
  <c r="O893" s="1"/>
  <c r="K889"/>
  <c r="K888" s="1"/>
  <c r="K885"/>
  <c r="O885" s="1"/>
  <c r="K881"/>
  <c r="K880" s="1"/>
  <c r="K877"/>
  <c r="O877" s="1"/>
  <c r="K873"/>
  <c r="K872" s="1"/>
  <c r="K869"/>
  <c r="K865"/>
  <c r="K864" s="1"/>
  <c r="K861"/>
  <c r="K857"/>
  <c r="K856" s="1"/>
  <c r="K855" s="1"/>
  <c r="K849"/>
  <c r="K848" s="1"/>
  <c r="O848" s="1"/>
  <c r="K846"/>
  <c r="K755" s="1"/>
  <c r="O755" s="1"/>
  <c r="K844"/>
  <c r="O844" s="1"/>
  <c r="K843"/>
  <c r="K745" s="1"/>
  <c r="O745" s="1"/>
  <c r="K842"/>
  <c r="K744" s="1"/>
  <c r="O744" s="1"/>
  <c r="K835"/>
  <c r="K829"/>
  <c r="O829" s="1"/>
  <c r="K823"/>
  <c r="K817"/>
  <c r="K811"/>
  <c r="K806"/>
  <c r="K801"/>
  <c r="K796"/>
  <c r="K785"/>
  <c r="K768"/>
  <c r="K761"/>
  <c r="O761" s="1"/>
  <c r="K749"/>
  <c r="O749" s="1"/>
  <c r="K747"/>
  <c r="O747" s="1"/>
  <c r="K739"/>
  <c r="O739" s="1"/>
  <c r="K738"/>
  <c r="K734"/>
  <c r="O734" s="1"/>
  <c r="K733"/>
  <c r="K725"/>
  <c r="O725" s="1"/>
  <c r="K719"/>
  <c r="K715"/>
  <c r="O715" s="1"/>
  <c r="K711"/>
  <c r="O711" s="1"/>
  <c r="K706"/>
  <c r="O706" s="1"/>
  <c r="K702"/>
  <c r="K697"/>
  <c r="O697" s="1"/>
  <c r="K693"/>
  <c r="O693" s="1"/>
  <c r="K687"/>
  <c r="O687" s="1"/>
  <c r="K683"/>
  <c r="O683" s="1"/>
  <c r="K676"/>
  <c r="K666"/>
  <c r="K662"/>
  <c r="O662" s="1"/>
  <c r="K656"/>
  <c r="O656" s="1"/>
  <c r="K650"/>
  <c r="K645"/>
  <c r="O645" s="1"/>
  <c r="K644"/>
  <c r="O644" s="1"/>
  <c r="K642"/>
  <c r="O642" s="1"/>
  <c r="K641"/>
  <c r="O641" s="1"/>
  <c r="K639"/>
  <c r="O639" s="1"/>
  <c r="K634"/>
  <c r="K631"/>
  <c r="K628"/>
  <c r="K625"/>
  <c r="K622"/>
  <c r="O622" s="1"/>
  <c r="K619"/>
  <c r="K614"/>
  <c r="O614" s="1"/>
  <c r="K608"/>
  <c r="K602"/>
  <c r="K596"/>
  <c r="O596" s="1"/>
  <c r="K590"/>
  <c r="O590" s="1"/>
  <c r="K580"/>
  <c r="O580" s="1"/>
  <c r="K578"/>
  <c r="O578" s="1"/>
  <c r="K572"/>
  <c r="O572" s="1"/>
  <c r="K566"/>
  <c r="K560"/>
  <c r="K556"/>
  <c r="O556" s="1"/>
  <c r="K549"/>
  <c r="K545"/>
  <c r="O545" s="1"/>
  <c r="K538"/>
  <c r="K534"/>
  <c r="O534" s="1"/>
  <c r="K527"/>
  <c r="O527" s="1"/>
  <c r="K523"/>
  <c r="O523" s="1"/>
  <c r="K516"/>
  <c r="K508"/>
  <c r="O508" s="1"/>
  <c r="K500"/>
  <c r="K497"/>
  <c r="K494"/>
  <c r="K493"/>
  <c r="K492"/>
  <c r="K490"/>
  <c r="O490" s="1"/>
  <c r="K483"/>
  <c r="O483" s="1"/>
  <c r="K480"/>
  <c r="O480" s="1"/>
  <c r="K469"/>
  <c r="K468"/>
  <c r="O468" s="1"/>
  <c r="K453"/>
  <c r="O453" s="1"/>
  <c r="K449"/>
  <c r="K442"/>
  <c r="K435"/>
  <c r="O435" s="1"/>
  <c r="K433"/>
  <c r="K429"/>
  <c r="O429" s="1"/>
  <c r="K427"/>
  <c r="O427" s="1"/>
  <c r="K426"/>
  <c r="O426" s="1"/>
  <c r="K425"/>
  <c r="O425" s="1"/>
  <c r="K419"/>
  <c r="O419" s="1"/>
  <c r="K404"/>
  <c r="K399"/>
  <c r="O399" s="1"/>
  <c r="K395"/>
  <c r="K390"/>
  <c r="O390" s="1"/>
  <c r="K383"/>
  <c r="K377"/>
  <c r="K371"/>
  <c r="K365"/>
  <c r="K359"/>
  <c r="O359" s="1"/>
  <c r="K335"/>
  <c r="K332"/>
  <c r="K323"/>
  <c r="K317"/>
  <c r="O317" s="1"/>
  <c r="K311"/>
  <c r="O311" s="1"/>
  <c r="K291"/>
  <c r="O291" s="1"/>
  <c r="K290"/>
  <c r="K289"/>
  <c r="O289" s="1"/>
  <c r="K286"/>
  <c r="K285"/>
  <c r="O285" s="1"/>
  <c r="K270"/>
  <c r="K267"/>
  <c r="O267" s="1"/>
  <c r="K266"/>
  <c r="K262"/>
  <c r="O262" s="1"/>
  <c r="K259"/>
  <c r="O259" s="1"/>
  <c r="K257"/>
  <c r="O257" s="1"/>
  <c r="K256"/>
  <c r="O256" s="1"/>
  <c r="K255"/>
  <c r="O255" s="1"/>
  <c r="K253"/>
  <c r="K251"/>
  <c r="O251" s="1"/>
  <c r="K250"/>
  <c r="K229"/>
  <c r="O229" s="1"/>
  <c r="K203"/>
  <c r="O203" s="1"/>
  <c r="K201"/>
  <c r="O201" s="1"/>
  <c r="K198"/>
  <c r="O198" s="1"/>
  <c r="K195"/>
  <c r="O195" s="1"/>
  <c r="K180"/>
  <c r="O180" s="1"/>
  <c r="K167"/>
  <c r="O167" s="1"/>
  <c r="K165"/>
  <c r="K162"/>
  <c r="K160"/>
  <c r="O160" s="1"/>
  <c r="K158"/>
  <c r="K157"/>
  <c r="O157" s="1"/>
  <c r="K155"/>
  <c r="K152"/>
  <c r="O152" s="1"/>
  <c r="K148"/>
  <c r="O148" s="1"/>
  <c r="K147"/>
  <c r="O147" s="1"/>
  <c r="K146"/>
  <c r="O146" s="1"/>
  <c r="K143"/>
  <c r="O143" s="1"/>
  <c r="K140"/>
  <c r="O140" s="1"/>
  <c r="K138"/>
  <c r="O138" s="1"/>
  <c r="K133"/>
  <c r="O133" s="1"/>
  <c r="K132"/>
  <c r="O132" s="1"/>
  <c r="K131"/>
  <c r="K127"/>
  <c r="K126"/>
  <c r="K111"/>
  <c r="K99"/>
  <c r="O99" s="1"/>
  <c r="K78"/>
  <c r="O78" s="1"/>
  <c r="K63"/>
  <c r="O63" s="1"/>
  <c r="K59"/>
  <c r="O59" s="1"/>
  <c r="K57"/>
  <c r="O57" s="1"/>
  <c r="K52"/>
  <c r="K50"/>
  <c r="K41"/>
  <c r="O41" s="1"/>
  <c r="K142"/>
  <c r="O142" s="1"/>
  <c r="K32"/>
  <c r="K136"/>
  <c r="K15"/>
  <c r="O15" s="1"/>
  <c r="K13"/>
  <c r="O13" s="1"/>
  <c r="P37"/>
  <c r="Q262"/>
  <c r="R262"/>
  <c r="S262"/>
  <c r="F262"/>
  <c r="G262"/>
  <c r="H262"/>
  <c r="I262"/>
  <c r="J262"/>
  <c r="J292"/>
  <c r="P292" s="1"/>
  <c r="J41"/>
  <c r="P41" s="1"/>
  <c r="Q111"/>
  <c r="Q110" s="1"/>
  <c r="Q217" s="1"/>
  <c r="R111"/>
  <c r="R218" s="1"/>
  <c r="S111"/>
  <c r="S218" s="1"/>
  <c r="G111"/>
  <c r="G110" s="1"/>
  <c r="G217" s="1"/>
  <c r="H111"/>
  <c r="H218" s="1"/>
  <c r="I111"/>
  <c r="I218" s="1"/>
  <c r="J111"/>
  <c r="I1139"/>
  <c r="G1158"/>
  <c r="G1157" s="1"/>
  <c r="G1156" s="1"/>
  <c r="H1158"/>
  <c r="H1157" s="1"/>
  <c r="H1156" s="1"/>
  <c r="I1158"/>
  <c r="I1157" s="1"/>
  <c r="I1156" s="1"/>
  <c r="J1158"/>
  <c r="J1157" s="1"/>
  <c r="J1156" s="1"/>
  <c r="Q1158"/>
  <c r="Q1157" s="1"/>
  <c r="Q1156" s="1"/>
  <c r="R1158"/>
  <c r="R1157" s="1"/>
  <c r="R1156" s="1"/>
  <c r="S1158"/>
  <c r="S1157" s="1"/>
  <c r="S1156" s="1"/>
  <c r="M514" l="1"/>
  <c r="O1120"/>
  <c r="K334"/>
  <c r="O335"/>
  <c r="K649"/>
  <c r="O649" s="1"/>
  <c r="O650"/>
  <c r="K795"/>
  <c r="O795" s="1"/>
  <c r="O796"/>
  <c r="K329"/>
  <c r="O332"/>
  <c r="K537"/>
  <c r="O537" s="1"/>
  <c r="O538"/>
  <c r="K607"/>
  <c r="O607" s="1"/>
  <c r="O608"/>
  <c r="K784"/>
  <c r="O785"/>
  <c r="K403"/>
  <c r="O403" s="1"/>
  <c r="O404"/>
  <c r="K240"/>
  <c r="O240" s="1"/>
  <c r="O469"/>
  <c r="K701"/>
  <c r="O702"/>
  <c r="K887"/>
  <c r="M166"/>
  <c r="M232"/>
  <c r="N514"/>
  <c r="K322"/>
  <c r="O322" s="1"/>
  <c r="O323"/>
  <c r="K163"/>
  <c r="O163" s="1"/>
  <c r="O165"/>
  <c r="K254"/>
  <c r="O254" s="1"/>
  <c r="O395"/>
  <c r="K515"/>
  <c r="O515" s="1"/>
  <c r="O516"/>
  <c r="K834"/>
  <c r="O834" s="1"/>
  <c r="O835"/>
  <c r="O52"/>
  <c r="K448"/>
  <c r="O448" s="1"/>
  <c r="O449"/>
  <c r="K633"/>
  <c r="O633" s="1"/>
  <c r="O634"/>
  <c r="K45"/>
  <c r="O50"/>
  <c r="J218"/>
  <c r="P111"/>
  <c r="K382"/>
  <c r="O382" s="1"/>
  <c r="O383"/>
  <c r="K440"/>
  <c r="O440" s="1"/>
  <c r="O442"/>
  <c r="K499"/>
  <c r="O499" s="1"/>
  <c r="O500"/>
  <c r="K630"/>
  <c r="O630" s="1"/>
  <c r="O631"/>
  <c r="K737"/>
  <c r="O737" s="1"/>
  <c r="O738"/>
  <c r="K822"/>
  <c r="O823"/>
  <c r="L750"/>
  <c r="M564"/>
  <c r="O266"/>
  <c r="K376"/>
  <c r="O377"/>
  <c r="K486"/>
  <c r="O486" s="1"/>
  <c r="O497"/>
  <c r="K565"/>
  <c r="O565" s="1"/>
  <c r="O566"/>
  <c r="K627"/>
  <c r="O627" s="1"/>
  <c r="O628"/>
  <c r="K675"/>
  <c r="O676"/>
  <c r="K816"/>
  <c r="O816" s="1"/>
  <c r="O817"/>
  <c r="O131"/>
  <c r="K287"/>
  <c r="K766"/>
  <c r="O766" s="1"/>
  <c r="O768"/>
  <c r="K161"/>
  <c r="O161" s="1"/>
  <c r="O162"/>
  <c r="K230"/>
  <c r="O230" s="1"/>
  <c r="O253"/>
  <c r="K370"/>
  <c r="O371"/>
  <c r="K482"/>
  <c r="O482" s="1"/>
  <c r="O494"/>
  <c r="K732"/>
  <c r="O732" s="1"/>
  <c r="O733"/>
  <c r="O158"/>
  <c r="P262"/>
  <c r="O250"/>
  <c r="O286"/>
  <c r="O433"/>
  <c r="O625"/>
  <c r="O666"/>
  <c r="O811"/>
  <c r="K863"/>
  <c r="K916"/>
  <c r="M855"/>
  <c r="N287"/>
  <c r="K107"/>
  <c r="O107" s="1"/>
  <c r="O290"/>
  <c r="K154"/>
  <c r="O154" s="1"/>
  <c r="O155"/>
  <c r="K364"/>
  <c r="O365"/>
  <c r="K481"/>
  <c r="O481" s="1"/>
  <c r="O493"/>
  <c r="K805"/>
  <c r="O805" s="1"/>
  <c r="O806"/>
  <c r="K601"/>
  <c r="O601" s="1"/>
  <c r="O602"/>
  <c r="K218"/>
  <c r="O218" s="1"/>
  <c r="O111"/>
  <c r="K479"/>
  <c r="O479" s="1"/>
  <c r="O492"/>
  <c r="K548"/>
  <c r="O548" s="1"/>
  <c r="O549"/>
  <c r="K618"/>
  <c r="O618" s="1"/>
  <c r="O619"/>
  <c r="K718"/>
  <c r="O718" s="1"/>
  <c r="O719"/>
  <c r="K800"/>
  <c r="O800" s="1"/>
  <c r="O801"/>
  <c r="O270"/>
  <c r="O127"/>
  <c r="O126"/>
  <c r="K137"/>
  <c r="O137" s="1"/>
  <c r="O32"/>
  <c r="K559"/>
  <c r="O559" s="1"/>
  <c r="O560"/>
  <c r="K845"/>
  <c r="K624"/>
  <c r="O624" s="1"/>
  <c r="K724"/>
  <c r="K621"/>
  <c r="O621" s="1"/>
  <c r="K900"/>
  <c r="M428"/>
  <c r="L97"/>
  <c r="L204" s="1"/>
  <c r="L855"/>
  <c r="O855" s="1"/>
  <c r="N680"/>
  <c r="L887"/>
  <c r="M547"/>
  <c r="K996"/>
  <c r="K463"/>
  <c r="O463" s="1"/>
  <c r="O869"/>
  <c r="O922"/>
  <c r="O990"/>
  <c r="L232"/>
  <c r="L879"/>
  <c r="M750"/>
  <c r="M466" s="1"/>
  <c r="M236" s="1"/>
  <c r="N900"/>
  <c r="O976"/>
  <c r="M103"/>
  <c r="M102" s="1"/>
  <c r="L103"/>
  <c r="L102" s="1"/>
  <c r="M708"/>
  <c r="M887"/>
  <c r="N879"/>
  <c r="O1141"/>
  <c r="L708"/>
  <c r="M699"/>
  <c r="M879"/>
  <c r="N871"/>
  <c r="O861"/>
  <c r="L699"/>
  <c r="M871"/>
  <c r="N564"/>
  <c r="N916"/>
  <c r="K102"/>
  <c r="K210" s="1"/>
  <c r="K103"/>
  <c r="N845"/>
  <c r="K156"/>
  <c r="L514"/>
  <c r="M680"/>
  <c r="M863"/>
  <c r="M916"/>
  <c r="N855"/>
  <c r="N102"/>
  <c r="N103"/>
  <c r="K879"/>
  <c r="L871"/>
  <c r="M845"/>
  <c r="P1122"/>
  <c r="K110"/>
  <c r="K871"/>
  <c r="K750"/>
  <c r="O750" s="1"/>
  <c r="L166"/>
  <c r="L564"/>
  <c r="L916"/>
  <c r="N536"/>
  <c r="N708"/>
  <c r="N750"/>
  <c r="L288"/>
  <c r="L845"/>
  <c r="M287"/>
  <c r="M900"/>
  <c r="M949"/>
  <c r="N887"/>
  <c r="N1065"/>
  <c r="K1163"/>
  <c r="O1128"/>
  <c r="L125"/>
  <c r="K97"/>
  <c r="O1156"/>
  <c r="P1156" s="1"/>
  <c r="K288"/>
  <c r="O1111"/>
  <c r="M1065"/>
  <c r="O1087"/>
  <c r="O1043"/>
  <c r="O1001"/>
  <c r="O988"/>
  <c r="O962"/>
  <c r="N470"/>
  <c r="N238" s="1"/>
  <c r="O930"/>
  <c r="K752"/>
  <c r="O947"/>
  <c r="L470"/>
  <c r="L238" s="1"/>
  <c r="N828"/>
  <c r="M827"/>
  <c r="L828"/>
  <c r="K827"/>
  <c r="O827" s="1"/>
  <c r="M748"/>
  <c r="M464" s="1"/>
  <c r="M233" s="1"/>
  <c r="M465"/>
  <c r="M234" s="1"/>
  <c r="K465"/>
  <c r="L465"/>
  <c r="L234" s="1"/>
  <c r="K239"/>
  <c r="O239" s="1"/>
  <c r="L447"/>
  <c r="L446" s="1"/>
  <c r="L428"/>
  <c r="K424"/>
  <c r="M252"/>
  <c r="M228" s="1"/>
  <c r="K417"/>
  <c r="K252"/>
  <c r="K394"/>
  <c r="M156"/>
  <c r="L145"/>
  <c r="N125"/>
  <c r="M125"/>
  <c r="K758"/>
  <c r="M758"/>
  <c r="M757" s="1"/>
  <c r="K748"/>
  <c r="O1157"/>
  <c r="P1157" s="1"/>
  <c r="O1158"/>
  <c r="P1158" s="1"/>
  <c r="O1150"/>
  <c r="L1115"/>
  <c r="K1115"/>
  <c r="O1151"/>
  <c r="O1152"/>
  <c r="N1115"/>
  <c r="O1145"/>
  <c r="O1146"/>
  <c r="M1115"/>
  <c r="K1127"/>
  <c r="K1065"/>
  <c r="L1065"/>
  <c r="K1078"/>
  <c r="O1078" s="1"/>
  <c r="M1078"/>
  <c r="O1079"/>
  <c r="N1078"/>
  <c r="L1078"/>
  <c r="O1088"/>
  <c r="O1081"/>
  <c r="O1082"/>
  <c r="O1070"/>
  <c r="K1083"/>
  <c r="M1083"/>
  <c r="N1083"/>
  <c r="O1084"/>
  <c r="L1083"/>
  <c r="O1059"/>
  <c r="L1026"/>
  <c r="O1028"/>
  <c r="N1026"/>
  <c r="M1026"/>
  <c r="K1026"/>
  <c r="O995"/>
  <c r="O1007"/>
  <c r="K1009"/>
  <c r="K998"/>
  <c r="O1010"/>
  <c r="O1011"/>
  <c r="O1000"/>
  <c r="K999"/>
  <c r="K989"/>
  <c r="L999"/>
  <c r="L987" s="1"/>
  <c r="L989"/>
  <c r="N999"/>
  <c r="N989"/>
  <c r="M999"/>
  <c r="M989"/>
  <c r="O978"/>
  <c r="O977"/>
  <c r="K970"/>
  <c r="K961"/>
  <c r="L949"/>
  <c r="L929"/>
  <c r="K949"/>
  <c r="N949"/>
  <c r="O950"/>
  <c r="O951"/>
  <c r="O952"/>
  <c r="N940"/>
  <c r="M929"/>
  <c r="L940"/>
  <c r="M940"/>
  <c r="K940"/>
  <c r="N927"/>
  <c r="N746" s="1"/>
  <c r="L927"/>
  <c r="L746" s="1"/>
  <c r="O941"/>
  <c r="K927"/>
  <c r="K746" s="1"/>
  <c r="O942"/>
  <c r="O943"/>
  <c r="K929"/>
  <c r="M470"/>
  <c r="M241" s="1"/>
  <c r="N929"/>
  <c r="O934"/>
  <c r="O917"/>
  <c r="O918"/>
  <c r="K908"/>
  <c r="N908"/>
  <c r="O846"/>
  <c r="L908"/>
  <c r="M908"/>
  <c r="O909"/>
  <c r="O910"/>
  <c r="O901"/>
  <c r="O902"/>
  <c r="O888"/>
  <c r="O889"/>
  <c r="O880"/>
  <c r="O881"/>
  <c r="O872"/>
  <c r="O873"/>
  <c r="O865"/>
  <c r="N841"/>
  <c r="O856"/>
  <c r="O857"/>
  <c r="O842"/>
  <c r="O843"/>
  <c r="L461"/>
  <c r="M460"/>
  <c r="M226" s="1"/>
  <c r="L841"/>
  <c r="O849"/>
  <c r="K833"/>
  <c r="O833" s="1"/>
  <c r="K828"/>
  <c r="O828" s="1"/>
  <c r="K821"/>
  <c r="K815"/>
  <c r="O815" s="1"/>
  <c r="K810"/>
  <c r="O810" s="1"/>
  <c r="M474"/>
  <c r="L748"/>
  <c r="L464" s="1"/>
  <c r="N748"/>
  <c r="N464" s="1"/>
  <c r="N233" s="1"/>
  <c r="N465"/>
  <c r="N234" s="1"/>
  <c r="K717"/>
  <c r="O717" s="1"/>
  <c r="K710"/>
  <c r="O710" s="1"/>
  <c r="L690"/>
  <c r="M690"/>
  <c r="N690"/>
  <c r="K692"/>
  <c r="O692" s="1"/>
  <c r="K682"/>
  <c r="O682" s="1"/>
  <c r="K640"/>
  <c r="K648"/>
  <c r="O648" s="1"/>
  <c r="K466"/>
  <c r="L466"/>
  <c r="L236" s="1"/>
  <c r="M640"/>
  <c r="N466"/>
  <c r="N236" s="1"/>
  <c r="L640"/>
  <c r="N640"/>
  <c r="K613"/>
  <c r="O613" s="1"/>
  <c r="K606"/>
  <c r="O606" s="1"/>
  <c r="K600"/>
  <c r="O600" s="1"/>
  <c r="K595"/>
  <c r="O595" s="1"/>
  <c r="M586"/>
  <c r="L586"/>
  <c r="L585"/>
  <c r="N586"/>
  <c r="K586"/>
  <c r="O586" s="1"/>
  <c r="K589"/>
  <c r="O589" s="1"/>
  <c r="N589"/>
  <c r="N585" s="1"/>
  <c r="M575"/>
  <c r="K564"/>
  <c r="O564" s="1"/>
  <c r="L547"/>
  <c r="N547"/>
  <c r="K547"/>
  <c r="M536"/>
  <c r="L536"/>
  <c r="K536"/>
  <c r="O536" s="1"/>
  <c r="L136"/>
  <c r="O136" s="1"/>
  <c r="K495"/>
  <c r="M525"/>
  <c r="N495"/>
  <c r="N484" s="1"/>
  <c r="N474"/>
  <c r="L525"/>
  <c r="M495"/>
  <c r="M484" s="1"/>
  <c r="L495"/>
  <c r="L484" s="1"/>
  <c r="L474"/>
  <c r="K478"/>
  <c r="O478" s="1"/>
  <c r="K526"/>
  <c r="O526" s="1"/>
  <c r="K514"/>
  <c r="N447"/>
  <c r="N446" s="1"/>
  <c r="N428"/>
  <c r="M447"/>
  <c r="M446" s="1"/>
  <c r="K447"/>
  <c r="K428"/>
  <c r="K432"/>
  <c r="O432" s="1"/>
  <c r="N394"/>
  <c r="N393" s="1"/>
  <c r="N392" s="1"/>
  <c r="L394"/>
  <c r="L393" s="1"/>
  <c r="L392" s="1"/>
  <c r="K389"/>
  <c r="O389" s="1"/>
  <c r="K381"/>
  <c r="O381" s="1"/>
  <c r="M288"/>
  <c r="M97"/>
  <c r="M204" s="1"/>
  <c r="N106"/>
  <c r="L106"/>
  <c r="N97"/>
  <c r="N204" s="1"/>
  <c r="N193" s="1"/>
  <c r="K358"/>
  <c r="O358" s="1"/>
  <c r="K321"/>
  <c r="O321" s="1"/>
  <c r="K284"/>
  <c r="O284" s="1"/>
  <c r="L284"/>
  <c r="L283" s="1"/>
  <c r="L265" s="1"/>
  <c r="L260" s="1"/>
  <c r="K310"/>
  <c r="O310" s="1"/>
  <c r="N166"/>
  <c r="L156"/>
  <c r="N156"/>
  <c r="L40"/>
  <c r="M40"/>
  <c r="N40"/>
  <c r="K40"/>
  <c r="N145"/>
  <c r="M145"/>
  <c r="K145"/>
  <c r="O145" s="1"/>
  <c r="K125"/>
  <c r="K124"/>
  <c r="O124" s="1"/>
  <c r="N269"/>
  <c r="N847"/>
  <c r="N284"/>
  <c r="N283" s="1"/>
  <c r="N1073"/>
  <c r="N431"/>
  <c r="N430" s="1"/>
  <c r="N1126"/>
  <c r="N1116"/>
  <c r="N1074" s="1"/>
  <c r="N772"/>
  <c r="N85"/>
  <c r="N178" s="1"/>
  <c r="N174" s="1"/>
  <c r="N173" s="1"/>
  <c r="N1119"/>
  <c r="N1109"/>
  <c r="N987"/>
  <c r="N20"/>
  <c r="N19" s="1"/>
  <c r="N134"/>
  <c r="N130" s="1"/>
  <c r="N129" s="1"/>
  <c r="N643"/>
  <c r="N209"/>
  <c r="N210"/>
  <c r="N461"/>
  <c r="N460"/>
  <c r="N226" s="1"/>
  <c r="N258"/>
  <c r="N235" s="1"/>
  <c r="N402"/>
  <c r="N401" s="1"/>
  <c r="N1086"/>
  <c r="N1077"/>
  <c r="N617"/>
  <c r="N1003"/>
  <c r="N991" s="1"/>
  <c r="N498"/>
  <c r="N488"/>
  <c r="N476" s="1"/>
  <c r="N647"/>
  <c r="N1009"/>
  <c r="N997" s="1"/>
  <c r="N998"/>
  <c r="N646"/>
  <c r="N472" s="1"/>
  <c r="N243" s="1"/>
  <c r="N822"/>
  <c r="N864"/>
  <c r="N863" s="1"/>
  <c r="N933"/>
  <c r="N316"/>
  <c r="N315" s="1"/>
  <c r="N577"/>
  <c r="N576" s="1"/>
  <c r="N575" s="1"/>
  <c r="N110"/>
  <c r="N217" s="1"/>
  <c r="N489"/>
  <c r="N477" s="1"/>
  <c r="N1058"/>
  <c r="N424"/>
  <c r="N441"/>
  <c r="N423" s="1"/>
  <c r="N661"/>
  <c r="N660" s="1"/>
  <c r="N659" s="1"/>
  <c r="N588"/>
  <c r="N417"/>
  <c r="M847"/>
  <c r="M840"/>
  <c r="M431"/>
  <c r="M430" s="1"/>
  <c r="M1073"/>
  <c r="M1116"/>
  <c r="M1074" s="1"/>
  <c r="M1126"/>
  <c r="M85"/>
  <c r="M178" s="1"/>
  <c r="M174" s="1"/>
  <c r="M173" s="1"/>
  <c r="M1119"/>
  <c r="M1109"/>
  <c r="M987"/>
  <c r="M926"/>
  <c r="M932"/>
  <c r="M461"/>
  <c r="M415"/>
  <c r="M416"/>
  <c r="M269"/>
  <c r="M258"/>
  <c r="M235" s="1"/>
  <c r="M402"/>
  <c r="M401" s="1"/>
  <c r="M498"/>
  <c r="M488"/>
  <c r="M476" s="1"/>
  <c r="M647"/>
  <c r="M1086"/>
  <c r="M1077"/>
  <c r="M617"/>
  <c r="M1003"/>
  <c r="M991" s="1"/>
  <c r="M134"/>
  <c r="M1009"/>
  <c r="M998"/>
  <c r="M284"/>
  <c r="M821"/>
  <c r="M841"/>
  <c r="M110"/>
  <c r="M217" s="1"/>
  <c r="M489"/>
  <c r="M477" s="1"/>
  <c r="M1058"/>
  <c r="M424"/>
  <c r="M441"/>
  <c r="M423" s="1"/>
  <c r="M661"/>
  <c r="M660" s="1"/>
  <c r="M659" s="1"/>
  <c r="M675"/>
  <c r="M674" s="1"/>
  <c r="M106"/>
  <c r="M189"/>
  <c r="M188" s="1"/>
  <c r="M394"/>
  <c r="M393" s="1"/>
  <c r="M392" s="1"/>
  <c r="M387" s="1"/>
  <c r="M589"/>
  <c r="M927"/>
  <c r="M746" s="1"/>
  <c r="M136"/>
  <c r="L269"/>
  <c r="L847"/>
  <c r="L1073"/>
  <c r="L431"/>
  <c r="L430" s="1"/>
  <c r="L1126"/>
  <c r="L1116"/>
  <c r="L1074" s="1"/>
  <c r="L772"/>
  <c r="L85"/>
  <c r="L178" s="1"/>
  <c r="L174" s="1"/>
  <c r="L173" s="1"/>
  <c r="L1119"/>
  <c r="L1109"/>
  <c r="L1063" s="1"/>
  <c r="L643"/>
  <c r="L460"/>
  <c r="L226" s="1"/>
  <c r="L498"/>
  <c r="L488"/>
  <c r="L476" s="1"/>
  <c r="L1086"/>
  <c r="L1076" s="1"/>
  <c r="L1077"/>
  <c r="L193"/>
  <c r="L617"/>
  <c r="L1003"/>
  <c r="L991" s="1"/>
  <c r="L258"/>
  <c r="L235" s="1"/>
  <c r="L402"/>
  <c r="L401" s="1"/>
  <c r="L134"/>
  <c r="L20"/>
  <c r="L19" s="1"/>
  <c r="L647"/>
  <c r="L1009"/>
  <c r="L998"/>
  <c r="L646"/>
  <c r="L472" s="1"/>
  <c r="L243" s="1"/>
  <c r="L822"/>
  <c r="L864"/>
  <c r="L863" s="1"/>
  <c r="L933"/>
  <c r="L316"/>
  <c r="L315" s="1"/>
  <c r="L577"/>
  <c r="L576" s="1"/>
  <c r="L575" s="1"/>
  <c r="L110"/>
  <c r="L489"/>
  <c r="L477" s="1"/>
  <c r="L1058"/>
  <c r="L424"/>
  <c r="L441"/>
  <c r="L423" s="1"/>
  <c r="L661"/>
  <c r="L660" s="1"/>
  <c r="L659" s="1"/>
  <c r="L189"/>
  <c r="L188" s="1"/>
  <c r="L588"/>
  <c r="L417"/>
  <c r="K269"/>
  <c r="K498"/>
  <c r="K488"/>
  <c r="K1086"/>
  <c r="K1077"/>
  <c r="K1003"/>
  <c r="K1073"/>
  <c r="K85"/>
  <c r="O85" s="1"/>
  <c r="K461"/>
  <c r="O461" s="1"/>
  <c r="K643"/>
  <c r="K674"/>
  <c r="K214"/>
  <c r="O214" s="1"/>
  <c r="K106"/>
  <c r="O106" s="1"/>
  <c r="K617"/>
  <c r="K258"/>
  <c r="O258" s="1"/>
  <c r="K402"/>
  <c r="O402" s="1"/>
  <c r="K1119"/>
  <c r="K1109"/>
  <c r="K847"/>
  <c r="K840"/>
  <c r="K646"/>
  <c r="K933"/>
  <c r="K316"/>
  <c r="O316" s="1"/>
  <c r="K577"/>
  <c r="O577" s="1"/>
  <c r="K841"/>
  <c r="K1058"/>
  <c r="K441"/>
  <c r="K661"/>
  <c r="I110"/>
  <c r="I217" s="1"/>
  <c r="H110"/>
  <c r="H217" s="1"/>
  <c r="Q218"/>
  <c r="G218"/>
  <c r="J110"/>
  <c r="R110"/>
  <c r="R217" s="1"/>
  <c r="S110"/>
  <c r="S217" s="1"/>
  <c r="K209" l="1"/>
  <c r="O514"/>
  <c r="K474"/>
  <c r="O474" s="1"/>
  <c r="O495"/>
  <c r="K236"/>
  <c r="O236" s="1"/>
  <c r="O466"/>
  <c r="K415"/>
  <c r="O417"/>
  <c r="K217"/>
  <c r="O110"/>
  <c r="K783"/>
  <c r="O783" s="1"/>
  <c r="O784"/>
  <c r="K333"/>
  <c r="O333" s="1"/>
  <c r="O334"/>
  <c r="K228"/>
  <c r="O228" s="1"/>
  <c r="O252"/>
  <c r="K369"/>
  <c r="O369" s="1"/>
  <c r="O370"/>
  <c r="O675"/>
  <c r="K393"/>
  <c r="O393" s="1"/>
  <c r="O394"/>
  <c r="O40"/>
  <c r="K446"/>
  <c r="O446" s="1"/>
  <c r="O447"/>
  <c r="P110"/>
  <c r="O646"/>
  <c r="O674"/>
  <c r="K234"/>
  <c r="O234" s="1"/>
  <c r="O465"/>
  <c r="K375"/>
  <c r="O375" s="1"/>
  <c r="O376"/>
  <c r="O428"/>
  <c r="K328"/>
  <c r="O329"/>
  <c r="O746"/>
  <c r="O287"/>
  <c r="K757"/>
  <c r="O757" s="1"/>
  <c r="O758"/>
  <c r="K470"/>
  <c r="O470" s="1"/>
  <c r="O752"/>
  <c r="K204"/>
  <c r="O97"/>
  <c r="K700"/>
  <c r="O701"/>
  <c r="O498"/>
  <c r="O821"/>
  <c r="K232"/>
  <c r="O232" s="1"/>
  <c r="O879"/>
  <c r="O102"/>
  <c r="O887"/>
  <c r="K149"/>
  <c r="O149" s="1"/>
  <c r="O45"/>
  <c r="O547"/>
  <c r="O640"/>
  <c r="O748"/>
  <c r="O288"/>
  <c r="O103"/>
  <c r="K723"/>
  <c r="O724"/>
  <c r="O441"/>
  <c r="O424"/>
  <c r="K363"/>
  <c r="O363" s="1"/>
  <c r="O364"/>
  <c r="O617"/>
  <c r="O488"/>
  <c r="O661"/>
  <c r="O210"/>
  <c r="O156"/>
  <c r="O822"/>
  <c r="P218"/>
  <c r="O269"/>
  <c r="O125"/>
  <c r="K558"/>
  <c r="M210"/>
  <c r="M209"/>
  <c r="O996"/>
  <c r="K246"/>
  <c r="O246" s="1"/>
  <c r="O845"/>
  <c r="O900"/>
  <c r="O863"/>
  <c r="O871"/>
  <c r="O916"/>
  <c r="L209"/>
  <c r="L210"/>
  <c r="K472"/>
  <c r="O472" s="1"/>
  <c r="M638"/>
  <c r="O1083"/>
  <c r="O1077"/>
  <c r="L637"/>
  <c r="N227"/>
  <c r="J217"/>
  <c r="L217"/>
  <c r="M101"/>
  <c r="M208" s="1"/>
  <c r="K1162"/>
  <c r="O1162" s="1"/>
  <c r="O1163"/>
  <c r="L245"/>
  <c r="L1113"/>
  <c r="L1069" s="1"/>
  <c r="O1065"/>
  <c r="M227"/>
  <c r="O1086"/>
  <c r="N1076"/>
  <c r="M1076"/>
  <c r="N241"/>
  <c r="L241"/>
  <c r="O908"/>
  <c r="O864"/>
  <c r="M772"/>
  <c r="M771" s="1"/>
  <c r="L76"/>
  <c r="L75" s="1"/>
  <c r="K464"/>
  <c r="M422"/>
  <c r="L422"/>
  <c r="K416"/>
  <c r="K249"/>
  <c r="K392"/>
  <c r="O392" s="1"/>
  <c r="N462"/>
  <c r="N231" s="1"/>
  <c r="M144"/>
  <c r="L144"/>
  <c r="M130"/>
  <c r="M129" s="1"/>
  <c r="L130"/>
  <c r="L129" s="1"/>
  <c r="O1115"/>
  <c r="O1073"/>
  <c r="K1126"/>
  <c r="O1126" s="1"/>
  <c r="K1116"/>
  <c r="O1127"/>
  <c r="N245"/>
  <c r="L227"/>
  <c r="K1063"/>
  <c r="O1109"/>
  <c r="O1119"/>
  <c r="N1063"/>
  <c r="M1063"/>
  <c r="K1076"/>
  <c r="O1058"/>
  <c r="O1026"/>
  <c r="L997"/>
  <c r="M997"/>
  <c r="K991"/>
  <c r="O991" s="1"/>
  <c r="O1003"/>
  <c r="O998"/>
  <c r="K997"/>
  <c r="O1009"/>
  <c r="K987"/>
  <c r="O987" s="1"/>
  <c r="O999"/>
  <c r="O989"/>
  <c r="O970"/>
  <c r="K969"/>
  <c r="K960"/>
  <c r="O961"/>
  <c r="O949"/>
  <c r="O927"/>
  <c r="O940"/>
  <c r="O929"/>
  <c r="M238"/>
  <c r="K241"/>
  <c r="K238"/>
  <c r="M743"/>
  <c r="O933"/>
  <c r="M839"/>
  <c r="N839"/>
  <c r="N840"/>
  <c r="O841"/>
  <c r="K839"/>
  <c r="O847"/>
  <c r="K772"/>
  <c r="M245"/>
  <c r="L233"/>
  <c r="K178"/>
  <c r="O178" s="1"/>
  <c r="K709"/>
  <c r="O709" s="1"/>
  <c r="M636"/>
  <c r="L636"/>
  <c r="K691"/>
  <c r="O691" s="1"/>
  <c r="K681"/>
  <c r="O681" s="1"/>
  <c r="K660"/>
  <c r="O660" s="1"/>
  <c r="N638"/>
  <c r="N637"/>
  <c r="N636"/>
  <c r="L462"/>
  <c r="L231" s="1"/>
  <c r="K647"/>
  <c r="O647" s="1"/>
  <c r="K612"/>
  <c r="O612" s="1"/>
  <c r="K605"/>
  <c r="O605" s="1"/>
  <c r="K599"/>
  <c r="O599" s="1"/>
  <c r="K585"/>
  <c r="K594"/>
  <c r="O594" s="1"/>
  <c r="M462"/>
  <c r="M231" s="1"/>
  <c r="K588"/>
  <c r="K462"/>
  <c r="K576"/>
  <c r="O576" s="1"/>
  <c r="N487"/>
  <c r="N475" s="1"/>
  <c r="L487"/>
  <c r="L475" s="1"/>
  <c r="K484"/>
  <c r="O484" s="1"/>
  <c r="M487"/>
  <c r="M475" s="1"/>
  <c r="K525"/>
  <c r="O525" s="1"/>
  <c r="K489"/>
  <c r="O489" s="1"/>
  <c r="K460"/>
  <c r="K227"/>
  <c r="K476"/>
  <c r="O476" s="1"/>
  <c r="N422"/>
  <c r="K431"/>
  <c r="O431" s="1"/>
  <c r="K423"/>
  <c r="O423" s="1"/>
  <c r="L249"/>
  <c r="K235"/>
  <c r="O235" s="1"/>
  <c r="N387"/>
  <c r="K401"/>
  <c r="O401" s="1"/>
  <c r="L387"/>
  <c r="N249"/>
  <c r="K388"/>
  <c r="O388" s="1"/>
  <c r="M193"/>
  <c r="M283"/>
  <c r="M265" s="1"/>
  <c r="M260" s="1"/>
  <c r="K213"/>
  <c r="O213" s="1"/>
  <c r="K101"/>
  <c r="K357"/>
  <c r="O357" s="1"/>
  <c r="K315"/>
  <c r="O315" s="1"/>
  <c r="K283"/>
  <c r="L277"/>
  <c r="L268" s="1"/>
  <c r="K309"/>
  <c r="O309" s="1"/>
  <c r="N144"/>
  <c r="N122" s="1"/>
  <c r="K123"/>
  <c r="O123" s="1"/>
  <c r="N926"/>
  <c r="N743" s="1"/>
  <c r="N932"/>
  <c r="N771"/>
  <c r="N754"/>
  <c r="N473" s="1"/>
  <c r="N1113"/>
  <c r="N1069" s="1"/>
  <c r="N1042"/>
  <c r="N986" s="1"/>
  <c r="N1057"/>
  <c r="N1041" s="1"/>
  <c r="N985" s="1"/>
  <c r="N584"/>
  <c r="N587"/>
  <c r="N583" s="1"/>
  <c r="N574" s="1"/>
  <c r="N1118"/>
  <c r="N1107" s="1"/>
  <c r="N1108"/>
  <c r="N1062" s="1"/>
  <c r="N277"/>
  <c r="N268" s="1"/>
  <c r="N265"/>
  <c r="N260" s="1"/>
  <c r="N415"/>
  <c r="N416"/>
  <c r="N248" s="1"/>
  <c r="N76"/>
  <c r="N75" s="1"/>
  <c r="N101"/>
  <c r="N208" s="1"/>
  <c r="N187" s="1"/>
  <c r="M925"/>
  <c r="M742" s="1"/>
  <c r="M931"/>
  <c r="M924" s="1"/>
  <c r="M76"/>
  <c r="M75" s="1"/>
  <c r="M1042"/>
  <c r="M986" s="1"/>
  <c r="M1057"/>
  <c r="M1041" s="1"/>
  <c r="M248"/>
  <c r="M1113"/>
  <c r="M1069" s="1"/>
  <c r="M1118"/>
  <c r="M1107" s="1"/>
  <c r="M1108"/>
  <c r="M1062" s="1"/>
  <c r="M20"/>
  <c r="M19" s="1"/>
  <c r="M585"/>
  <c r="M588"/>
  <c r="M249"/>
  <c r="M637"/>
  <c r="M643"/>
  <c r="O643" s="1"/>
  <c r="L1042"/>
  <c r="L986" s="1"/>
  <c r="L1057"/>
  <c r="L1041" s="1"/>
  <c r="L244"/>
  <c r="L771"/>
  <c r="L754"/>
  <c r="L473" s="1"/>
  <c r="L584"/>
  <c r="L587"/>
  <c r="L583" s="1"/>
  <c r="L574" s="1"/>
  <c r="L415"/>
  <c r="L416"/>
  <c r="L248" s="1"/>
  <c r="L101"/>
  <c r="L208" s="1"/>
  <c r="L187" s="1"/>
  <c r="L839"/>
  <c r="L926"/>
  <c r="L743" s="1"/>
  <c r="L932"/>
  <c r="L1118"/>
  <c r="L1107" s="1"/>
  <c r="L1061" s="1"/>
  <c r="L1108"/>
  <c r="L1062" s="1"/>
  <c r="L638"/>
  <c r="L840"/>
  <c r="O840" s="1"/>
  <c r="K1042"/>
  <c r="K1057"/>
  <c r="K926"/>
  <c r="K932"/>
  <c r="K1108"/>
  <c r="K1062" s="1"/>
  <c r="K638"/>
  <c r="O638" s="1"/>
  <c r="K76"/>
  <c r="I1155"/>
  <c r="I1149"/>
  <c r="I386"/>
  <c r="O209" l="1"/>
  <c r="K327"/>
  <c r="O327" s="1"/>
  <c r="O328"/>
  <c r="K248"/>
  <c r="O248" s="1"/>
  <c r="O416"/>
  <c r="O588"/>
  <c r="O415"/>
  <c r="O839"/>
  <c r="O932"/>
  <c r="P217"/>
  <c r="O217"/>
  <c r="K208"/>
  <c r="O208" s="1"/>
  <c r="O101"/>
  <c r="K754"/>
  <c r="O754" s="1"/>
  <c r="O772"/>
  <c r="K722"/>
  <c r="O722" s="1"/>
  <c r="O723"/>
  <c r="O241"/>
  <c r="O238"/>
  <c r="K193"/>
  <c r="O193" s="1"/>
  <c r="O204"/>
  <c r="K226"/>
  <c r="O226" s="1"/>
  <c r="O460"/>
  <c r="O700"/>
  <c r="K699"/>
  <c r="O699" s="1"/>
  <c r="O76"/>
  <c r="O283"/>
  <c r="O585"/>
  <c r="K231"/>
  <c r="O231" s="1"/>
  <c r="O462"/>
  <c r="O249"/>
  <c r="O227"/>
  <c r="K24"/>
  <c r="O24" s="1"/>
  <c r="O558"/>
  <c r="K233"/>
  <c r="O233" s="1"/>
  <c r="O464"/>
  <c r="K243"/>
  <c r="O243" s="1"/>
  <c r="N1061"/>
  <c r="M1061"/>
  <c r="O1076"/>
  <c r="M754"/>
  <c r="M473" s="1"/>
  <c r="M244" s="1"/>
  <c r="M122"/>
  <c r="L122"/>
  <c r="K1074"/>
  <c r="O1116"/>
  <c r="K1113"/>
  <c r="K1118"/>
  <c r="O1118" s="1"/>
  <c r="O1063"/>
  <c r="O1062"/>
  <c r="O1108"/>
  <c r="M985"/>
  <c r="K986"/>
  <c r="O986" s="1"/>
  <c r="O1042"/>
  <c r="K1041"/>
  <c r="O1041" s="1"/>
  <c r="O1057"/>
  <c r="L985"/>
  <c r="O997"/>
  <c r="K968"/>
  <c r="O968" s="1"/>
  <c r="O969"/>
  <c r="K959"/>
  <c r="O959" s="1"/>
  <c r="O960"/>
  <c r="O926"/>
  <c r="K743"/>
  <c r="O743" s="1"/>
  <c r="M459"/>
  <c r="M225" s="1"/>
  <c r="K771"/>
  <c r="O771" s="1"/>
  <c r="N459"/>
  <c r="N225" s="1"/>
  <c r="K174"/>
  <c r="O174" s="1"/>
  <c r="L459"/>
  <c r="L225" s="1"/>
  <c r="K708"/>
  <c r="O708" s="1"/>
  <c r="K690"/>
  <c r="O690" s="1"/>
  <c r="K680"/>
  <c r="O680" s="1"/>
  <c r="K637"/>
  <c r="O637" s="1"/>
  <c r="K659"/>
  <c r="O659" s="1"/>
  <c r="K611"/>
  <c r="O611" s="1"/>
  <c r="K593"/>
  <c r="O593" s="1"/>
  <c r="K587"/>
  <c r="K584"/>
  <c r="K575"/>
  <c r="O575" s="1"/>
  <c r="K477"/>
  <c r="O477" s="1"/>
  <c r="K487"/>
  <c r="K430"/>
  <c r="O430" s="1"/>
  <c r="K387"/>
  <c r="O387" s="1"/>
  <c r="N12"/>
  <c r="M187"/>
  <c r="M277"/>
  <c r="M268" s="1"/>
  <c r="M247" s="1"/>
  <c r="K265"/>
  <c r="K277"/>
  <c r="L12"/>
  <c r="K75"/>
  <c r="O75" s="1"/>
  <c r="M12"/>
  <c r="N247"/>
  <c r="N925"/>
  <c r="N742" s="1"/>
  <c r="N458" s="1"/>
  <c r="N224" s="1"/>
  <c r="N931"/>
  <c r="N924" s="1"/>
  <c r="N751"/>
  <c r="N467" s="1"/>
  <c r="N756"/>
  <c r="N244"/>
  <c r="M584"/>
  <c r="M458" s="1"/>
  <c r="M224" s="1"/>
  <c r="M587"/>
  <c r="M583" s="1"/>
  <c r="M574" s="1"/>
  <c r="M751"/>
  <c r="M467" s="1"/>
  <c r="M237" s="1"/>
  <c r="M756"/>
  <c r="M741" s="1"/>
  <c r="L247"/>
  <c r="L751"/>
  <c r="L467" s="1"/>
  <c r="L237" s="1"/>
  <c r="L756"/>
  <c r="L741" s="1"/>
  <c r="L457" s="1"/>
  <c r="L925"/>
  <c r="L742" s="1"/>
  <c r="L458" s="1"/>
  <c r="L224" s="1"/>
  <c r="L931"/>
  <c r="L924" s="1"/>
  <c r="K925"/>
  <c r="K931"/>
  <c r="I380"/>
  <c r="Q368"/>
  <c r="I368"/>
  <c r="Q362"/>
  <c r="I362"/>
  <c r="I338"/>
  <c r="I332"/>
  <c r="O265" l="1"/>
  <c r="K260"/>
  <c r="O260" s="1"/>
  <c r="K475"/>
  <c r="O475" s="1"/>
  <c r="O487"/>
  <c r="K473"/>
  <c r="O473" s="1"/>
  <c r="O277"/>
  <c r="O587"/>
  <c r="O584"/>
  <c r="K20"/>
  <c r="O20" s="1"/>
  <c r="K134"/>
  <c r="O134" s="1"/>
  <c r="O1074"/>
  <c r="K245"/>
  <c r="O245" s="1"/>
  <c r="K1107"/>
  <c r="O1107" s="1"/>
  <c r="K1069"/>
  <c r="O1069" s="1"/>
  <c r="O1113"/>
  <c r="K985"/>
  <c r="O985" s="1"/>
  <c r="M457"/>
  <c r="M223" s="1"/>
  <c r="M1167" s="1"/>
  <c r="K924"/>
  <c r="O924" s="1"/>
  <c r="O931"/>
  <c r="K742"/>
  <c r="O742" s="1"/>
  <c r="O925"/>
  <c r="K756"/>
  <c r="O756" s="1"/>
  <c r="K751"/>
  <c r="K173"/>
  <c r="O173" s="1"/>
  <c r="K636"/>
  <c r="O636" s="1"/>
  <c r="K583"/>
  <c r="O583" s="1"/>
  <c r="K19"/>
  <c r="O19" s="1"/>
  <c r="K459"/>
  <c r="O459" s="1"/>
  <c r="K422"/>
  <c r="O422" s="1"/>
  <c r="K268"/>
  <c r="O268" s="1"/>
  <c r="K244"/>
  <c r="O244" s="1"/>
  <c r="N741"/>
  <c r="N457" s="1"/>
  <c r="N223" s="1"/>
  <c r="N1167" s="1"/>
  <c r="N237"/>
  <c r="L223"/>
  <c r="L1167" s="1"/>
  <c r="I314"/>
  <c r="K467" l="1"/>
  <c r="O467" s="1"/>
  <c r="O751"/>
  <c r="K130"/>
  <c r="O130" s="1"/>
  <c r="K1061"/>
  <c r="O1061" s="1"/>
  <c r="K458"/>
  <c r="K741"/>
  <c r="O741" s="1"/>
  <c r="K574"/>
  <c r="O574" s="1"/>
  <c r="K12"/>
  <c r="O12" s="1"/>
  <c r="K225"/>
  <c r="O225" s="1"/>
  <c r="K247"/>
  <c r="O247" s="1"/>
  <c r="H597"/>
  <c r="K237" l="1"/>
  <c r="O237" s="1"/>
  <c r="K129"/>
  <c r="O129" s="1"/>
  <c r="K224"/>
  <c r="O224" s="1"/>
  <c r="O458"/>
  <c r="K457"/>
  <c r="O457" s="1"/>
  <c r="E922"/>
  <c r="F922"/>
  <c r="G922"/>
  <c r="H922"/>
  <c r="I922"/>
  <c r="J922"/>
  <c r="P922" s="1"/>
  <c r="Q922"/>
  <c r="R922"/>
  <c r="S922"/>
  <c r="K223" l="1"/>
  <c r="O223" s="1"/>
  <c r="H1164"/>
  <c r="H1163" s="1"/>
  <c r="H1162" s="1"/>
  <c r="H1152"/>
  <c r="H1151" s="1"/>
  <c r="H1150" s="1"/>
  <c r="H1146"/>
  <c r="H1142"/>
  <c r="H1141" s="1"/>
  <c r="H1140" s="1"/>
  <c r="H1127"/>
  <c r="H1120"/>
  <c r="H1119" s="1"/>
  <c r="H1112"/>
  <c r="H1111"/>
  <c r="H1088"/>
  <c r="H1078" s="1"/>
  <c r="H1084"/>
  <c r="H1081" s="1"/>
  <c r="H1082"/>
  <c r="H1070" s="1"/>
  <c r="H242" s="1"/>
  <c r="H1079"/>
  <c r="H1059"/>
  <c r="H1043" s="1"/>
  <c r="H1044"/>
  <c r="H1028"/>
  <c r="H1027" s="1"/>
  <c r="H1017"/>
  <c r="H1015"/>
  <c r="H1011"/>
  <c r="H1010" s="1"/>
  <c r="H998" s="1"/>
  <c r="H1008"/>
  <c r="H996" s="1"/>
  <c r="H246" s="1"/>
  <c r="H1007"/>
  <c r="H995" s="1"/>
  <c r="H1006"/>
  <c r="H993" s="1"/>
  <c r="H1002"/>
  <c r="H1001"/>
  <c r="H1000"/>
  <c r="H988" s="1"/>
  <c r="H990"/>
  <c r="H978"/>
  <c r="H977" s="1"/>
  <c r="H976" s="1"/>
  <c r="H971"/>
  <c r="H970" s="1"/>
  <c r="H969" s="1"/>
  <c r="H968" s="1"/>
  <c r="H962"/>
  <c r="H961" s="1"/>
  <c r="H960" s="1"/>
  <c r="H959" s="1"/>
  <c r="H957"/>
  <c r="H952"/>
  <c r="H951" s="1"/>
  <c r="H950" s="1"/>
  <c r="H947"/>
  <c r="H943"/>
  <c r="H942" s="1"/>
  <c r="H941" s="1"/>
  <c r="H938"/>
  <c r="H934"/>
  <c r="H933" s="1"/>
  <c r="H930"/>
  <c r="H752" s="1"/>
  <c r="H928"/>
  <c r="H918"/>
  <c r="H917" s="1"/>
  <c r="H916" s="1"/>
  <c r="H914"/>
  <c r="H910"/>
  <c r="H909" s="1"/>
  <c r="H906"/>
  <c r="H902"/>
  <c r="H901" s="1"/>
  <c r="H893"/>
  <c r="H889"/>
  <c r="H888" s="1"/>
  <c r="H885"/>
  <c r="H881"/>
  <c r="H880" s="1"/>
  <c r="H877"/>
  <c r="H873"/>
  <c r="H872" s="1"/>
  <c r="H869"/>
  <c r="H865"/>
  <c r="H864" s="1"/>
  <c r="H861"/>
  <c r="H857"/>
  <c r="H856" s="1"/>
  <c r="H849"/>
  <c r="H848" s="1"/>
  <c r="H846"/>
  <c r="H755" s="1"/>
  <c r="H844"/>
  <c r="H843"/>
  <c r="H745" s="1"/>
  <c r="H842"/>
  <c r="H744" s="1"/>
  <c r="H835"/>
  <c r="H834" s="1"/>
  <c r="H833" s="1"/>
  <c r="H829"/>
  <c r="H827" s="1"/>
  <c r="H823"/>
  <c r="H821" s="1"/>
  <c r="H817"/>
  <c r="H816" s="1"/>
  <c r="H815" s="1"/>
  <c r="H811"/>
  <c r="H810" s="1"/>
  <c r="H806"/>
  <c r="H805" s="1"/>
  <c r="H801"/>
  <c r="H800" s="1"/>
  <c r="H796"/>
  <c r="H795" s="1"/>
  <c r="H785"/>
  <c r="H784" s="1"/>
  <c r="H783" s="1"/>
  <c r="H768"/>
  <c r="H766" s="1"/>
  <c r="H85" s="1"/>
  <c r="H178" s="1"/>
  <c r="H761"/>
  <c r="H749"/>
  <c r="H747"/>
  <c r="H463" s="1"/>
  <c r="H739"/>
  <c r="H738"/>
  <c r="H737" s="1"/>
  <c r="H734"/>
  <c r="H733"/>
  <c r="H732" s="1"/>
  <c r="H725"/>
  <c r="H724" s="1"/>
  <c r="H723" s="1"/>
  <c r="H722" s="1"/>
  <c r="H719"/>
  <c r="H718" s="1"/>
  <c r="H717" s="1"/>
  <c r="H715"/>
  <c r="H711"/>
  <c r="H710" s="1"/>
  <c r="H709" s="1"/>
  <c r="H706"/>
  <c r="H702"/>
  <c r="H701" s="1"/>
  <c r="H700" s="1"/>
  <c r="H644"/>
  <c r="H693"/>
  <c r="H692" s="1"/>
  <c r="H691" s="1"/>
  <c r="H687"/>
  <c r="H683"/>
  <c r="H682" s="1"/>
  <c r="H681" s="1"/>
  <c r="H676"/>
  <c r="H646" s="1"/>
  <c r="H472" s="1"/>
  <c r="H666"/>
  <c r="H662"/>
  <c r="H661" s="1"/>
  <c r="H660" s="1"/>
  <c r="H656"/>
  <c r="H650"/>
  <c r="H649" s="1"/>
  <c r="H648" s="1"/>
  <c r="H645"/>
  <c r="H642"/>
  <c r="H641"/>
  <c r="H639"/>
  <c r="H634"/>
  <c r="H633" s="1"/>
  <c r="H631"/>
  <c r="H630" s="1"/>
  <c r="H628"/>
  <c r="H627" s="1"/>
  <c r="H625"/>
  <c r="H624" s="1"/>
  <c r="H622"/>
  <c r="H621" s="1"/>
  <c r="H619"/>
  <c r="H618" s="1"/>
  <c r="H614"/>
  <c r="H613" s="1"/>
  <c r="H612" s="1"/>
  <c r="H611" s="1"/>
  <c r="H608"/>
  <c r="H607" s="1"/>
  <c r="H606" s="1"/>
  <c r="H602"/>
  <c r="H601" s="1"/>
  <c r="H600" s="1"/>
  <c r="H596"/>
  <c r="H595" s="1"/>
  <c r="H594" s="1"/>
  <c r="H593" s="1"/>
  <c r="H590"/>
  <c r="H589" s="1"/>
  <c r="H588" s="1"/>
  <c r="H580"/>
  <c r="H578"/>
  <c r="H577" s="1"/>
  <c r="H576" s="1"/>
  <c r="H572"/>
  <c r="H566"/>
  <c r="H565" s="1"/>
  <c r="H560"/>
  <c r="H559" s="1"/>
  <c r="H558" s="1"/>
  <c r="H556"/>
  <c r="H549"/>
  <c r="H548" s="1"/>
  <c r="H545"/>
  <c r="H538"/>
  <c r="H537" s="1"/>
  <c r="H534"/>
  <c r="H527"/>
  <c r="H526" s="1"/>
  <c r="H523"/>
  <c r="H516"/>
  <c r="H515" s="1"/>
  <c r="H508"/>
  <c r="H500"/>
  <c r="H499" s="1"/>
  <c r="H497"/>
  <c r="H486" s="1"/>
  <c r="H494"/>
  <c r="H482" s="1"/>
  <c r="H493"/>
  <c r="H481" s="1"/>
  <c r="H492"/>
  <c r="H479" s="1"/>
  <c r="H490"/>
  <c r="H478" s="1"/>
  <c r="H483"/>
  <c r="H480"/>
  <c r="H469"/>
  <c r="H240" s="1"/>
  <c r="H468"/>
  <c r="H239" s="1"/>
  <c r="H453"/>
  <c r="H449"/>
  <c r="H448" s="1"/>
  <c r="H442"/>
  <c r="H440" s="1"/>
  <c r="H429"/>
  <c r="H433"/>
  <c r="H432" s="1"/>
  <c r="H427"/>
  <c r="H426"/>
  <c r="H425"/>
  <c r="H419"/>
  <c r="H417" s="1"/>
  <c r="H404"/>
  <c r="H403" s="1"/>
  <c r="H399"/>
  <c r="H395"/>
  <c r="H394" s="1"/>
  <c r="H393" s="1"/>
  <c r="H390"/>
  <c r="H389" s="1"/>
  <c r="H388" s="1"/>
  <c r="H383"/>
  <c r="H382" s="1"/>
  <c r="H381" s="1"/>
  <c r="H377"/>
  <c r="H376" s="1"/>
  <c r="H375" s="1"/>
  <c r="H371"/>
  <c r="H370" s="1"/>
  <c r="H369" s="1"/>
  <c r="H365"/>
  <c r="H364" s="1"/>
  <c r="H363" s="1"/>
  <c r="H359"/>
  <c r="H358" s="1"/>
  <c r="H357" s="1"/>
  <c r="H335"/>
  <c r="H334" s="1"/>
  <c r="H333" s="1"/>
  <c r="H329"/>
  <c r="H328" s="1"/>
  <c r="H327" s="1"/>
  <c r="H323"/>
  <c r="H322" s="1"/>
  <c r="H321" s="1"/>
  <c r="H317"/>
  <c r="H316" s="1"/>
  <c r="H315" s="1"/>
  <c r="H311"/>
  <c r="H291"/>
  <c r="H290"/>
  <c r="H214" s="1"/>
  <c r="H213" s="1"/>
  <c r="H289"/>
  <c r="H287"/>
  <c r="H286"/>
  <c r="H285"/>
  <c r="H270"/>
  <c r="H267"/>
  <c r="H266"/>
  <c r="H259"/>
  <c r="H257"/>
  <c r="H256"/>
  <c r="H255"/>
  <c r="H253"/>
  <c r="H230" s="1"/>
  <c r="H251"/>
  <c r="H250"/>
  <c r="H229"/>
  <c r="H203"/>
  <c r="H201"/>
  <c r="H198"/>
  <c r="H195"/>
  <c r="H180"/>
  <c r="H167"/>
  <c r="H165"/>
  <c r="H163" s="1"/>
  <c r="H162"/>
  <c r="H161" s="1"/>
  <c r="H160"/>
  <c r="H158"/>
  <c r="H157"/>
  <c r="H155"/>
  <c r="H154" s="1"/>
  <c r="H152"/>
  <c r="H148"/>
  <c r="H147"/>
  <c r="H146"/>
  <c r="H142"/>
  <c r="H140"/>
  <c r="H138"/>
  <c r="H133"/>
  <c r="H132"/>
  <c r="H131"/>
  <c r="H127"/>
  <c r="H126"/>
  <c r="H99"/>
  <c r="H78"/>
  <c r="H66"/>
  <c r="H63"/>
  <c r="H59"/>
  <c r="H57"/>
  <c r="H52"/>
  <c r="H50"/>
  <c r="H45" s="1"/>
  <c r="H41"/>
  <c r="H143"/>
  <c r="H32"/>
  <c r="H137" s="1"/>
  <c r="H15"/>
  <c r="H13"/>
  <c r="H124" s="1"/>
  <c r="H123" s="1"/>
  <c r="Q292"/>
  <c r="K1167" l="1"/>
  <c r="O1167"/>
  <c r="H103"/>
  <c r="H102" s="1"/>
  <c r="H840"/>
  <c r="H252"/>
  <c r="H228" s="1"/>
  <c r="H536"/>
  <c r="H525"/>
  <c r="H879"/>
  <c r="H999"/>
  <c r="H987" s="1"/>
  <c r="H564"/>
  <c r="H1026"/>
  <c r="H908"/>
  <c r="H617"/>
  <c r="H392"/>
  <c r="H514"/>
  <c r="H750"/>
  <c r="H466" s="1"/>
  <c r="H236" s="1"/>
  <c r="H156"/>
  <c r="H1058"/>
  <c r="H1057" s="1"/>
  <c r="H1041" s="1"/>
  <c r="H204"/>
  <c r="H193" s="1"/>
  <c r="H699"/>
  <c r="H871"/>
  <c r="H680"/>
  <c r="H855"/>
  <c r="H495"/>
  <c r="H484" s="1"/>
  <c r="H887"/>
  <c r="H929"/>
  <c r="H949"/>
  <c r="H940"/>
  <c r="H605"/>
  <c r="H599"/>
  <c r="H1115"/>
  <c r="H748"/>
  <c r="H464" s="1"/>
  <c r="H233" s="1"/>
  <c r="H708"/>
  <c r="H659"/>
  <c r="H174"/>
  <c r="H173" s="1"/>
  <c r="H145"/>
  <c r="H125"/>
  <c r="H1065"/>
  <c r="H1087"/>
  <c r="H1086" s="1"/>
  <c r="H989"/>
  <c r="H243"/>
  <c r="H1003"/>
  <c r="H991" s="1"/>
  <c r="H900"/>
  <c r="H863"/>
  <c r="H845"/>
  <c r="H841"/>
  <c r="H461"/>
  <c r="H828"/>
  <c r="H758"/>
  <c r="H757" s="1"/>
  <c r="H640"/>
  <c r="H575"/>
  <c r="H547"/>
  <c r="H465"/>
  <c r="H234" s="1"/>
  <c r="H232"/>
  <c r="H288"/>
  <c r="H284"/>
  <c r="H254"/>
  <c r="H249"/>
  <c r="H447"/>
  <c r="H446" s="1"/>
  <c r="H1116"/>
  <c r="H1074" s="1"/>
  <c r="H1126"/>
  <c r="H1118" s="1"/>
  <c r="H585"/>
  <c r="H40"/>
  <c r="H149"/>
  <c r="H638"/>
  <c r="H460"/>
  <c r="H226" s="1"/>
  <c r="H474"/>
  <c r="H498"/>
  <c r="H488"/>
  <c r="H476" s="1"/>
  <c r="H1108"/>
  <c r="H415"/>
  <c r="H416"/>
  <c r="H402"/>
  <c r="H401" s="1"/>
  <c r="H258"/>
  <c r="H235" s="1"/>
  <c r="H470"/>
  <c r="H772"/>
  <c r="H932"/>
  <c r="H926"/>
  <c r="H134"/>
  <c r="H489"/>
  <c r="H477" s="1"/>
  <c r="H441"/>
  <c r="H423" s="1"/>
  <c r="H1009"/>
  <c r="H1109"/>
  <c r="H1063" s="1"/>
  <c r="H310"/>
  <c r="H309" s="1"/>
  <c r="H424"/>
  <c r="H927"/>
  <c r="H746" s="1"/>
  <c r="H269"/>
  <c r="H435"/>
  <c r="H428" s="1"/>
  <c r="H847"/>
  <c r="H168"/>
  <c r="H586"/>
  <c r="H822"/>
  <c r="H1083"/>
  <c r="H1145"/>
  <c r="H1144" s="1"/>
  <c r="H1073" s="1"/>
  <c r="H675"/>
  <c r="H106"/>
  <c r="H697"/>
  <c r="H690" s="1"/>
  <c r="S1164"/>
  <c r="S1163" s="1"/>
  <c r="S1162" s="1"/>
  <c r="R1164"/>
  <c r="R1163" s="1"/>
  <c r="R1162" s="1"/>
  <c r="Q1164"/>
  <c r="Q1163" s="1"/>
  <c r="Q1162" s="1"/>
  <c r="J1164"/>
  <c r="J1163" s="1"/>
  <c r="J1162" s="1"/>
  <c r="I1164"/>
  <c r="I1163" s="1"/>
  <c r="I1162" s="1"/>
  <c r="G1164"/>
  <c r="G1163" s="1"/>
  <c r="G1162" s="1"/>
  <c r="F1164"/>
  <c r="F1163" s="1"/>
  <c r="F1162" s="1"/>
  <c r="E1164"/>
  <c r="E1163" s="1"/>
  <c r="E1162" s="1"/>
  <c r="D1164"/>
  <c r="D1163" s="1"/>
  <c r="D1162" s="1"/>
  <c r="F1158"/>
  <c r="F1157" s="1"/>
  <c r="F1156" s="1"/>
  <c r="D1158"/>
  <c r="D1157" s="1"/>
  <c r="D1156" s="1"/>
  <c r="C1157"/>
  <c r="C1156" s="1"/>
  <c r="Q1152"/>
  <c r="Q1151" s="1"/>
  <c r="Q1150" s="1"/>
  <c r="J1152"/>
  <c r="I1152"/>
  <c r="S1152"/>
  <c r="S1151" s="1"/>
  <c r="S1150" s="1"/>
  <c r="R1152"/>
  <c r="R1151" s="1"/>
  <c r="R1150" s="1"/>
  <c r="G1152"/>
  <c r="G1151" s="1"/>
  <c r="G1150" s="1"/>
  <c r="F1152"/>
  <c r="F1151" s="1"/>
  <c r="F1150" s="1"/>
  <c r="E1152"/>
  <c r="E1151" s="1"/>
  <c r="E1150" s="1"/>
  <c r="D1152"/>
  <c r="D1151" s="1"/>
  <c r="D1150" s="1"/>
  <c r="C1151"/>
  <c r="C1150" s="1"/>
  <c r="J1146"/>
  <c r="P1146" s="1"/>
  <c r="I1146"/>
  <c r="I1145" s="1"/>
  <c r="I1144" s="1"/>
  <c r="S1146"/>
  <c r="S1145" s="1"/>
  <c r="S1144" s="1"/>
  <c r="R1146"/>
  <c r="R1145" s="1"/>
  <c r="R1144" s="1"/>
  <c r="Q1146"/>
  <c r="Q1145" s="1"/>
  <c r="Q1144" s="1"/>
  <c r="G1146"/>
  <c r="G1145" s="1"/>
  <c r="G1144" s="1"/>
  <c r="F1146"/>
  <c r="E1146"/>
  <c r="D1146"/>
  <c r="C1145"/>
  <c r="C1144" s="1"/>
  <c r="S1142"/>
  <c r="S1141" s="1"/>
  <c r="S1140" s="1"/>
  <c r="R1142"/>
  <c r="R1141" s="1"/>
  <c r="R1140" s="1"/>
  <c r="Q1142"/>
  <c r="Q1141" s="1"/>
  <c r="Q1140" s="1"/>
  <c r="J1142"/>
  <c r="I1142"/>
  <c r="I1141" s="1"/>
  <c r="I1140" s="1"/>
  <c r="G1142"/>
  <c r="G1141" s="1"/>
  <c r="G1140" s="1"/>
  <c r="F1142"/>
  <c r="F1141" s="1"/>
  <c r="F1140" s="1"/>
  <c r="E1142"/>
  <c r="E1141" s="1"/>
  <c r="E1140" s="1"/>
  <c r="D1142"/>
  <c r="D1141" s="1"/>
  <c r="D1140" s="1"/>
  <c r="I1128"/>
  <c r="I1127" s="1"/>
  <c r="G1139"/>
  <c r="G1128" s="1"/>
  <c r="G1127" s="1"/>
  <c r="F1139"/>
  <c r="E1139"/>
  <c r="E1128" s="1"/>
  <c r="E1127" s="1"/>
  <c r="R1128"/>
  <c r="R1127" s="1"/>
  <c r="R1126" s="1"/>
  <c r="Q1128"/>
  <c r="Q1127" s="1"/>
  <c r="F1137"/>
  <c r="J1128"/>
  <c r="D1128"/>
  <c r="D1126"/>
  <c r="I1122"/>
  <c r="I1120" s="1"/>
  <c r="F1122"/>
  <c r="F1120" s="1"/>
  <c r="F1109" s="1"/>
  <c r="S1120"/>
  <c r="S1119" s="1"/>
  <c r="S1108" s="1"/>
  <c r="R1120"/>
  <c r="R1119" s="1"/>
  <c r="R1108" s="1"/>
  <c r="Q1120"/>
  <c r="Q1109" s="1"/>
  <c r="J1120"/>
  <c r="G1120"/>
  <c r="G1119" s="1"/>
  <c r="E1120"/>
  <c r="E1109" s="1"/>
  <c r="D1120"/>
  <c r="D1109" s="1"/>
  <c r="S1112"/>
  <c r="R1112"/>
  <c r="Q1112"/>
  <c r="J1112"/>
  <c r="P1112" s="1"/>
  <c r="I1112"/>
  <c r="G1112"/>
  <c r="F1112"/>
  <c r="F1068" s="1"/>
  <c r="F229" s="1"/>
  <c r="E1112"/>
  <c r="D1112"/>
  <c r="D1068" s="1"/>
  <c r="D229" s="1"/>
  <c r="S1111"/>
  <c r="R1111"/>
  <c r="Q1111"/>
  <c r="J1111"/>
  <c r="P1111" s="1"/>
  <c r="G1111"/>
  <c r="E1111"/>
  <c r="D1111"/>
  <c r="R1109"/>
  <c r="S1088"/>
  <c r="S1087" s="1"/>
  <c r="S1086" s="1"/>
  <c r="R1088"/>
  <c r="R1087" s="1"/>
  <c r="Q1088"/>
  <c r="Q1078" s="1"/>
  <c r="J1088"/>
  <c r="I1088"/>
  <c r="I1078" s="1"/>
  <c r="G1088"/>
  <c r="G1087" s="1"/>
  <c r="F1088"/>
  <c r="F1078" s="1"/>
  <c r="E1088"/>
  <c r="E1087" s="1"/>
  <c r="D1088"/>
  <c r="D1087" s="1"/>
  <c r="D1086" s="1"/>
  <c r="S1084"/>
  <c r="S1081" s="1"/>
  <c r="R1084"/>
  <c r="R1081" s="1"/>
  <c r="Q1084"/>
  <c r="Q1083" s="1"/>
  <c r="J1084"/>
  <c r="I1084"/>
  <c r="I1083" s="1"/>
  <c r="G1084"/>
  <c r="G1083" s="1"/>
  <c r="F1084"/>
  <c r="F1081" s="1"/>
  <c r="E1084"/>
  <c r="E1081" s="1"/>
  <c r="D1084"/>
  <c r="D1081" s="1"/>
  <c r="S1082"/>
  <c r="S1070" s="1"/>
  <c r="S242" s="1"/>
  <c r="R1082"/>
  <c r="R1070" s="1"/>
  <c r="R242" s="1"/>
  <c r="Q1082"/>
  <c r="Q1070" s="1"/>
  <c r="Q242" s="1"/>
  <c r="J1082"/>
  <c r="I1082"/>
  <c r="I1070" s="1"/>
  <c r="I242" s="1"/>
  <c r="G1082"/>
  <c r="G1070" s="1"/>
  <c r="G242" s="1"/>
  <c r="F1082"/>
  <c r="F1070" s="1"/>
  <c r="F242" s="1"/>
  <c r="E1082"/>
  <c r="E1070" s="1"/>
  <c r="E242" s="1"/>
  <c r="D1082"/>
  <c r="D1070" s="1"/>
  <c r="S1079"/>
  <c r="R1079"/>
  <c r="Q1079"/>
  <c r="J1079"/>
  <c r="P1079" s="1"/>
  <c r="I1079"/>
  <c r="G1079"/>
  <c r="F1079"/>
  <c r="E1079"/>
  <c r="D1079"/>
  <c r="F1071"/>
  <c r="D1071"/>
  <c r="S1059"/>
  <c r="S1058" s="1"/>
  <c r="R1059"/>
  <c r="R1043" s="1"/>
  <c r="Q1059"/>
  <c r="Q1058" s="1"/>
  <c r="J1059"/>
  <c r="I1059"/>
  <c r="I1043" s="1"/>
  <c r="G1059"/>
  <c r="G1043" s="1"/>
  <c r="F1059"/>
  <c r="F1058" s="1"/>
  <c r="E1059"/>
  <c r="E1058" s="1"/>
  <c r="D1059"/>
  <c r="D1058" s="1"/>
  <c r="S1044"/>
  <c r="R1044"/>
  <c r="Q1044"/>
  <c r="J1044"/>
  <c r="P1044" s="1"/>
  <c r="I1044"/>
  <c r="G1044"/>
  <c r="F1044"/>
  <c r="E1044"/>
  <c r="D1044"/>
  <c r="F1038"/>
  <c r="F1037" s="1"/>
  <c r="D1038"/>
  <c r="D1037" s="1"/>
  <c r="F1034"/>
  <c r="F1030" s="1"/>
  <c r="D1034"/>
  <c r="D1030" s="1"/>
  <c r="S1028"/>
  <c r="S1026" s="1"/>
  <c r="R1028"/>
  <c r="R1026" s="1"/>
  <c r="Q1028"/>
  <c r="Q1026" s="1"/>
  <c r="J1028"/>
  <c r="I1028"/>
  <c r="I1026" s="1"/>
  <c r="G1028"/>
  <c r="G1026" s="1"/>
  <c r="F1028"/>
  <c r="F1026" s="1"/>
  <c r="E1028"/>
  <c r="E1026" s="1"/>
  <c r="D1028"/>
  <c r="D1026" s="1"/>
  <c r="F1022"/>
  <c r="F1021" s="1"/>
  <c r="F1020" s="1"/>
  <c r="D1022"/>
  <c r="D1021" s="1"/>
  <c r="D1020" s="1"/>
  <c r="F1018"/>
  <c r="F1017" s="1"/>
  <c r="D1018"/>
  <c r="D1017" s="1"/>
  <c r="S1017"/>
  <c r="R1017"/>
  <c r="Q1017"/>
  <c r="J1017"/>
  <c r="P1017" s="1"/>
  <c r="I1017"/>
  <c r="G1017"/>
  <c r="E1017"/>
  <c r="S1015"/>
  <c r="R1015"/>
  <c r="Q1015"/>
  <c r="J1015"/>
  <c r="P1015" s="1"/>
  <c r="I1015"/>
  <c r="G1015"/>
  <c r="F1015"/>
  <c r="E1015"/>
  <c r="D1015"/>
  <c r="S1011"/>
  <c r="S999" s="1"/>
  <c r="R1011"/>
  <c r="R999" s="1"/>
  <c r="Q1011"/>
  <c r="Q999" s="1"/>
  <c r="J1011"/>
  <c r="I1011"/>
  <c r="I1010" s="1"/>
  <c r="G1011"/>
  <c r="G1010" s="1"/>
  <c r="F1011"/>
  <c r="F1010" s="1"/>
  <c r="E1011"/>
  <c r="E1010" s="1"/>
  <c r="D1011"/>
  <c r="D1010" s="1"/>
  <c r="D998" s="1"/>
  <c r="S1008"/>
  <c r="S996" s="1"/>
  <c r="S246" s="1"/>
  <c r="R1008"/>
  <c r="R996" s="1"/>
  <c r="R246" s="1"/>
  <c r="Q1008"/>
  <c r="Q996" s="1"/>
  <c r="Q246" s="1"/>
  <c r="J1008"/>
  <c r="I1008"/>
  <c r="I996" s="1"/>
  <c r="I246" s="1"/>
  <c r="G1008"/>
  <c r="G996" s="1"/>
  <c r="G246" s="1"/>
  <c r="F1008"/>
  <c r="F996" s="1"/>
  <c r="F246" s="1"/>
  <c r="E1008"/>
  <c r="E996" s="1"/>
  <c r="E246" s="1"/>
  <c r="D1008"/>
  <c r="D996" s="1"/>
  <c r="S1007"/>
  <c r="S995" s="1"/>
  <c r="R1007"/>
  <c r="R995" s="1"/>
  <c r="Q1007"/>
  <c r="Q995" s="1"/>
  <c r="J1007"/>
  <c r="I1007"/>
  <c r="I995" s="1"/>
  <c r="G1007"/>
  <c r="G995" s="1"/>
  <c r="F1007"/>
  <c r="F995" s="1"/>
  <c r="E1007"/>
  <c r="E995" s="1"/>
  <c r="D1007"/>
  <c r="D995" s="1"/>
  <c r="S1006"/>
  <c r="S993" s="1"/>
  <c r="R1006"/>
  <c r="R993" s="1"/>
  <c r="Q1006"/>
  <c r="Q993" s="1"/>
  <c r="J1006"/>
  <c r="I1006"/>
  <c r="I993" s="1"/>
  <c r="G1006"/>
  <c r="G993" s="1"/>
  <c r="F1006"/>
  <c r="F993" s="1"/>
  <c r="E1006"/>
  <c r="E993" s="1"/>
  <c r="D1006"/>
  <c r="D993" s="1"/>
  <c r="S1002"/>
  <c r="R1002"/>
  <c r="Q1002"/>
  <c r="J1002"/>
  <c r="P1002" s="1"/>
  <c r="I1002"/>
  <c r="G1002"/>
  <c r="F1002"/>
  <c r="E1002"/>
  <c r="D1002"/>
  <c r="S1001"/>
  <c r="R1001"/>
  <c r="Q1001"/>
  <c r="J1001"/>
  <c r="P1001" s="1"/>
  <c r="I1001"/>
  <c r="G1001"/>
  <c r="F1001"/>
  <c r="E1001"/>
  <c r="D1001"/>
  <c r="S1000"/>
  <c r="S988" s="1"/>
  <c r="R1000"/>
  <c r="R988" s="1"/>
  <c r="Q1000"/>
  <c r="Q988" s="1"/>
  <c r="J1000"/>
  <c r="I1000"/>
  <c r="I988" s="1"/>
  <c r="G1000"/>
  <c r="G988" s="1"/>
  <c r="F1000"/>
  <c r="F988" s="1"/>
  <c r="E1000"/>
  <c r="E988" s="1"/>
  <c r="D1000"/>
  <c r="D988" s="1"/>
  <c r="S990"/>
  <c r="R990"/>
  <c r="Q990"/>
  <c r="J990"/>
  <c r="P990" s="1"/>
  <c r="I990"/>
  <c r="G990"/>
  <c r="F990"/>
  <c r="E990"/>
  <c r="D990"/>
  <c r="F982"/>
  <c r="F981" s="1"/>
  <c r="F980" s="1"/>
  <c r="D982"/>
  <c r="D981" s="1"/>
  <c r="D980" s="1"/>
  <c r="R978"/>
  <c r="R977" s="1"/>
  <c r="R976" s="1"/>
  <c r="I978"/>
  <c r="I977" s="1"/>
  <c r="I976" s="1"/>
  <c r="F979"/>
  <c r="F978" s="1"/>
  <c r="F977" s="1"/>
  <c r="F976" s="1"/>
  <c r="S978"/>
  <c r="S977" s="1"/>
  <c r="S976" s="1"/>
  <c r="Q978"/>
  <c r="Q977" s="1"/>
  <c r="Q976" s="1"/>
  <c r="J978"/>
  <c r="G978"/>
  <c r="G977" s="1"/>
  <c r="G976" s="1"/>
  <c r="E978"/>
  <c r="E977" s="1"/>
  <c r="E976" s="1"/>
  <c r="D978"/>
  <c r="D977" s="1"/>
  <c r="D976" s="1"/>
  <c r="F974"/>
  <c r="D974"/>
  <c r="S971"/>
  <c r="S970" s="1"/>
  <c r="S969" s="1"/>
  <c r="S968" s="1"/>
  <c r="R971"/>
  <c r="R970" s="1"/>
  <c r="R969" s="1"/>
  <c r="R968" s="1"/>
  <c r="Q971"/>
  <c r="Q970" s="1"/>
  <c r="Q969" s="1"/>
  <c r="Q968" s="1"/>
  <c r="J971"/>
  <c r="I971"/>
  <c r="I970" s="1"/>
  <c r="I969" s="1"/>
  <c r="I968" s="1"/>
  <c r="G971"/>
  <c r="G970" s="1"/>
  <c r="G969" s="1"/>
  <c r="G968" s="1"/>
  <c r="F971"/>
  <c r="F970" s="1"/>
  <c r="F969" s="1"/>
  <c r="E971"/>
  <c r="E970" s="1"/>
  <c r="E969" s="1"/>
  <c r="E968" s="1"/>
  <c r="D971"/>
  <c r="D970" s="1"/>
  <c r="D969" s="1"/>
  <c r="F966"/>
  <c r="D966"/>
  <c r="S962"/>
  <c r="S961" s="1"/>
  <c r="S960" s="1"/>
  <c r="S959" s="1"/>
  <c r="R962"/>
  <c r="R961" s="1"/>
  <c r="R960" s="1"/>
  <c r="R959" s="1"/>
  <c r="Q962"/>
  <c r="Q961" s="1"/>
  <c r="Q960" s="1"/>
  <c r="Q959" s="1"/>
  <c r="J962"/>
  <c r="I962"/>
  <c r="I961" s="1"/>
  <c r="I960" s="1"/>
  <c r="I959" s="1"/>
  <c r="G962"/>
  <c r="G961" s="1"/>
  <c r="G960" s="1"/>
  <c r="G959" s="1"/>
  <c r="F962"/>
  <c r="F961" s="1"/>
  <c r="F960" s="1"/>
  <c r="E962"/>
  <c r="E961" s="1"/>
  <c r="D962"/>
  <c r="D961" s="1"/>
  <c r="D960" s="1"/>
  <c r="S957"/>
  <c r="R957"/>
  <c r="Q957"/>
  <c r="J957"/>
  <c r="P957" s="1"/>
  <c r="I957"/>
  <c r="G957"/>
  <c r="F957"/>
  <c r="E957"/>
  <c r="D957"/>
  <c r="S952"/>
  <c r="S951" s="1"/>
  <c r="S950" s="1"/>
  <c r="R952"/>
  <c r="R951" s="1"/>
  <c r="R950" s="1"/>
  <c r="Q952"/>
  <c r="Q951" s="1"/>
  <c r="Q950" s="1"/>
  <c r="J952"/>
  <c r="I952"/>
  <c r="I951" s="1"/>
  <c r="I950" s="1"/>
  <c r="G952"/>
  <c r="G951" s="1"/>
  <c r="G950" s="1"/>
  <c r="F952"/>
  <c r="F951" s="1"/>
  <c r="F950" s="1"/>
  <c r="E952"/>
  <c r="E951" s="1"/>
  <c r="E950" s="1"/>
  <c r="D952"/>
  <c r="D951" s="1"/>
  <c r="D950" s="1"/>
  <c r="F948"/>
  <c r="F947" s="1"/>
  <c r="S947"/>
  <c r="R947"/>
  <c r="Q947"/>
  <c r="J947"/>
  <c r="P947" s="1"/>
  <c r="I947"/>
  <c r="G947"/>
  <c r="E947"/>
  <c r="D947"/>
  <c r="S943"/>
  <c r="S942" s="1"/>
  <c r="S941" s="1"/>
  <c r="R943"/>
  <c r="R942" s="1"/>
  <c r="R941" s="1"/>
  <c r="Q943"/>
  <c r="Q942" s="1"/>
  <c r="Q941" s="1"/>
  <c r="J943"/>
  <c r="I943"/>
  <c r="I942" s="1"/>
  <c r="I941" s="1"/>
  <c r="G943"/>
  <c r="G942" s="1"/>
  <c r="G941" s="1"/>
  <c r="F943"/>
  <c r="F942" s="1"/>
  <c r="F941" s="1"/>
  <c r="E943"/>
  <c r="E942" s="1"/>
  <c r="E941" s="1"/>
  <c r="D943"/>
  <c r="S938"/>
  <c r="R938"/>
  <c r="Q938"/>
  <c r="J938"/>
  <c r="P938" s="1"/>
  <c r="I938"/>
  <c r="G938"/>
  <c r="F938"/>
  <c r="E938"/>
  <c r="D938"/>
  <c r="S934"/>
  <c r="S933" s="1"/>
  <c r="R934"/>
  <c r="R933" s="1"/>
  <c r="Q934"/>
  <c r="Q933" s="1"/>
  <c r="J934"/>
  <c r="I934"/>
  <c r="G934"/>
  <c r="G933" s="1"/>
  <c r="G932" s="1"/>
  <c r="F934"/>
  <c r="E934"/>
  <c r="D934"/>
  <c r="D933" s="1"/>
  <c r="D932" s="1"/>
  <c r="S930"/>
  <c r="S752" s="1"/>
  <c r="R930"/>
  <c r="R752" s="1"/>
  <c r="Q930"/>
  <c r="Q752" s="1"/>
  <c r="J930"/>
  <c r="I930"/>
  <c r="I752" s="1"/>
  <c r="G930"/>
  <c r="G752" s="1"/>
  <c r="E930"/>
  <c r="E752" s="1"/>
  <c r="S928"/>
  <c r="R928"/>
  <c r="Q928"/>
  <c r="J928"/>
  <c r="P928" s="1"/>
  <c r="I928"/>
  <c r="G928"/>
  <c r="F928"/>
  <c r="E928"/>
  <c r="D928"/>
  <c r="D922"/>
  <c r="S918"/>
  <c r="S917" s="1"/>
  <c r="S916" s="1"/>
  <c r="R918"/>
  <c r="R917" s="1"/>
  <c r="R916" s="1"/>
  <c r="Q918"/>
  <c r="Q917" s="1"/>
  <c r="Q916" s="1"/>
  <c r="J918"/>
  <c r="I918"/>
  <c r="I917" s="1"/>
  <c r="I916" s="1"/>
  <c r="G918"/>
  <c r="G917" s="1"/>
  <c r="G916" s="1"/>
  <c r="F918"/>
  <c r="F917" s="1"/>
  <c r="F916" s="1"/>
  <c r="E918"/>
  <c r="E917" s="1"/>
  <c r="E916" s="1"/>
  <c r="D918"/>
  <c r="D917" s="1"/>
  <c r="S914"/>
  <c r="R914"/>
  <c r="Q914"/>
  <c r="J914"/>
  <c r="P914" s="1"/>
  <c r="I914"/>
  <c r="G914"/>
  <c r="F914"/>
  <c r="E914"/>
  <c r="D914"/>
  <c r="S910"/>
  <c r="S909" s="1"/>
  <c r="R910"/>
  <c r="R909" s="1"/>
  <c r="Q910"/>
  <c r="Q909" s="1"/>
  <c r="J910"/>
  <c r="I910"/>
  <c r="I909" s="1"/>
  <c r="G910"/>
  <c r="G909" s="1"/>
  <c r="F910"/>
  <c r="F909" s="1"/>
  <c r="E910"/>
  <c r="E909" s="1"/>
  <c r="D910"/>
  <c r="D909" s="1"/>
  <c r="S906"/>
  <c r="R906"/>
  <c r="Q906"/>
  <c r="J906"/>
  <c r="P906" s="1"/>
  <c r="I906"/>
  <c r="G906"/>
  <c r="F906"/>
  <c r="E906"/>
  <c r="D906"/>
  <c r="S902"/>
  <c r="S901" s="1"/>
  <c r="R902"/>
  <c r="R901" s="1"/>
  <c r="Q902"/>
  <c r="Q901" s="1"/>
  <c r="J902"/>
  <c r="I902"/>
  <c r="I901" s="1"/>
  <c r="G902"/>
  <c r="G901" s="1"/>
  <c r="F902"/>
  <c r="F901" s="1"/>
  <c r="E902"/>
  <c r="E901" s="1"/>
  <c r="D902"/>
  <c r="D901" s="1"/>
  <c r="S893"/>
  <c r="R893"/>
  <c r="Q893"/>
  <c r="J893"/>
  <c r="P893" s="1"/>
  <c r="I893"/>
  <c r="G893"/>
  <c r="F893"/>
  <c r="E893"/>
  <c r="D893"/>
  <c r="S889"/>
  <c r="S888" s="1"/>
  <c r="R889"/>
  <c r="R888" s="1"/>
  <c r="Q889"/>
  <c r="Q888" s="1"/>
  <c r="J889"/>
  <c r="I889"/>
  <c r="I888" s="1"/>
  <c r="G889"/>
  <c r="G888" s="1"/>
  <c r="F889"/>
  <c r="F888" s="1"/>
  <c r="E889"/>
  <c r="E888" s="1"/>
  <c r="D889"/>
  <c r="D888" s="1"/>
  <c r="S885"/>
  <c r="R885"/>
  <c r="Q885"/>
  <c r="J885"/>
  <c r="P885" s="1"/>
  <c r="I885"/>
  <c r="G885"/>
  <c r="F885"/>
  <c r="E885"/>
  <c r="D885"/>
  <c r="S881"/>
  <c r="S880" s="1"/>
  <c r="R881"/>
  <c r="R880" s="1"/>
  <c r="Q881"/>
  <c r="Q880" s="1"/>
  <c r="J881"/>
  <c r="I881"/>
  <c r="I880" s="1"/>
  <c r="G881"/>
  <c r="G880" s="1"/>
  <c r="F881"/>
  <c r="F880" s="1"/>
  <c r="E881"/>
  <c r="E880" s="1"/>
  <c r="D881"/>
  <c r="D880" s="1"/>
  <c r="S877"/>
  <c r="R877"/>
  <c r="Q877"/>
  <c r="J877"/>
  <c r="P877" s="1"/>
  <c r="I877"/>
  <c r="G877"/>
  <c r="F877"/>
  <c r="E877"/>
  <c r="D877"/>
  <c r="S873"/>
  <c r="S872" s="1"/>
  <c r="R873"/>
  <c r="R872" s="1"/>
  <c r="Q873"/>
  <c r="Q872" s="1"/>
  <c r="J873"/>
  <c r="I873"/>
  <c r="I872" s="1"/>
  <c r="G873"/>
  <c r="G872" s="1"/>
  <c r="F873"/>
  <c r="F872" s="1"/>
  <c r="E873"/>
  <c r="E872" s="1"/>
  <c r="D873"/>
  <c r="D872" s="1"/>
  <c r="S869"/>
  <c r="R869"/>
  <c r="Q869"/>
  <c r="J869"/>
  <c r="P869" s="1"/>
  <c r="I869"/>
  <c r="G869"/>
  <c r="F869"/>
  <c r="E869"/>
  <c r="D869"/>
  <c r="S865"/>
  <c r="S864" s="1"/>
  <c r="R865"/>
  <c r="R864" s="1"/>
  <c r="Q865"/>
  <c r="Q864" s="1"/>
  <c r="J865"/>
  <c r="I865"/>
  <c r="I864" s="1"/>
  <c r="G865"/>
  <c r="G864" s="1"/>
  <c r="F865"/>
  <c r="F864" s="1"/>
  <c r="E865"/>
  <c r="E864" s="1"/>
  <c r="D865"/>
  <c r="D864" s="1"/>
  <c r="S861"/>
  <c r="R861"/>
  <c r="Q861"/>
  <c r="J861"/>
  <c r="P861" s="1"/>
  <c r="I861"/>
  <c r="G861"/>
  <c r="F861"/>
  <c r="E861"/>
  <c r="D861"/>
  <c r="S857"/>
  <c r="S856" s="1"/>
  <c r="R857"/>
  <c r="R856" s="1"/>
  <c r="Q857"/>
  <c r="Q856" s="1"/>
  <c r="J857"/>
  <c r="I857"/>
  <c r="I856" s="1"/>
  <c r="G857"/>
  <c r="G856" s="1"/>
  <c r="F857"/>
  <c r="F856" s="1"/>
  <c r="E857"/>
  <c r="D857"/>
  <c r="D856" s="1"/>
  <c r="R843"/>
  <c r="R745" s="1"/>
  <c r="Q843"/>
  <c r="Q745" s="1"/>
  <c r="J843"/>
  <c r="I851"/>
  <c r="I843" s="1"/>
  <c r="I745" s="1"/>
  <c r="S842"/>
  <c r="S744" s="1"/>
  <c r="R842"/>
  <c r="R744" s="1"/>
  <c r="Q842"/>
  <c r="Q744" s="1"/>
  <c r="I850"/>
  <c r="I842" s="1"/>
  <c r="I744" s="1"/>
  <c r="G849"/>
  <c r="G848" s="1"/>
  <c r="F849"/>
  <c r="F848" s="1"/>
  <c r="E849"/>
  <c r="E848" s="1"/>
  <c r="E847" s="1"/>
  <c r="D849"/>
  <c r="D848" s="1"/>
  <c r="S846"/>
  <c r="S755" s="1"/>
  <c r="R846"/>
  <c r="R755" s="1"/>
  <c r="Q846"/>
  <c r="Q755" s="1"/>
  <c r="J846"/>
  <c r="I846"/>
  <c r="I755" s="1"/>
  <c r="G846"/>
  <c r="G755" s="1"/>
  <c r="F846"/>
  <c r="F755" s="1"/>
  <c r="E846"/>
  <c r="E755" s="1"/>
  <c r="D846"/>
  <c r="D755" s="1"/>
  <c r="S844"/>
  <c r="R844"/>
  <c r="Q844"/>
  <c r="J844"/>
  <c r="P844" s="1"/>
  <c r="I844"/>
  <c r="G844"/>
  <c r="F844"/>
  <c r="E844"/>
  <c r="D844"/>
  <c r="G843"/>
  <c r="G745" s="1"/>
  <c r="F843"/>
  <c r="F745" s="1"/>
  <c r="E843"/>
  <c r="E745" s="1"/>
  <c r="D843"/>
  <c r="D745" s="1"/>
  <c r="J842"/>
  <c r="G842"/>
  <c r="G744" s="1"/>
  <c r="F842"/>
  <c r="F744" s="1"/>
  <c r="E842"/>
  <c r="D842"/>
  <c r="D744" s="1"/>
  <c r="S835"/>
  <c r="S834" s="1"/>
  <c r="S833" s="1"/>
  <c r="R835"/>
  <c r="R834" s="1"/>
  <c r="R833" s="1"/>
  <c r="Q835"/>
  <c r="Q834" s="1"/>
  <c r="Q833" s="1"/>
  <c r="J835"/>
  <c r="P835" s="1"/>
  <c r="I835"/>
  <c r="I834" s="1"/>
  <c r="I833" s="1"/>
  <c r="G835"/>
  <c r="G834" s="1"/>
  <c r="G833" s="1"/>
  <c r="F835"/>
  <c r="F834" s="1"/>
  <c r="F833" s="1"/>
  <c r="E835"/>
  <c r="E834" s="1"/>
  <c r="E833" s="1"/>
  <c r="D835"/>
  <c r="D834" s="1"/>
  <c r="D833" s="1"/>
  <c r="S829"/>
  <c r="S828" s="1"/>
  <c r="R829"/>
  <c r="R828" s="1"/>
  <c r="Q829"/>
  <c r="Q827" s="1"/>
  <c r="J829"/>
  <c r="P829" s="1"/>
  <c r="I829"/>
  <c r="I827" s="1"/>
  <c r="G829"/>
  <c r="G827" s="1"/>
  <c r="F829"/>
  <c r="F827" s="1"/>
  <c r="E829"/>
  <c r="E827" s="1"/>
  <c r="D829"/>
  <c r="D828" s="1"/>
  <c r="S823"/>
  <c r="S822" s="1"/>
  <c r="R823"/>
  <c r="R821" s="1"/>
  <c r="Q823"/>
  <c r="Q821" s="1"/>
  <c r="J823"/>
  <c r="P823" s="1"/>
  <c r="I823"/>
  <c r="I821" s="1"/>
  <c r="G823"/>
  <c r="G822" s="1"/>
  <c r="F823"/>
  <c r="F822" s="1"/>
  <c r="E823"/>
  <c r="E821" s="1"/>
  <c r="D823"/>
  <c r="D822" s="1"/>
  <c r="S817"/>
  <c r="S816" s="1"/>
  <c r="S815" s="1"/>
  <c r="R817"/>
  <c r="R816" s="1"/>
  <c r="R815" s="1"/>
  <c r="Q817"/>
  <c r="Q816" s="1"/>
  <c r="Q815" s="1"/>
  <c r="J817"/>
  <c r="P817" s="1"/>
  <c r="I817"/>
  <c r="I816" s="1"/>
  <c r="I815" s="1"/>
  <c r="G817"/>
  <c r="G816" s="1"/>
  <c r="G815" s="1"/>
  <c r="F817"/>
  <c r="F816" s="1"/>
  <c r="F815" s="1"/>
  <c r="E817"/>
  <c r="E816" s="1"/>
  <c r="E815" s="1"/>
  <c r="D817"/>
  <c r="D816" s="1"/>
  <c r="D815" s="1"/>
  <c r="S811"/>
  <c r="S810" s="1"/>
  <c r="R811"/>
  <c r="R810" s="1"/>
  <c r="Q811"/>
  <c r="Q810" s="1"/>
  <c r="J811"/>
  <c r="P811" s="1"/>
  <c r="I811"/>
  <c r="I810" s="1"/>
  <c r="G811"/>
  <c r="G810" s="1"/>
  <c r="F811"/>
  <c r="F810" s="1"/>
  <c r="E811"/>
  <c r="E810" s="1"/>
  <c r="D811"/>
  <c r="D810" s="1"/>
  <c r="S806"/>
  <c r="S805" s="1"/>
  <c r="R806"/>
  <c r="R805" s="1"/>
  <c r="Q806"/>
  <c r="Q805" s="1"/>
  <c r="J806"/>
  <c r="P806" s="1"/>
  <c r="I806"/>
  <c r="I805" s="1"/>
  <c r="G806"/>
  <c r="G805" s="1"/>
  <c r="F806"/>
  <c r="F805" s="1"/>
  <c r="E806"/>
  <c r="E805" s="1"/>
  <c r="D806"/>
  <c r="D805" s="1"/>
  <c r="S801"/>
  <c r="S800" s="1"/>
  <c r="R801"/>
  <c r="R800" s="1"/>
  <c r="Q801"/>
  <c r="Q800" s="1"/>
  <c r="J801"/>
  <c r="P801" s="1"/>
  <c r="I801"/>
  <c r="I800" s="1"/>
  <c r="G801"/>
  <c r="G800" s="1"/>
  <c r="F801"/>
  <c r="F800" s="1"/>
  <c r="E801"/>
  <c r="E800" s="1"/>
  <c r="D801"/>
  <c r="D800" s="1"/>
  <c r="S796"/>
  <c r="S795" s="1"/>
  <c r="R796"/>
  <c r="R795" s="1"/>
  <c r="Q796"/>
  <c r="Q795" s="1"/>
  <c r="J796"/>
  <c r="P796" s="1"/>
  <c r="I796"/>
  <c r="I795" s="1"/>
  <c r="G796"/>
  <c r="G795" s="1"/>
  <c r="F796"/>
  <c r="F795" s="1"/>
  <c r="E796"/>
  <c r="E795" s="1"/>
  <c r="D796"/>
  <c r="D795" s="1"/>
  <c r="F791"/>
  <c r="F790" s="1"/>
  <c r="F789" s="1"/>
  <c r="D791"/>
  <c r="D790" s="1"/>
  <c r="D789" s="1"/>
  <c r="S785"/>
  <c r="S784" s="1"/>
  <c r="S783" s="1"/>
  <c r="R785"/>
  <c r="R784" s="1"/>
  <c r="R783" s="1"/>
  <c r="Q785"/>
  <c r="Q784" s="1"/>
  <c r="Q783" s="1"/>
  <c r="J785"/>
  <c r="P785" s="1"/>
  <c r="I785"/>
  <c r="I784" s="1"/>
  <c r="I783" s="1"/>
  <c r="G785"/>
  <c r="G784" s="1"/>
  <c r="G783" s="1"/>
  <c r="F785"/>
  <c r="F784" s="1"/>
  <c r="F783" s="1"/>
  <c r="E785"/>
  <c r="E784" s="1"/>
  <c r="E783" s="1"/>
  <c r="D785"/>
  <c r="D784" s="1"/>
  <c r="D783" s="1"/>
  <c r="S768"/>
  <c r="S766" s="1"/>
  <c r="S85" s="1"/>
  <c r="S178" s="1"/>
  <c r="R768"/>
  <c r="R766" s="1"/>
  <c r="Q768"/>
  <c r="Q766" s="1"/>
  <c r="Q85" s="1"/>
  <c r="Q178" s="1"/>
  <c r="J768"/>
  <c r="P768" s="1"/>
  <c r="I768"/>
  <c r="I766" s="1"/>
  <c r="G768"/>
  <c r="G766" s="1"/>
  <c r="G85" s="1"/>
  <c r="F768"/>
  <c r="F766" s="1"/>
  <c r="F85" s="1"/>
  <c r="F178" s="1"/>
  <c r="E768"/>
  <c r="D768"/>
  <c r="D766" s="1"/>
  <c r="S761"/>
  <c r="S758" s="1"/>
  <c r="R761"/>
  <c r="R758" s="1"/>
  <c r="R757" s="1"/>
  <c r="Q761"/>
  <c r="Q758" s="1"/>
  <c r="J761"/>
  <c r="P761" s="1"/>
  <c r="I761"/>
  <c r="I758" s="1"/>
  <c r="I757" s="1"/>
  <c r="G761"/>
  <c r="G758" s="1"/>
  <c r="G757" s="1"/>
  <c r="F761"/>
  <c r="F758" s="1"/>
  <c r="E761"/>
  <c r="E758" s="1"/>
  <c r="E757" s="1"/>
  <c r="D761"/>
  <c r="D758" s="1"/>
  <c r="S749"/>
  <c r="R749"/>
  <c r="Q749"/>
  <c r="J749"/>
  <c r="P749" s="1"/>
  <c r="I749"/>
  <c r="G749"/>
  <c r="F749"/>
  <c r="E749"/>
  <c r="D749"/>
  <c r="S747"/>
  <c r="S463" s="1"/>
  <c r="R747"/>
  <c r="R463" s="1"/>
  <c r="Q747"/>
  <c r="Q463" s="1"/>
  <c r="J747"/>
  <c r="P747" s="1"/>
  <c r="I747"/>
  <c r="I463" s="1"/>
  <c r="G747"/>
  <c r="G463" s="1"/>
  <c r="F747"/>
  <c r="E747"/>
  <c r="E463" s="1"/>
  <c r="D747"/>
  <c r="D463" s="1"/>
  <c r="E744"/>
  <c r="S739"/>
  <c r="R739"/>
  <c r="Q739"/>
  <c r="J739"/>
  <c r="P739" s="1"/>
  <c r="I739"/>
  <c r="G739"/>
  <c r="F739"/>
  <c r="E739"/>
  <c r="D739"/>
  <c r="S738"/>
  <c r="S737" s="1"/>
  <c r="R738"/>
  <c r="R737" s="1"/>
  <c r="Q738"/>
  <c r="Q737" s="1"/>
  <c r="J738"/>
  <c r="P738" s="1"/>
  <c r="I738"/>
  <c r="I737" s="1"/>
  <c r="G738"/>
  <c r="G737" s="1"/>
  <c r="F738"/>
  <c r="F737" s="1"/>
  <c r="E738"/>
  <c r="E737" s="1"/>
  <c r="D738"/>
  <c r="D737" s="1"/>
  <c r="S734"/>
  <c r="R734"/>
  <c r="Q734"/>
  <c r="J734"/>
  <c r="P734" s="1"/>
  <c r="I734"/>
  <c r="G734"/>
  <c r="F734"/>
  <c r="E734"/>
  <c r="D734"/>
  <c r="S733"/>
  <c r="S732" s="1"/>
  <c r="R733"/>
  <c r="R732" s="1"/>
  <c r="Q733"/>
  <c r="Q732" s="1"/>
  <c r="J733"/>
  <c r="P733" s="1"/>
  <c r="I733"/>
  <c r="I732" s="1"/>
  <c r="G733"/>
  <c r="G732" s="1"/>
  <c r="F733"/>
  <c r="F732" s="1"/>
  <c r="E733"/>
  <c r="E732" s="1"/>
  <c r="D733"/>
  <c r="D732" s="1"/>
  <c r="F729"/>
  <c r="D729"/>
  <c r="S725"/>
  <c r="S724" s="1"/>
  <c r="S723" s="1"/>
  <c r="S722" s="1"/>
  <c r="R725"/>
  <c r="R724" s="1"/>
  <c r="R723" s="1"/>
  <c r="R722" s="1"/>
  <c r="Q725"/>
  <c r="Q724" s="1"/>
  <c r="Q723" s="1"/>
  <c r="Q722" s="1"/>
  <c r="J725"/>
  <c r="P725" s="1"/>
  <c r="I725"/>
  <c r="I724" s="1"/>
  <c r="I723" s="1"/>
  <c r="I722" s="1"/>
  <c r="G725"/>
  <c r="G724" s="1"/>
  <c r="G723" s="1"/>
  <c r="G722" s="1"/>
  <c r="F725"/>
  <c r="F724" s="1"/>
  <c r="F723" s="1"/>
  <c r="E725"/>
  <c r="E724" s="1"/>
  <c r="E723" s="1"/>
  <c r="E722" s="1"/>
  <c r="D725"/>
  <c r="D724" s="1"/>
  <c r="D723" s="1"/>
  <c r="S719"/>
  <c r="S718" s="1"/>
  <c r="S717" s="1"/>
  <c r="R719"/>
  <c r="R718" s="1"/>
  <c r="R717" s="1"/>
  <c r="Q719"/>
  <c r="Q718" s="1"/>
  <c r="Q717" s="1"/>
  <c r="J719"/>
  <c r="P719" s="1"/>
  <c r="I719"/>
  <c r="I718" s="1"/>
  <c r="I717" s="1"/>
  <c r="G719"/>
  <c r="G718" s="1"/>
  <c r="G717" s="1"/>
  <c r="F719"/>
  <c r="F718" s="1"/>
  <c r="F717" s="1"/>
  <c r="E719"/>
  <c r="E718" s="1"/>
  <c r="E717" s="1"/>
  <c r="D719"/>
  <c r="D718" s="1"/>
  <c r="D717" s="1"/>
  <c r="S715"/>
  <c r="R715"/>
  <c r="Q715"/>
  <c r="J715"/>
  <c r="P715" s="1"/>
  <c r="I715"/>
  <c r="G715"/>
  <c r="F715"/>
  <c r="E715"/>
  <c r="D715"/>
  <c r="D713"/>
  <c r="D711" s="1"/>
  <c r="D710" s="1"/>
  <c r="D709" s="1"/>
  <c r="S711"/>
  <c r="S710" s="1"/>
  <c r="S709" s="1"/>
  <c r="R711"/>
  <c r="R710" s="1"/>
  <c r="R709" s="1"/>
  <c r="Q711"/>
  <c r="Q710" s="1"/>
  <c r="Q709" s="1"/>
  <c r="J711"/>
  <c r="P711" s="1"/>
  <c r="I711"/>
  <c r="I710" s="1"/>
  <c r="G711"/>
  <c r="G710" s="1"/>
  <c r="G709" s="1"/>
  <c r="F711"/>
  <c r="F710" s="1"/>
  <c r="F709" s="1"/>
  <c r="E711"/>
  <c r="E710" s="1"/>
  <c r="E709" s="1"/>
  <c r="S706"/>
  <c r="R706"/>
  <c r="Q706"/>
  <c r="J706"/>
  <c r="P706" s="1"/>
  <c r="I706"/>
  <c r="G706"/>
  <c r="F706"/>
  <c r="E706"/>
  <c r="D706"/>
  <c r="S702"/>
  <c r="S701" s="1"/>
  <c r="S700" s="1"/>
  <c r="R702"/>
  <c r="R701" s="1"/>
  <c r="R700" s="1"/>
  <c r="Q702"/>
  <c r="Q701" s="1"/>
  <c r="Q700" s="1"/>
  <c r="J702"/>
  <c r="P702" s="1"/>
  <c r="I702"/>
  <c r="I701" s="1"/>
  <c r="I700" s="1"/>
  <c r="G702"/>
  <c r="G701" s="1"/>
  <c r="G700" s="1"/>
  <c r="F702"/>
  <c r="F701" s="1"/>
  <c r="F700" s="1"/>
  <c r="E702"/>
  <c r="E701" s="1"/>
  <c r="E700" s="1"/>
  <c r="D702"/>
  <c r="D701" s="1"/>
  <c r="D700" s="1"/>
  <c r="G698"/>
  <c r="G644" s="1"/>
  <c r="E698"/>
  <c r="E697" s="1"/>
  <c r="S697"/>
  <c r="R697"/>
  <c r="Q697"/>
  <c r="J697"/>
  <c r="P697" s="1"/>
  <c r="I697"/>
  <c r="F697"/>
  <c r="D697"/>
  <c r="S693"/>
  <c r="S692" s="1"/>
  <c r="S691" s="1"/>
  <c r="R693"/>
  <c r="R692" s="1"/>
  <c r="R691" s="1"/>
  <c r="Q693"/>
  <c r="Q692" s="1"/>
  <c r="Q691" s="1"/>
  <c r="J693"/>
  <c r="P693" s="1"/>
  <c r="I693"/>
  <c r="I692" s="1"/>
  <c r="I691" s="1"/>
  <c r="G693"/>
  <c r="G692" s="1"/>
  <c r="G691" s="1"/>
  <c r="F693"/>
  <c r="F692" s="1"/>
  <c r="F691" s="1"/>
  <c r="E693"/>
  <c r="E692" s="1"/>
  <c r="E691" s="1"/>
  <c r="D693"/>
  <c r="D692" s="1"/>
  <c r="D691" s="1"/>
  <c r="S687"/>
  <c r="R687"/>
  <c r="Q687"/>
  <c r="J687"/>
  <c r="P687" s="1"/>
  <c r="I687"/>
  <c r="G687"/>
  <c r="F687"/>
  <c r="E687"/>
  <c r="D687"/>
  <c r="S683"/>
  <c r="S682" s="1"/>
  <c r="S681" s="1"/>
  <c r="R683"/>
  <c r="R682" s="1"/>
  <c r="R681" s="1"/>
  <c r="Q683"/>
  <c r="Q682" s="1"/>
  <c r="Q681" s="1"/>
  <c r="J683"/>
  <c r="P683" s="1"/>
  <c r="I683"/>
  <c r="I682" s="1"/>
  <c r="I681" s="1"/>
  <c r="G683"/>
  <c r="G682" s="1"/>
  <c r="F683"/>
  <c r="F682" s="1"/>
  <c r="F681" s="1"/>
  <c r="E683"/>
  <c r="E682" s="1"/>
  <c r="E681" s="1"/>
  <c r="D683"/>
  <c r="D682" s="1"/>
  <c r="D681" s="1"/>
  <c r="S676"/>
  <c r="S646" s="1"/>
  <c r="S472" s="1"/>
  <c r="R676"/>
  <c r="R675" s="1"/>
  <c r="R674" s="1"/>
  <c r="Q676"/>
  <c r="Q646" s="1"/>
  <c r="Q472" s="1"/>
  <c r="J676"/>
  <c r="P676" s="1"/>
  <c r="I676"/>
  <c r="I646" s="1"/>
  <c r="I472" s="1"/>
  <c r="G676"/>
  <c r="G646" s="1"/>
  <c r="G472" s="1"/>
  <c r="G243" s="1"/>
  <c r="F676"/>
  <c r="F646" s="1"/>
  <c r="F472" s="1"/>
  <c r="E676"/>
  <c r="E646" s="1"/>
  <c r="E472" s="1"/>
  <c r="D676"/>
  <c r="D675" s="1"/>
  <c r="D674" s="1"/>
  <c r="S666"/>
  <c r="R666"/>
  <c r="Q666"/>
  <c r="J666"/>
  <c r="P666" s="1"/>
  <c r="I666"/>
  <c r="G666"/>
  <c r="F666"/>
  <c r="E666"/>
  <c r="D666"/>
  <c r="S662"/>
  <c r="S661" s="1"/>
  <c r="S660" s="1"/>
  <c r="R662"/>
  <c r="R661" s="1"/>
  <c r="R660" s="1"/>
  <c r="Q662"/>
  <c r="Q661" s="1"/>
  <c r="Q660" s="1"/>
  <c r="J662"/>
  <c r="P662" s="1"/>
  <c r="I662"/>
  <c r="I661" s="1"/>
  <c r="I660" s="1"/>
  <c r="G662"/>
  <c r="G661" s="1"/>
  <c r="G660" s="1"/>
  <c r="F662"/>
  <c r="F661" s="1"/>
  <c r="E662"/>
  <c r="E661" s="1"/>
  <c r="D662"/>
  <c r="D661" s="1"/>
  <c r="D660" s="1"/>
  <c r="Q656"/>
  <c r="I658"/>
  <c r="I656" s="1"/>
  <c r="S656"/>
  <c r="R656"/>
  <c r="J656"/>
  <c r="P656" s="1"/>
  <c r="G656"/>
  <c r="F656"/>
  <c r="E656"/>
  <c r="D656"/>
  <c r="D652"/>
  <c r="D650" s="1"/>
  <c r="S650"/>
  <c r="S649" s="1"/>
  <c r="S648" s="1"/>
  <c r="R650"/>
  <c r="R649" s="1"/>
  <c r="R648" s="1"/>
  <c r="Q650"/>
  <c r="Q649" s="1"/>
  <c r="Q648" s="1"/>
  <c r="J650"/>
  <c r="P650" s="1"/>
  <c r="I650"/>
  <c r="I649" s="1"/>
  <c r="I648" s="1"/>
  <c r="G650"/>
  <c r="G649" s="1"/>
  <c r="G648" s="1"/>
  <c r="F650"/>
  <c r="F649" s="1"/>
  <c r="F648" s="1"/>
  <c r="E650"/>
  <c r="E649" s="1"/>
  <c r="E648" s="1"/>
  <c r="S645"/>
  <c r="R645"/>
  <c r="Q645"/>
  <c r="J645"/>
  <c r="P645" s="1"/>
  <c r="I645"/>
  <c r="G645"/>
  <c r="F645"/>
  <c r="E645"/>
  <c r="D645"/>
  <c r="S644"/>
  <c r="R644"/>
  <c r="J644"/>
  <c r="P644" s="1"/>
  <c r="F644"/>
  <c r="D644"/>
  <c r="S642"/>
  <c r="R642"/>
  <c r="Q642"/>
  <c r="J642"/>
  <c r="P642" s="1"/>
  <c r="I642"/>
  <c r="G642"/>
  <c r="F642"/>
  <c r="E642"/>
  <c r="D642"/>
  <c r="S641"/>
  <c r="R641"/>
  <c r="Q641"/>
  <c r="J641"/>
  <c r="P641" s="1"/>
  <c r="I641"/>
  <c r="G641"/>
  <c r="F641"/>
  <c r="E641"/>
  <c r="D641"/>
  <c r="S639"/>
  <c r="R639"/>
  <c r="Q639"/>
  <c r="J639"/>
  <c r="P639" s="1"/>
  <c r="I639"/>
  <c r="G639"/>
  <c r="F639"/>
  <c r="E639"/>
  <c r="D639"/>
  <c r="S634"/>
  <c r="S633" s="1"/>
  <c r="R634"/>
  <c r="R633" s="1"/>
  <c r="Q634"/>
  <c r="Q633" s="1"/>
  <c r="J634"/>
  <c r="P634" s="1"/>
  <c r="I634"/>
  <c r="I633" s="1"/>
  <c r="G634"/>
  <c r="G633" s="1"/>
  <c r="F634"/>
  <c r="F633" s="1"/>
  <c r="E634"/>
  <c r="E633" s="1"/>
  <c r="D634"/>
  <c r="D633" s="1"/>
  <c r="S631"/>
  <c r="S630" s="1"/>
  <c r="R631"/>
  <c r="R630" s="1"/>
  <c r="Q631"/>
  <c r="Q630" s="1"/>
  <c r="J631"/>
  <c r="P631" s="1"/>
  <c r="I631"/>
  <c r="I630" s="1"/>
  <c r="G631"/>
  <c r="G630" s="1"/>
  <c r="F631"/>
  <c r="F630" s="1"/>
  <c r="E631"/>
  <c r="E630" s="1"/>
  <c r="D631"/>
  <c r="D630" s="1"/>
  <c r="S628"/>
  <c r="S627" s="1"/>
  <c r="R628"/>
  <c r="R627" s="1"/>
  <c r="Q628"/>
  <c r="Q627" s="1"/>
  <c r="J628"/>
  <c r="P628" s="1"/>
  <c r="I628"/>
  <c r="I627" s="1"/>
  <c r="G628"/>
  <c r="G627" s="1"/>
  <c r="F628"/>
  <c r="F627" s="1"/>
  <c r="E628"/>
  <c r="E627" s="1"/>
  <c r="D628"/>
  <c r="D627" s="1"/>
  <c r="S625"/>
  <c r="S624" s="1"/>
  <c r="R625"/>
  <c r="R624" s="1"/>
  <c r="Q625"/>
  <c r="Q624" s="1"/>
  <c r="J625"/>
  <c r="P625" s="1"/>
  <c r="I625"/>
  <c r="I624" s="1"/>
  <c r="G625"/>
  <c r="G624" s="1"/>
  <c r="F625"/>
  <c r="F624" s="1"/>
  <c r="E625"/>
  <c r="E624" s="1"/>
  <c r="D625"/>
  <c r="D624" s="1"/>
  <c r="S622"/>
  <c r="S621" s="1"/>
  <c r="R622"/>
  <c r="R621" s="1"/>
  <c r="Q622"/>
  <c r="Q621" s="1"/>
  <c r="J622"/>
  <c r="P622" s="1"/>
  <c r="I622"/>
  <c r="I621" s="1"/>
  <c r="G622"/>
  <c r="G621" s="1"/>
  <c r="F622"/>
  <c r="F621" s="1"/>
  <c r="E622"/>
  <c r="E621" s="1"/>
  <c r="D622"/>
  <c r="D621" s="1"/>
  <c r="S619"/>
  <c r="S618" s="1"/>
  <c r="R619"/>
  <c r="R618" s="1"/>
  <c r="Q619"/>
  <c r="Q618" s="1"/>
  <c r="J619"/>
  <c r="P619" s="1"/>
  <c r="I619"/>
  <c r="I618" s="1"/>
  <c r="G619"/>
  <c r="G618" s="1"/>
  <c r="F619"/>
  <c r="F618" s="1"/>
  <c r="E619"/>
  <c r="E618" s="1"/>
  <c r="D619"/>
  <c r="D618" s="1"/>
  <c r="F616"/>
  <c r="F615"/>
  <c r="S614"/>
  <c r="S613" s="1"/>
  <c r="S612" s="1"/>
  <c r="S611" s="1"/>
  <c r="R614"/>
  <c r="R613" s="1"/>
  <c r="R612" s="1"/>
  <c r="R611" s="1"/>
  <c r="Q614"/>
  <c r="Q613" s="1"/>
  <c r="Q612" s="1"/>
  <c r="Q611" s="1"/>
  <c r="J614"/>
  <c r="P614" s="1"/>
  <c r="I614"/>
  <c r="I613" s="1"/>
  <c r="I612" s="1"/>
  <c r="I611" s="1"/>
  <c r="G614"/>
  <c r="G613" s="1"/>
  <c r="G612" s="1"/>
  <c r="G611" s="1"/>
  <c r="E614"/>
  <c r="E613" s="1"/>
  <c r="E612" s="1"/>
  <c r="E611" s="1"/>
  <c r="D614"/>
  <c r="D613" s="1"/>
  <c r="D612" s="1"/>
  <c r="D611" s="1"/>
  <c r="F610"/>
  <c r="F609"/>
  <c r="S608"/>
  <c r="S607" s="1"/>
  <c r="S606" s="1"/>
  <c r="R608"/>
  <c r="R607" s="1"/>
  <c r="Q608"/>
  <c r="Q607" s="1"/>
  <c r="J608"/>
  <c r="P608" s="1"/>
  <c r="I608"/>
  <c r="I607" s="1"/>
  <c r="I606" s="1"/>
  <c r="G608"/>
  <c r="G607" s="1"/>
  <c r="E608"/>
  <c r="E607" s="1"/>
  <c r="E606" s="1"/>
  <c r="E605" s="1"/>
  <c r="D608"/>
  <c r="D607" s="1"/>
  <c r="F604"/>
  <c r="F603"/>
  <c r="S602"/>
  <c r="S601" s="1"/>
  <c r="S600" s="1"/>
  <c r="R602"/>
  <c r="R601" s="1"/>
  <c r="R600" s="1"/>
  <c r="Q602"/>
  <c r="Q601" s="1"/>
  <c r="J602"/>
  <c r="P602" s="1"/>
  <c r="I602"/>
  <c r="I601" s="1"/>
  <c r="I600" s="1"/>
  <c r="G602"/>
  <c r="G601" s="1"/>
  <c r="E602"/>
  <c r="E601" s="1"/>
  <c r="E600" s="1"/>
  <c r="E599" s="1"/>
  <c r="D602"/>
  <c r="D601" s="1"/>
  <c r="D600" s="1"/>
  <c r="D599" s="1"/>
  <c r="F598"/>
  <c r="F597"/>
  <c r="S596"/>
  <c r="R596"/>
  <c r="R595" s="1"/>
  <c r="Q596"/>
  <c r="Q595" s="1"/>
  <c r="Q594" s="1"/>
  <c r="Q593" s="1"/>
  <c r="J596"/>
  <c r="P596" s="1"/>
  <c r="I596"/>
  <c r="I595" s="1"/>
  <c r="G596"/>
  <c r="G595" s="1"/>
  <c r="G594" s="1"/>
  <c r="G593" s="1"/>
  <c r="E596"/>
  <c r="E595" s="1"/>
  <c r="E594" s="1"/>
  <c r="E593" s="1"/>
  <c r="D596"/>
  <c r="D595" s="1"/>
  <c r="D594" s="1"/>
  <c r="D593" s="1"/>
  <c r="F592"/>
  <c r="F591"/>
  <c r="S590"/>
  <c r="S589" s="1"/>
  <c r="S588" s="1"/>
  <c r="R590"/>
  <c r="Q590"/>
  <c r="Q589" s="1"/>
  <c r="Q588" s="1"/>
  <c r="J590"/>
  <c r="P590" s="1"/>
  <c r="I590"/>
  <c r="I589" s="1"/>
  <c r="I588" s="1"/>
  <c r="G590"/>
  <c r="G589" s="1"/>
  <c r="G588" s="1"/>
  <c r="E590"/>
  <c r="D590"/>
  <c r="D589" s="1"/>
  <c r="D588" s="1"/>
  <c r="S580"/>
  <c r="R580"/>
  <c r="Q580"/>
  <c r="J580"/>
  <c r="P580" s="1"/>
  <c r="I580"/>
  <c r="G580"/>
  <c r="F580"/>
  <c r="E580"/>
  <c r="D580"/>
  <c r="F579"/>
  <c r="F578" s="1"/>
  <c r="S578"/>
  <c r="S577" s="1"/>
  <c r="S576" s="1"/>
  <c r="R578"/>
  <c r="R577" s="1"/>
  <c r="R576" s="1"/>
  <c r="Q578"/>
  <c r="Q577" s="1"/>
  <c r="Q576" s="1"/>
  <c r="J578"/>
  <c r="P578" s="1"/>
  <c r="I578"/>
  <c r="I577" s="1"/>
  <c r="I576" s="1"/>
  <c r="G578"/>
  <c r="G577" s="1"/>
  <c r="G576" s="1"/>
  <c r="E578"/>
  <c r="E577" s="1"/>
  <c r="E576" s="1"/>
  <c r="D578"/>
  <c r="S572"/>
  <c r="R572"/>
  <c r="Q572"/>
  <c r="J572"/>
  <c r="P572" s="1"/>
  <c r="I572"/>
  <c r="G572"/>
  <c r="F572"/>
  <c r="E572"/>
  <c r="D572"/>
  <c r="S566"/>
  <c r="S565" s="1"/>
  <c r="R566"/>
  <c r="R565" s="1"/>
  <c r="Q566"/>
  <c r="Q565" s="1"/>
  <c r="Q564" s="1"/>
  <c r="J566"/>
  <c r="P566" s="1"/>
  <c r="I566"/>
  <c r="I565" s="1"/>
  <c r="I564" s="1"/>
  <c r="G566"/>
  <c r="G565" s="1"/>
  <c r="F566"/>
  <c r="F565" s="1"/>
  <c r="E566"/>
  <c r="E565" s="1"/>
  <c r="D566"/>
  <c r="D565" s="1"/>
  <c r="F562"/>
  <c r="F560" s="1"/>
  <c r="F559" s="1"/>
  <c r="F558" s="1"/>
  <c r="S560"/>
  <c r="S559" s="1"/>
  <c r="S558" s="1"/>
  <c r="S24" s="1"/>
  <c r="S134" s="1"/>
  <c r="R560"/>
  <c r="R559" s="1"/>
  <c r="R558" s="1"/>
  <c r="R24" s="1"/>
  <c r="Q560"/>
  <c r="Q559" s="1"/>
  <c r="Q558" s="1"/>
  <c r="Q24" s="1"/>
  <c r="Q134" s="1"/>
  <c r="J560"/>
  <c r="P560" s="1"/>
  <c r="I560"/>
  <c r="I559" s="1"/>
  <c r="I558" s="1"/>
  <c r="G560"/>
  <c r="G559" s="1"/>
  <c r="G558" s="1"/>
  <c r="G24" s="1"/>
  <c r="G134" s="1"/>
  <c r="E560"/>
  <c r="E559" s="1"/>
  <c r="E558" s="1"/>
  <c r="E24" s="1"/>
  <c r="E134" s="1"/>
  <c r="D560"/>
  <c r="D559" s="1"/>
  <c r="D558" s="1"/>
  <c r="D24" s="1"/>
  <c r="D134" s="1"/>
  <c r="S556"/>
  <c r="R556"/>
  <c r="Q556"/>
  <c r="J556"/>
  <c r="P556" s="1"/>
  <c r="I556"/>
  <c r="G556"/>
  <c r="F556"/>
  <c r="E556"/>
  <c r="D556"/>
  <c r="S549"/>
  <c r="S548" s="1"/>
  <c r="R549"/>
  <c r="R548" s="1"/>
  <c r="Q549"/>
  <c r="Q548" s="1"/>
  <c r="J549"/>
  <c r="P549" s="1"/>
  <c r="I549"/>
  <c r="I548" s="1"/>
  <c r="G549"/>
  <c r="G548" s="1"/>
  <c r="F549"/>
  <c r="F548" s="1"/>
  <c r="E549"/>
  <c r="E548" s="1"/>
  <c r="D549"/>
  <c r="D548" s="1"/>
  <c r="S545"/>
  <c r="R545"/>
  <c r="Q545"/>
  <c r="J545"/>
  <c r="P545" s="1"/>
  <c r="I545"/>
  <c r="G545"/>
  <c r="F545"/>
  <c r="E545"/>
  <c r="D545"/>
  <c r="S538"/>
  <c r="S537" s="1"/>
  <c r="R538"/>
  <c r="R537" s="1"/>
  <c r="Q538"/>
  <c r="Q537" s="1"/>
  <c r="J538"/>
  <c r="P538" s="1"/>
  <c r="I538"/>
  <c r="I537" s="1"/>
  <c r="G538"/>
  <c r="G537" s="1"/>
  <c r="F538"/>
  <c r="F537" s="1"/>
  <c r="E538"/>
  <c r="E537" s="1"/>
  <c r="D538"/>
  <c r="D537" s="1"/>
  <c r="S534"/>
  <c r="R534"/>
  <c r="Q534"/>
  <c r="J534"/>
  <c r="P534" s="1"/>
  <c r="I534"/>
  <c r="G534"/>
  <c r="F534"/>
  <c r="E534"/>
  <c r="D534"/>
  <c r="S527"/>
  <c r="S526" s="1"/>
  <c r="R527"/>
  <c r="R526" s="1"/>
  <c r="Q527"/>
  <c r="Q526" s="1"/>
  <c r="J527"/>
  <c r="P527" s="1"/>
  <c r="I527"/>
  <c r="I526" s="1"/>
  <c r="G527"/>
  <c r="G526" s="1"/>
  <c r="F527"/>
  <c r="F526" s="1"/>
  <c r="E527"/>
  <c r="E526" s="1"/>
  <c r="D527"/>
  <c r="D526" s="1"/>
  <c r="S523"/>
  <c r="R523"/>
  <c r="Q523"/>
  <c r="J523"/>
  <c r="P523" s="1"/>
  <c r="I523"/>
  <c r="G523"/>
  <c r="F523"/>
  <c r="E523"/>
  <c r="D523"/>
  <c r="S516"/>
  <c r="S515" s="1"/>
  <c r="R516"/>
  <c r="R515" s="1"/>
  <c r="Q516"/>
  <c r="Q515" s="1"/>
  <c r="J516"/>
  <c r="P516" s="1"/>
  <c r="I516"/>
  <c r="I515" s="1"/>
  <c r="G516"/>
  <c r="G515" s="1"/>
  <c r="F516"/>
  <c r="F515" s="1"/>
  <c r="E516"/>
  <c r="E515" s="1"/>
  <c r="D516"/>
  <c r="D515" s="1"/>
  <c r="S508"/>
  <c r="R508"/>
  <c r="Q508"/>
  <c r="J508"/>
  <c r="P508" s="1"/>
  <c r="I508"/>
  <c r="G508"/>
  <c r="F508"/>
  <c r="E508"/>
  <c r="D508"/>
  <c r="S500"/>
  <c r="S499" s="1"/>
  <c r="R500"/>
  <c r="R499" s="1"/>
  <c r="Q500"/>
  <c r="Q499" s="1"/>
  <c r="J500"/>
  <c r="P500" s="1"/>
  <c r="I500"/>
  <c r="I499" s="1"/>
  <c r="G500"/>
  <c r="G499" s="1"/>
  <c r="F500"/>
  <c r="E500"/>
  <c r="D500"/>
  <c r="D499" s="1"/>
  <c r="S497"/>
  <c r="S486" s="1"/>
  <c r="R497"/>
  <c r="R486" s="1"/>
  <c r="Q497"/>
  <c r="Q486" s="1"/>
  <c r="J497"/>
  <c r="P497" s="1"/>
  <c r="I497"/>
  <c r="I486" s="1"/>
  <c r="G497"/>
  <c r="G486" s="1"/>
  <c r="F497"/>
  <c r="F486" s="1"/>
  <c r="E497"/>
  <c r="E486" s="1"/>
  <c r="D497"/>
  <c r="D486" s="1"/>
  <c r="S494"/>
  <c r="S482" s="1"/>
  <c r="R494"/>
  <c r="R482" s="1"/>
  <c r="Q494"/>
  <c r="Q482" s="1"/>
  <c r="J494"/>
  <c r="P494" s="1"/>
  <c r="I494"/>
  <c r="I482" s="1"/>
  <c r="G494"/>
  <c r="G482" s="1"/>
  <c r="F494"/>
  <c r="F482" s="1"/>
  <c r="E494"/>
  <c r="E482" s="1"/>
  <c r="D494"/>
  <c r="D482" s="1"/>
  <c r="S493"/>
  <c r="S481" s="1"/>
  <c r="R493"/>
  <c r="R481" s="1"/>
  <c r="Q493"/>
  <c r="Q30" s="1"/>
  <c r="J493"/>
  <c r="P493" s="1"/>
  <c r="I493"/>
  <c r="I481" s="1"/>
  <c r="G493"/>
  <c r="G481" s="1"/>
  <c r="F493"/>
  <c r="F30" s="1"/>
  <c r="E493"/>
  <c r="E481" s="1"/>
  <c r="D493"/>
  <c r="D481" s="1"/>
  <c r="S492"/>
  <c r="S479" s="1"/>
  <c r="R492"/>
  <c r="R479" s="1"/>
  <c r="Q492"/>
  <c r="Q479" s="1"/>
  <c r="J492"/>
  <c r="P492" s="1"/>
  <c r="I492"/>
  <c r="I479" s="1"/>
  <c r="G492"/>
  <c r="G479" s="1"/>
  <c r="F492"/>
  <c r="F479" s="1"/>
  <c r="E492"/>
  <c r="E479" s="1"/>
  <c r="D492"/>
  <c r="D479" s="1"/>
  <c r="S490"/>
  <c r="S478" s="1"/>
  <c r="R490"/>
  <c r="R478" s="1"/>
  <c r="Q490"/>
  <c r="Q478" s="1"/>
  <c r="J490"/>
  <c r="P490" s="1"/>
  <c r="I490"/>
  <c r="I478" s="1"/>
  <c r="G490"/>
  <c r="G478" s="1"/>
  <c r="F490"/>
  <c r="F478" s="1"/>
  <c r="E490"/>
  <c r="E478" s="1"/>
  <c r="D490"/>
  <c r="D478" s="1"/>
  <c r="S483"/>
  <c r="R483"/>
  <c r="Q483"/>
  <c r="J483"/>
  <c r="P483" s="1"/>
  <c r="I483"/>
  <c r="G483"/>
  <c r="F483"/>
  <c r="E483"/>
  <c r="D483"/>
  <c r="S480"/>
  <c r="R480"/>
  <c r="Q480"/>
  <c r="J480"/>
  <c r="P480" s="1"/>
  <c r="I480"/>
  <c r="G480"/>
  <c r="F480"/>
  <c r="E480"/>
  <c r="D480"/>
  <c r="S469"/>
  <c r="S240" s="1"/>
  <c r="R469"/>
  <c r="R240" s="1"/>
  <c r="Q469"/>
  <c r="Q240" s="1"/>
  <c r="J469"/>
  <c r="P469" s="1"/>
  <c r="I469"/>
  <c r="G469"/>
  <c r="G240" s="1"/>
  <c r="F469"/>
  <c r="F240" s="1"/>
  <c r="E469"/>
  <c r="D469"/>
  <c r="D240" s="1"/>
  <c r="S468"/>
  <c r="S239" s="1"/>
  <c r="R468"/>
  <c r="R239" s="1"/>
  <c r="Q468"/>
  <c r="Q239" s="1"/>
  <c r="J468"/>
  <c r="P468" s="1"/>
  <c r="I468"/>
  <c r="I239" s="1"/>
  <c r="G468"/>
  <c r="G239" s="1"/>
  <c r="F468"/>
  <c r="F239" s="1"/>
  <c r="E468"/>
  <c r="E239" s="1"/>
  <c r="D468"/>
  <c r="D239" s="1"/>
  <c r="J463"/>
  <c r="P463" s="1"/>
  <c r="F463"/>
  <c r="S453"/>
  <c r="R453"/>
  <c r="Q453"/>
  <c r="J453"/>
  <c r="P453" s="1"/>
  <c r="I453"/>
  <c r="G453"/>
  <c r="F453"/>
  <c r="E453"/>
  <c r="D453"/>
  <c r="S449"/>
  <c r="S448" s="1"/>
  <c r="R449"/>
  <c r="R448" s="1"/>
  <c r="Q449"/>
  <c r="Q448" s="1"/>
  <c r="J449"/>
  <c r="P449" s="1"/>
  <c r="I449"/>
  <c r="I448" s="1"/>
  <c r="G449"/>
  <c r="G448" s="1"/>
  <c r="F449"/>
  <c r="F448" s="1"/>
  <c r="E449"/>
  <c r="E448" s="1"/>
  <c r="D449"/>
  <c r="D448" s="1"/>
  <c r="F444"/>
  <c r="D444"/>
  <c r="S442"/>
  <c r="S440" s="1"/>
  <c r="R442"/>
  <c r="R440" s="1"/>
  <c r="Q442"/>
  <c r="Q441" s="1"/>
  <c r="J442"/>
  <c r="P442" s="1"/>
  <c r="I442"/>
  <c r="I440" s="1"/>
  <c r="G442"/>
  <c r="F442"/>
  <c r="F441" s="1"/>
  <c r="E442"/>
  <c r="E441" s="1"/>
  <c r="D442"/>
  <c r="D441" s="1"/>
  <c r="S435"/>
  <c r="R435"/>
  <c r="Q435"/>
  <c r="J429"/>
  <c r="P429" s="1"/>
  <c r="I435"/>
  <c r="G435"/>
  <c r="F429"/>
  <c r="E436"/>
  <c r="E429" s="1"/>
  <c r="D436"/>
  <c r="D435" s="1"/>
  <c r="S433"/>
  <c r="S432" s="1"/>
  <c r="R433"/>
  <c r="R432" s="1"/>
  <c r="Q433"/>
  <c r="J433"/>
  <c r="P433" s="1"/>
  <c r="I433"/>
  <c r="I432" s="1"/>
  <c r="G433"/>
  <c r="G432" s="1"/>
  <c r="F433"/>
  <c r="E433"/>
  <c r="E432" s="1"/>
  <c r="D433"/>
  <c r="D432" s="1"/>
  <c r="G429"/>
  <c r="S427"/>
  <c r="R427"/>
  <c r="Q427"/>
  <c r="J427"/>
  <c r="P427" s="1"/>
  <c r="I427"/>
  <c r="G427"/>
  <c r="F427"/>
  <c r="E427"/>
  <c r="D427"/>
  <c r="S426"/>
  <c r="R426"/>
  <c r="Q426"/>
  <c r="J426"/>
  <c r="P426" s="1"/>
  <c r="I426"/>
  <c r="G426"/>
  <c r="F426"/>
  <c r="E426"/>
  <c r="D426"/>
  <c r="S425"/>
  <c r="R425"/>
  <c r="Q425"/>
  <c r="J425"/>
  <c r="P425" s="1"/>
  <c r="I425"/>
  <c r="G425"/>
  <c r="F425"/>
  <c r="E425"/>
  <c r="D425"/>
  <c r="S419"/>
  <c r="S417" s="1"/>
  <c r="S415" s="1"/>
  <c r="R419"/>
  <c r="R417" s="1"/>
  <c r="R416" s="1"/>
  <c r="Q419"/>
  <c r="Q417" s="1"/>
  <c r="J419"/>
  <c r="P419" s="1"/>
  <c r="I419"/>
  <c r="I252" s="1"/>
  <c r="I228" s="1"/>
  <c r="G419"/>
  <c r="G417" s="1"/>
  <c r="F419"/>
  <c r="F417" s="1"/>
  <c r="E419"/>
  <c r="E417" s="1"/>
  <c r="D419"/>
  <c r="D417" s="1"/>
  <c r="S404"/>
  <c r="S403" s="1"/>
  <c r="R404"/>
  <c r="R403" s="1"/>
  <c r="R402" s="1"/>
  <c r="R401" s="1"/>
  <c r="Q404"/>
  <c r="Q403" s="1"/>
  <c r="Q402" s="1"/>
  <c r="Q401" s="1"/>
  <c r="J404"/>
  <c r="P404" s="1"/>
  <c r="I404"/>
  <c r="I403" s="1"/>
  <c r="I402" s="1"/>
  <c r="I401" s="1"/>
  <c r="G404"/>
  <c r="G403" s="1"/>
  <c r="G402" s="1"/>
  <c r="G401" s="1"/>
  <c r="F404"/>
  <c r="F403" s="1"/>
  <c r="F402" s="1"/>
  <c r="F401" s="1"/>
  <c r="E404"/>
  <c r="E403" s="1"/>
  <c r="E258" s="1"/>
  <c r="E235" s="1"/>
  <c r="D404"/>
  <c r="D403" s="1"/>
  <c r="S399"/>
  <c r="R399"/>
  <c r="Q399"/>
  <c r="J399"/>
  <c r="P399" s="1"/>
  <c r="I399"/>
  <c r="G399"/>
  <c r="F399"/>
  <c r="E399"/>
  <c r="D399"/>
  <c r="S395"/>
  <c r="S394" s="1"/>
  <c r="S393" s="1"/>
  <c r="R395"/>
  <c r="R394" s="1"/>
  <c r="R393" s="1"/>
  <c r="Q395"/>
  <c r="Q394" s="1"/>
  <c r="Q393" s="1"/>
  <c r="J395"/>
  <c r="P395" s="1"/>
  <c r="I395"/>
  <c r="I254" s="1"/>
  <c r="G395"/>
  <c r="G254" s="1"/>
  <c r="F395"/>
  <c r="F394" s="1"/>
  <c r="F393" s="1"/>
  <c r="E395"/>
  <c r="E254" s="1"/>
  <c r="D395"/>
  <c r="D394" s="1"/>
  <c r="D393" s="1"/>
  <c r="S390"/>
  <c r="S389" s="1"/>
  <c r="S388" s="1"/>
  <c r="R390"/>
  <c r="R389" s="1"/>
  <c r="R388" s="1"/>
  <c r="Q390"/>
  <c r="Q389" s="1"/>
  <c r="Q388" s="1"/>
  <c r="J390"/>
  <c r="P390" s="1"/>
  <c r="I390"/>
  <c r="G390"/>
  <c r="G389" s="1"/>
  <c r="G388" s="1"/>
  <c r="F390"/>
  <c r="F389" s="1"/>
  <c r="F388" s="1"/>
  <c r="E390"/>
  <c r="E389" s="1"/>
  <c r="E388" s="1"/>
  <c r="D390"/>
  <c r="D389" s="1"/>
  <c r="D388" s="1"/>
  <c r="Q383"/>
  <c r="Q382" s="1"/>
  <c r="Q381" s="1"/>
  <c r="I383"/>
  <c r="I382" s="1"/>
  <c r="I381" s="1"/>
  <c r="S383"/>
  <c r="S382" s="1"/>
  <c r="S381" s="1"/>
  <c r="R383"/>
  <c r="R382" s="1"/>
  <c r="R381" s="1"/>
  <c r="J383"/>
  <c r="P383" s="1"/>
  <c r="G383"/>
  <c r="G382" s="1"/>
  <c r="G381" s="1"/>
  <c r="F383"/>
  <c r="F382" s="1"/>
  <c r="F381" s="1"/>
  <c r="E383"/>
  <c r="E382" s="1"/>
  <c r="E381" s="1"/>
  <c r="D383"/>
  <c r="D382" s="1"/>
  <c r="D381" s="1"/>
  <c r="Q377"/>
  <c r="Q376" s="1"/>
  <c r="Q375" s="1"/>
  <c r="I377"/>
  <c r="I376" s="1"/>
  <c r="I375" s="1"/>
  <c r="S377"/>
  <c r="S376" s="1"/>
  <c r="S375" s="1"/>
  <c r="R377"/>
  <c r="R376" s="1"/>
  <c r="R375" s="1"/>
  <c r="J377"/>
  <c r="P377" s="1"/>
  <c r="G377"/>
  <c r="G376" s="1"/>
  <c r="G375" s="1"/>
  <c r="F377"/>
  <c r="F376" s="1"/>
  <c r="F375" s="1"/>
  <c r="E377"/>
  <c r="E376" s="1"/>
  <c r="E375" s="1"/>
  <c r="D377"/>
  <c r="D376" s="1"/>
  <c r="D375" s="1"/>
  <c r="S371"/>
  <c r="S288" s="1"/>
  <c r="R371"/>
  <c r="R370" s="1"/>
  <c r="R369" s="1"/>
  <c r="Q371"/>
  <c r="Q288" s="1"/>
  <c r="J371"/>
  <c r="P371" s="1"/>
  <c r="I371"/>
  <c r="I370" s="1"/>
  <c r="I369" s="1"/>
  <c r="G371"/>
  <c r="G370" s="1"/>
  <c r="G369" s="1"/>
  <c r="F371"/>
  <c r="F370" s="1"/>
  <c r="F369" s="1"/>
  <c r="E371"/>
  <c r="D371"/>
  <c r="D288" s="1"/>
  <c r="Q365"/>
  <c r="Q364" s="1"/>
  <c r="Q363" s="1"/>
  <c r="J365"/>
  <c r="P365" s="1"/>
  <c r="I365"/>
  <c r="I364" s="1"/>
  <c r="I363" s="1"/>
  <c r="S365"/>
  <c r="S364" s="1"/>
  <c r="S363" s="1"/>
  <c r="R365"/>
  <c r="R364" s="1"/>
  <c r="R363" s="1"/>
  <c r="G365"/>
  <c r="G364" s="1"/>
  <c r="G363" s="1"/>
  <c r="F365"/>
  <c r="F364" s="1"/>
  <c r="F363" s="1"/>
  <c r="E365"/>
  <c r="E364" s="1"/>
  <c r="E363" s="1"/>
  <c r="D365"/>
  <c r="D364" s="1"/>
  <c r="D363" s="1"/>
  <c r="Q359"/>
  <c r="Q358" s="1"/>
  <c r="Q357" s="1"/>
  <c r="J359"/>
  <c r="P359" s="1"/>
  <c r="I359"/>
  <c r="I358" s="1"/>
  <c r="I357" s="1"/>
  <c r="S359"/>
  <c r="S358" s="1"/>
  <c r="S357" s="1"/>
  <c r="R359"/>
  <c r="R358" s="1"/>
  <c r="R357" s="1"/>
  <c r="G359"/>
  <c r="G358" s="1"/>
  <c r="G357" s="1"/>
  <c r="F359"/>
  <c r="F358" s="1"/>
  <c r="F357" s="1"/>
  <c r="E359"/>
  <c r="E358" s="1"/>
  <c r="E357" s="1"/>
  <c r="D359"/>
  <c r="D358" s="1"/>
  <c r="D357" s="1"/>
  <c r="Q335"/>
  <c r="Q334" s="1"/>
  <c r="Q333" s="1"/>
  <c r="J335"/>
  <c r="P335" s="1"/>
  <c r="I335"/>
  <c r="I334" s="1"/>
  <c r="I333" s="1"/>
  <c r="S335"/>
  <c r="S334" s="1"/>
  <c r="S333" s="1"/>
  <c r="R335"/>
  <c r="R334" s="1"/>
  <c r="R333" s="1"/>
  <c r="G335"/>
  <c r="G334" s="1"/>
  <c r="G333" s="1"/>
  <c r="F335"/>
  <c r="F334" s="1"/>
  <c r="F333" s="1"/>
  <c r="E335"/>
  <c r="E334" s="1"/>
  <c r="E333" s="1"/>
  <c r="D335"/>
  <c r="D334" s="1"/>
  <c r="D333" s="1"/>
  <c r="J332"/>
  <c r="P332" s="1"/>
  <c r="I329"/>
  <c r="I328" s="1"/>
  <c r="I327" s="1"/>
  <c r="S329"/>
  <c r="S328" s="1"/>
  <c r="S327" s="1"/>
  <c r="R329"/>
  <c r="R328" s="1"/>
  <c r="R327" s="1"/>
  <c r="Q329"/>
  <c r="Q328" s="1"/>
  <c r="Q327" s="1"/>
  <c r="G329"/>
  <c r="G328" s="1"/>
  <c r="G327" s="1"/>
  <c r="F329"/>
  <c r="F328" s="1"/>
  <c r="F327" s="1"/>
  <c r="E329"/>
  <c r="E328" s="1"/>
  <c r="E327" s="1"/>
  <c r="D329"/>
  <c r="D328" s="1"/>
  <c r="D327" s="1"/>
  <c r="Q323"/>
  <c r="Q322" s="1"/>
  <c r="Q321" s="1"/>
  <c r="J323"/>
  <c r="P323" s="1"/>
  <c r="I326"/>
  <c r="I323" s="1"/>
  <c r="I322" s="1"/>
  <c r="I321" s="1"/>
  <c r="S323"/>
  <c r="S322" s="1"/>
  <c r="S321" s="1"/>
  <c r="R323"/>
  <c r="R322" s="1"/>
  <c r="R321" s="1"/>
  <c r="G323"/>
  <c r="G322" s="1"/>
  <c r="G321" s="1"/>
  <c r="F323"/>
  <c r="F322" s="1"/>
  <c r="F321" s="1"/>
  <c r="E323"/>
  <c r="E322" s="1"/>
  <c r="E321" s="1"/>
  <c r="D323"/>
  <c r="D322" s="1"/>
  <c r="D321" s="1"/>
  <c r="Q317"/>
  <c r="Q316" s="1"/>
  <c r="Q315" s="1"/>
  <c r="I320"/>
  <c r="I317" s="1"/>
  <c r="I316" s="1"/>
  <c r="I315" s="1"/>
  <c r="S317"/>
  <c r="S316" s="1"/>
  <c r="S315" s="1"/>
  <c r="R317"/>
  <c r="R316" s="1"/>
  <c r="R315" s="1"/>
  <c r="J317"/>
  <c r="P317" s="1"/>
  <c r="G317"/>
  <c r="G316" s="1"/>
  <c r="G315" s="1"/>
  <c r="F317"/>
  <c r="F316" s="1"/>
  <c r="F315" s="1"/>
  <c r="E317"/>
  <c r="E316" s="1"/>
  <c r="E315" s="1"/>
  <c r="D317"/>
  <c r="I311"/>
  <c r="S311"/>
  <c r="S310" s="1"/>
  <c r="S309" s="1"/>
  <c r="R311"/>
  <c r="R310" s="1"/>
  <c r="R309" s="1"/>
  <c r="J311"/>
  <c r="P311" s="1"/>
  <c r="G311"/>
  <c r="F311"/>
  <c r="F310" s="1"/>
  <c r="F309" s="1"/>
  <c r="E311"/>
  <c r="E310" s="1"/>
  <c r="E309" s="1"/>
  <c r="D311"/>
  <c r="D310" s="1"/>
  <c r="D309" s="1"/>
  <c r="F292"/>
  <c r="F266" s="1"/>
  <c r="S291"/>
  <c r="R291"/>
  <c r="Q291"/>
  <c r="J291"/>
  <c r="P291" s="1"/>
  <c r="I291"/>
  <c r="G291"/>
  <c r="F291"/>
  <c r="E291"/>
  <c r="D291"/>
  <c r="S290"/>
  <c r="S107" s="1"/>
  <c r="S214" s="1"/>
  <c r="S213" s="1"/>
  <c r="R290"/>
  <c r="R107" s="1"/>
  <c r="R214" s="1"/>
  <c r="R213" s="1"/>
  <c r="Q290"/>
  <c r="Q107" s="1"/>
  <c r="Q214" s="1"/>
  <c r="Q213" s="1"/>
  <c r="J290"/>
  <c r="P290" s="1"/>
  <c r="I290"/>
  <c r="I107" s="1"/>
  <c r="G290"/>
  <c r="G107" s="1"/>
  <c r="G214" s="1"/>
  <c r="G213" s="1"/>
  <c r="F290"/>
  <c r="F107" s="1"/>
  <c r="F214" s="1"/>
  <c r="F213" s="1"/>
  <c r="E290"/>
  <c r="E107" s="1"/>
  <c r="E106" s="1"/>
  <c r="D290"/>
  <c r="S289"/>
  <c r="R289"/>
  <c r="Q289"/>
  <c r="J289"/>
  <c r="P289" s="1"/>
  <c r="I289"/>
  <c r="G289"/>
  <c r="F289"/>
  <c r="E289"/>
  <c r="D289"/>
  <c r="S287"/>
  <c r="R287"/>
  <c r="G287"/>
  <c r="F287"/>
  <c r="E287"/>
  <c r="D287"/>
  <c r="S286"/>
  <c r="S103" s="1"/>
  <c r="R286"/>
  <c r="Q286"/>
  <c r="Q103" s="1"/>
  <c r="J286"/>
  <c r="P286" s="1"/>
  <c r="I286"/>
  <c r="G286"/>
  <c r="G103" s="1"/>
  <c r="G102" s="1"/>
  <c r="G209" s="1"/>
  <c r="F286"/>
  <c r="F103" s="1"/>
  <c r="F102" s="1"/>
  <c r="F210" s="1"/>
  <c r="E286"/>
  <c r="E103" s="1"/>
  <c r="E102" s="1"/>
  <c r="D286"/>
  <c r="S285"/>
  <c r="R285"/>
  <c r="Q285"/>
  <c r="J285"/>
  <c r="P285" s="1"/>
  <c r="I285"/>
  <c r="G285"/>
  <c r="F285"/>
  <c r="E285"/>
  <c r="D285"/>
  <c r="G276"/>
  <c r="E276"/>
  <c r="E270" s="1"/>
  <c r="E269" s="1"/>
  <c r="F272"/>
  <c r="S270"/>
  <c r="S269" s="1"/>
  <c r="R270"/>
  <c r="R269" s="1"/>
  <c r="Q270"/>
  <c r="Q269" s="1"/>
  <c r="J270"/>
  <c r="P270" s="1"/>
  <c r="I270"/>
  <c r="I269" s="1"/>
  <c r="D270"/>
  <c r="D269" s="1"/>
  <c r="S267"/>
  <c r="R267"/>
  <c r="Q267"/>
  <c r="J267"/>
  <c r="P267" s="1"/>
  <c r="I267"/>
  <c r="G267"/>
  <c r="F267"/>
  <c r="E267"/>
  <c r="D267"/>
  <c r="S266"/>
  <c r="R266"/>
  <c r="Q266"/>
  <c r="J266"/>
  <c r="I266"/>
  <c r="G266"/>
  <c r="E266"/>
  <c r="D266"/>
  <c r="S259"/>
  <c r="R259"/>
  <c r="Q259"/>
  <c r="J259"/>
  <c r="P259" s="1"/>
  <c r="I259"/>
  <c r="G259"/>
  <c r="F259"/>
  <c r="E259"/>
  <c r="D259"/>
  <c r="I258"/>
  <c r="I235" s="1"/>
  <c r="S257"/>
  <c r="R257"/>
  <c r="Q257"/>
  <c r="J257"/>
  <c r="P257" s="1"/>
  <c r="I257"/>
  <c r="F257"/>
  <c r="D257"/>
  <c r="S256"/>
  <c r="R256"/>
  <c r="Q256"/>
  <c r="J256"/>
  <c r="P256" s="1"/>
  <c r="I256"/>
  <c r="G256"/>
  <c r="F256"/>
  <c r="E256"/>
  <c r="D256"/>
  <c r="S255"/>
  <c r="R255"/>
  <c r="Q255"/>
  <c r="J255"/>
  <c r="P255" s="1"/>
  <c r="I255"/>
  <c r="G255"/>
  <c r="F255"/>
  <c r="E255"/>
  <c r="D255"/>
  <c r="S253"/>
  <c r="S230" s="1"/>
  <c r="R253"/>
  <c r="R230" s="1"/>
  <c r="Q253"/>
  <c r="Q230" s="1"/>
  <c r="J253"/>
  <c r="P253" s="1"/>
  <c r="I253"/>
  <c r="I230" s="1"/>
  <c r="G253"/>
  <c r="G230" s="1"/>
  <c r="F253"/>
  <c r="F230" s="1"/>
  <c r="E253"/>
  <c r="E230" s="1"/>
  <c r="D253"/>
  <c r="D230" s="1"/>
  <c r="S251"/>
  <c r="R251"/>
  <c r="Q251"/>
  <c r="J251"/>
  <c r="P251" s="1"/>
  <c r="I251"/>
  <c r="G251"/>
  <c r="E251"/>
  <c r="D251"/>
  <c r="S250"/>
  <c r="R250"/>
  <c r="Q250"/>
  <c r="J250"/>
  <c r="P250" s="1"/>
  <c r="I250"/>
  <c r="G250"/>
  <c r="F250"/>
  <c r="E250"/>
  <c r="D250"/>
  <c r="D242"/>
  <c r="I240"/>
  <c r="E240"/>
  <c r="S229"/>
  <c r="R229"/>
  <c r="Q229"/>
  <c r="J229"/>
  <c r="P229" s="1"/>
  <c r="I229"/>
  <c r="G229"/>
  <c r="E229"/>
  <c r="D214"/>
  <c r="D213" s="1"/>
  <c r="D204"/>
  <c r="S203"/>
  <c r="R203"/>
  <c r="Q203"/>
  <c r="J203"/>
  <c r="P203" s="1"/>
  <c r="I203"/>
  <c r="G203"/>
  <c r="F203"/>
  <c r="E203"/>
  <c r="D203"/>
  <c r="S201"/>
  <c r="R201"/>
  <c r="Q201"/>
  <c r="J201"/>
  <c r="P201" s="1"/>
  <c r="I201"/>
  <c r="G201"/>
  <c r="F201"/>
  <c r="E201"/>
  <c r="D201"/>
  <c r="S198"/>
  <c r="R198"/>
  <c r="Q198"/>
  <c r="J198"/>
  <c r="P198" s="1"/>
  <c r="I198"/>
  <c r="G198"/>
  <c r="F198"/>
  <c r="E198"/>
  <c r="D198"/>
  <c r="S195"/>
  <c r="R195"/>
  <c r="Q195"/>
  <c r="J195"/>
  <c r="P195" s="1"/>
  <c r="I195"/>
  <c r="G195"/>
  <c r="F195"/>
  <c r="E195"/>
  <c r="D195"/>
  <c r="S180"/>
  <c r="R180"/>
  <c r="Q180"/>
  <c r="J180"/>
  <c r="P180" s="1"/>
  <c r="I180"/>
  <c r="G180"/>
  <c r="E180"/>
  <c r="D180"/>
  <c r="F179"/>
  <c r="D179"/>
  <c r="D178"/>
  <c r="S168"/>
  <c r="S189" s="1"/>
  <c r="S188" s="1"/>
  <c r="R168"/>
  <c r="R189" s="1"/>
  <c r="R188" s="1"/>
  <c r="Q168"/>
  <c r="Q189" s="1"/>
  <c r="Q188" s="1"/>
  <c r="I168"/>
  <c r="F168"/>
  <c r="F189" s="1"/>
  <c r="F188" s="1"/>
  <c r="D168"/>
  <c r="D189" s="1"/>
  <c r="D188" s="1"/>
  <c r="S167"/>
  <c r="R167"/>
  <c r="Q167"/>
  <c r="J167"/>
  <c r="P167" s="1"/>
  <c r="I167"/>
  <c r="G167"/>
  <c r="F167"/>
  <c r="E167"/>
  <c r="D167"/>
  <c r="S165"/>
  <c r="S163" s="1"/>
  <c r="R165"/>
  <c r="R163" s="1"/>
  <c r="Q165"/>
  <c r="Q163" s="1"/>
  <c r="J165"/>
  <c r="P165" s="1"/>
  <c r="I165"/>
  <c r="I163" s="1"/>
  <c r="G165"/>
  <c r="G163" s="1"/>
  <c r="F165"/>
  <c r="F163" s="1"/>
  <c r="E165"/>
  <c r="E163" s="1"/>
  <c r="D165"/>
  <c r="D163" s="1"/>
  <c r="S162"/>
  <c r="S161" s="1"/>
  <c r="R162"/>
  <c r="R161" s="1"/>
  <c r="Q162"/>
  <c r="Q161" s="1"/>
  <c r="J162"/>
  <c r="P162" s="1"/>
  <c r="I162"/>
  <c r="I161" s="1"/>
  <c r="G162"/>
  <c r="G161" s="1"/>
  <c r="F162"/>
  <c r="F161" s="1"/>
  <c r="E162"/>
  <c r="E161" s="1"/>
  <c r="D162"/>
  <c r="D161" s="1"/>
  <c r="S160"/>
  <c r="R160"/>
  <c r="Q160"/>
  <c r="J160"/>
  <c r="P160" s="1"/>
  <c r="I160"/>
  <c r="G160"/>
  <c r="F160"/>
  <c r="E160"/>
  <c r="D160"/>
  <c r="S158"/>
  <c r="R158"/>
  <c r="Q158"/>
  <c r="J158"/>
  <c r="P158" s="1"/>
  <c r="I158"/>
  <c r="G158"/>
  <c r="F158"/>
  <c r="E158"/>
  <c r="D158"/>
  <c r="S157"/>
  <c r="R157"/>
  <c r="Q157"/>
  <c r="J157"/>
  <c r="P157" s="1"/>
  <c r="I157"/>
  <c r="G157"/>
  <c r="F157"/>
  <c r="E157"/>
  <c r="D157"/>
  <c r="S155"/>
  <c r="S154" s="1"/>
  <c r="R155"/>
  <c r="R154" s="1"/>
  <c r="Q155"/>
  <c r="Q154" s="1"/>
  <c r="J155"/>
  <c r="P155" s="1"/>
  <c r="I155"/>
  <c r="I154" s="1"/>
  <c r="G155"/>
  <c r="G154" s="1"/>
  <c r="F155"/>
  <c r="F154" s="1"/>
  <c r="E155"/>
  <c r="E154" s="1"/>
  <c r="D155"/>
  <c r="D154" s="1"/>
  <c r="S152"/>
  <c r="R152"/>
  <c r="Q152"/>
  <c r="J152"/>
  <c r="P152" s="1"/>
  <c r="I152"/>
  <c r="G152"/>
  <c r="F152"/>
  <c r="E152"/>
  <c r="D152"/>
  <c r="S148"/>
  <c r="R148"/>
  <c r="Q148"/>
  <c r="J148"/>
  <c r="P148" s="1"/>
  <c r="I148"/>
  <c r="G148"/>
  <c r="F148"/>
  <c r="E148"/>
  <c r="D148"/>
  <c r="S147"/>
  <c r="R147"/>
  <c r="Q147"/>
  <c r="J147"/>
  <c r="P147" s="1"/>
  <c r="I147"/>
  <c r="G147"/>
  <c r="F147"/>
  <c r="E147"/>
  <c r="D147"/>
  <c r="S146"/>
  <c r="R146"/>
  <c r="Q146"/>
  <c r="J146"/>
  <c r="P146" s="1"/>
  <c r="I146"/>
  <c r="G146"/>
  <c r="F146"/>
  <c r="E146"/>
  <c r="D146"/>
  <c r="S143"/>
  <c r="R143"/>
  <c r="Q143"/>
  <c r="J143"/>
  <c r="P143" s="1"/>
  <c r="I143"/>
  <c r="F143"/>
  <c r="D143"/>
  <c r="S142"/>
  <c r="R142"/>
  <c r="Q142"/>
  <c r="J142"/>
  <c r="P142" s="1"/>
  <c r="I142"/>
  <c r="G142"/>
  <c r="F142"/>
  <c r="E142"/>
  <c r="D142"/>
  <c r="S140"/>
  <c r="R140"/>
  <c r="Q140"/>
  <c r="J140"/>
  <c r="P140" s="1"/>
  <c r="I140"/>
  <c r="G140"/>
  <c r="F140"/>
  <c r="E140"/>
  <c r="D140"/>
  <c r="S138"/>
  <c r="R138"/>
  <c r="Q138"/>
  <c r="J138"/>
  <c r="P138" s="1"/>
  <c r="I138"/>
  <c r="G138"/>
  <c r="F138"/>
  <c r="E138"/>
  <c r="D138"/>
  <c r="D136"/>
  <c r="S133"/>
  <c r="R133"/>
  <c r="Q133"/>
  <c r="J133"/>
  <c r="P133" s="1"/>
  <c r="I133"/>
  <c r="G133"/>
  <c r="F133"/>
  <c r="E133"/>
  <c r="D133"/>
  <c r="S132"/>
  <c r="R132"/>
  <c r="Q132"/>
  <c r="J132"/>
  <c r="P132" s="1"/>
  <c r="I132"/>
  <c r="G132"/>
  <c r="F132"/>
  <c r="E132"/>
  <c r="D132"/>
  <c r="S131"/>
  <c r="R131"/>
  <c r="Q131"/>
  <c r="J131"/>
  <c r="P131" s="1"/>
  <c r="I131"/>
  <c r="G131"/>
  <c r="F131"/>
  <c r="E131"/>
  <c r="D131"/>
  <c r="S127"/>
  <c r="R127"/>
  <c r="Q127"/>
  <c r="J127"/>
  <c r="P127" s="1"/>
  <c r="I127"/>
  <c r="G127"/>
  <c r="F127"/>
  <c r="E127"/>
  <c r="D127"/>
  <c r="S126"/>
  <c r="R126"/>
  <c r="Q126"/>
  <c r="J126"/>
  <c r="P126" s="1"/>
  <c r="I126"/>
  <c r="G126"/>
  <c r="F126"/>
  <c r="E126"/>
  <c r="D126"/>
  <c r="F118"/>
  <c r="D118"/>
  <c r="F111"/>
  <c r="F218" s="1"/>
  <c r="D111"/>
  <c r="D106"/>
  <c r="D102"/>
  <c r="D209" s="1"/>
  <c r="S99"/>
  <c r="R99"/>
  <c r="Q99"/>
  <c r="J99"/>
  <c r="P99" s="1"/>
  <c r="I99"/>
  <c r="G99"/>
  <c r="F99"/>
  <c r="E99"/>
  <c r="D99"/>
  <c r="F89"/>
  <c r="F180" s="1"/>
  <c r="R85"/>
  <c r="R178" s="1"/>
  <c r="I85"/>
  <c r="I178" s="1"/>
  <c r="S78"/>
  <c r="R78"/>
  <c r="Q78"/>
  <c r="J78"/>
  <c r="P78" s="1"/>
  <c r="I78"/>
  <c r="G78"/>
  <c r="F78"/>
  <c r="E78"/>
  <c r="D78"/>
  <c r="D76" s="1"/>
  <c r="D75" s="1"/>
  <c r="F68"/>
  <c r="D68"/>
  <c r="S66"/>
  <c r="R66"/>
  <c r="Q66"/>
  <c r="I66"/>
  <c r="F66"/>
  <c r="D66"/>
  <c r="G65"/>
  <c r="G168" s="1"/>
  <c r="E65"/>
  <c r="E168" s="1"/>
  <c r="S63"/>
  <c r="R63"/>
  <c r="Q63"/>
  <c r="J63"/>
  <c r="P63" s="1"/>
  <c r="I63"/>
  <c r="G63"/>
  <c r="F63"/>
  <c r="E63"/>
  <c r="D63"/>
  <c r="S59"/>
  <c r="R59"/>
  <c r="Q59"/>
  <c r="J59"/>
  <c r="P59" s="1"/>
  <c r="I59"/>
  <c r="G59"/>
  <c r="F59"/>
  <c r="E59"/>
  <c r="D59"/>
  <c r="S57"/>
  <c r="R57"/>
  <c r="Q57"/>
  <c r="J57"/>
  <c r="P57" s="1"/>
  <c r="I57"/>
  <c r="G57"/>
  <c r="F57"/>
  <c r="E57"/>
  <c r="D57"/>
  <c r="S52"/>
  <c r="R52"/>
  <c r="Q52"/>
  <c r="J52"/>
  <c r="P52" s="1"/>
  <c r="I52"/>
  <c r="G52"/>
  <c r="F52"/>
  <c r="E52"/>
  <c r="D52"/>
  <c r="S50"/>
  <c r="S45" s="1"/>
  <c r="R50"/>
  <c r="R45" s="1"/>
  <c r="R149" s="1"/>
  <c r="Q50"/>
  <c r="Q45" s="1"/>
  <c r="J50"/>
  <c r="P50" s="1"/>
  <c r="I50"/>
  <c r="I45" s="1"/>
  <c r="I149" s="1"/>
  <c r="G50"/>
  <c r="G45" s="1"/>
  <c r="G149" s="1"/>
  <c r="F50"/>
  <c r="F45" s="1"/>
  <c r="F149" s="1"/>
  <c r="E50"/>
  <c r="E45" s="1"/>
  <c r="E149" s="1"/>
  <c r="D50"/>
  <c r="D45" s="1"/>
  <c r="D149" s="1"/>
  <c r="S41"/>
  <c r="R41"/>
  <c r="Q41"/>
  <c r="I41"/>
  <c r="G41"/>
  <c r="F41"/>
  <c r="E41"/>
  <c r="D41"/>
  <c r="G38"/>
  <c r="G143" s="1"/>
  <c r="E38"/>
  <c r="E143" s="1"/>
  <c r="S32"/>
  <c r="S137" s="1"/>
  <c r="R32"/>
  <c r="R137" s="1"/>
  <c r="Q32"/>
  <c r="Q137" s="1"/>
  <c r="J32"/>
  <c r="P32" s="1"/>
  <c r="I32"/>
  <c r="I137" s="1"/>
  <c r="G32"/>
  <c r="G137" s="1"/>
  <c r="F32"/>
  <c r="F137" s="1"/>
  <c r="E32"/>
  <c r="E137" s="1"/>
  <c r="D32"/>
  <c r="D137" s="1"/>
  <c r="Q31"/>
  <c r="E31"/>
  <c r="D31"/>
  <c r="R30"/>
  <c r="E30"/>
  <c r="I24"/>
  <c r="I134" s="1"/>
  <c r="F24"/>
  <c r="F134" s="1"/>
  <c r="G18"/>
  <c r="G15" s="1"/>
  <c r="E18"/>
  <c r="E15" s="1"/>
  <c r="S15"/>
  <c r="R15"/>
  <c r="Q15"/>
  <c r="J15"/>
  <c r="P15" s="1"/>
  <c r="I15"/>
  <c r="F15"/>
  <c r="D15"/>
  <c r="S13"/>
  <c r="S124" s="1"/>
  <c r="S123" s="1"/>
  <c r="R13"/>
  <c r="R124" s="1"/>
  <c r="R123" s="1"/>
  <c r="Q13"/>
  <c r="Q124" s="1"/>
  <c r="Q123" s="1"/>
  <c r="J13"/>
  <c r="P13" s="1"/>
  <c r="I13"/>
  <c r="I124" s="1"/>
  <c r="I123" s="1"/>
  <c r="G13"/>
  <c r="G124" s="1"/>
  <c r="G123" s="1"/>
  <c r="F13"/>
  <c r="F124" s="1"/>
  <c r="F123" s="1"/>
  <c r="E13"/>
  <c r="E124" s="1"/>
  <c r="E123" s="1"/>
  <c r="D13"/>
  <c r="D124" s="1"/>
  <c r="D123" s="1"/>
  <c r="F31" l="1"/>
  <c r="G1027"/>
  <c r="P266"/>
  <c r="J310"/>
  <c r="P310" s="1"/>
  <c r="J448"/>
  <c r="P448" s="1"/>
  <c r="J692"/>
  <c r="P692" s="1"/>
  <c r="J864"/>
  <c r="P864" s="1"/>
  <c r="P865"/>
  <c r="J880"/>
  <c r="P880" s="1"/>
  <c r="P881"/>
  <c r="J901"/>
  <c r="P901" s="1"/>
  <c r="P902"/>
  <c r="J917"/>
  <c r="P918"/>
  <c r="J1141"/>
  <c r="P1142"/>
  <c r="J230"/>
  <c r="P230" s="1"/>
  <c r="J358"/>
  <c r="P358" s="1"/>
  <c r="J376"/>
  <c r="P376" s="1"/>
  <c r="J482"/>
  <c r="P482" s="1"/>
  <c r="J515"/>
  <c r="P515" s="1"/>
  <c r="J613"/>
  <c r="P613" s="1"/>
  <c r="J710"/>
  <c r="P710" s="1"/>
  <c r="J800"/>
  <c r="P800" s="1"/>
  <c r="J821"/>
  <c r="P821" s="1"/>
  <c r="J996"/>
  <c r="P1008"/>
  <c r="J154"/>
  <c r="P154" s="1"/>
  <c r="J161"/>
  <c r="P161" s="1"/>
  <c r="J559"/>
  <c r="P559" s="1"/>
  <c r="J618"/>
  <c r="P618" s="1"/>
  <c r="J630"/>
  <c r="P630" s="1"/>
  <c r="J269"/>
  <c r="P269" s="1"/>
  <c r="J403"/>
  <c r="P403" s="1"/>
  <c r="J675"/>
  <c r="P675" s="1"/>
  <c r="J1070"/>
  <c r="J242" s="1"/>
  <c r="P242" s="1"/>
  <c r="P1082"/>
  <c r="R102"/>
  <c r="R103"/>
  <c r="J316"/>
  <c r="P316" s="1"/>
  <c r="J322"/>
  <c r="P322" s="1"/>
  <c r="J364"/>
  <c r="P364" s="1"/>
  <c r="J382"/>
  <c r="P382" s="1"/>
  <c r="J486"/>
  <c r="P486" s="1"/>
  <c r="J565"/>
  <c r="P565" s="1"/>
  <c r="J649"/>
  <c r="P649" s="1"/>
  <c r="J737"/>
  <c r="P737" s="1"/>
  <c r="J805"/>
  <c r="P805" s="1"/>
  <c r="J827"/>
  <c r="P827" s="1"/>
  <c r="J942"/>
  <c r="P943"/>
  <c r="J961"/>
  <c r="P962"/>
  <c r="J999"/>
  <c r="P999" s="1"/>
  <c r="P1011"/>
  <c r="F1027"/>
  <c r="J432"/>
  <c r="P432" s="1"/>
  <c r="J589"/>
  <c r="P589" s="1"/>
  <c r="J621"/>
  <c r="P621" s="1"/>
  <c r="J633"/>
  <c r="P633" s="1"/>
  <c r="J970"/>
  <c r="P971"/>
  <c r="J103"/>
  <c r="P103" s="1"/>
  <c r="J107"/>
  <c r="P107" s="1"/>
  <c r="J329"/>
  <c r="P329" s="1"/>
  <c r="J389"/>
  <c r="P389" s="1"/>
  <c r="J417"/>
  <c r="P417" s="1"/>
  <c r="J682"/>
  <c r="P682" s="1"/>
  <c r="J701"/>
  <c r="P701" s="1"/>
  <c r="J718"/>
  <c r="P718" s="1"/>
  <c r="J766"/>
  <c r="P766" s="1"/>
  <c r="J834"/>
  <c r="P834" s="1"/>
  <c r="J856"/>
  <c r="P856" s="1"/>
  <c r="P857"/>
  <c r="J872"/>
  <c r="P872" s="1"/>
  <c r="P873"/>
  <c r="J888"/>
  <c r="P888" s="1"/>
  <c r="P889"/>
  <c r="J909"/>
  <c r="P909" s="1"/>
  <c r="P910"/>
  <c r="J1083"/>
  <c r="P1083" s="1"/>
  <c r="P1084"/>
  <c r="J240"/>
  <c r="P240" s="1"/>
  <c r="J499"/>
  <c r="P499" s="1"/>
  <c r="J526"/>
  <c r="P526" s="1"/>
  <c r="J548"/>
  <c r="P548" s="1"/>
  <c r="J595"/>
  <c r="P595" s="1"/>
  <c r="J752"/>
  <c r="P752" s="1"/>
  <c r="P930"/>
  <c r="J993"/>
  <c r="P993" s="1"/>
  <c r="P1006"/>
  <c r="J624"/>
  <c r="P624" s="1"/>
  <c r="J977"/>
  <c r="P978"/>
  <c r="J124"/>
  <c r="P124" s="1"/>
  <c r="J370"/>
  <c r="P370" s="1"/>
  <c r="J254"/>
  <c r="P254" s="1"/>
  <c r="J601"/>
  <c r="P601" s="1"/>
  <c r="J661"/>
  <c r="P661" s="1"/>
  <c r="J724"/>
  <c r="P724" s="1"/>
  <c r="J784"/>
  <c r="P784" s="1"/>
  <c r="J1026"/>
  <c r="P1026" s="1"/>
  <c r="P1028"/>
  <c r="J1087"/>
  <c r="P1087" s="1"/>
  <c r="P1088"/>
  <c r="J1109"/>
  <c r="P1109" s="1"/>
  <c r="P1120"/>
  <c r="J163"/>
  <c r="P163" s="1"/>
  <c r="J45"/>
  <c r="P45" s="1"/>
  <c r="J334"/>
  <c r="P334" s="1"/>
  <c r="J732"/>
  <c r="P732" s="1"/>
  <c r="J795"/>
  <c r="P795" s="1"/>
  <c r="J816"/>
  <c r="P816" s="1"/>
  <c r="J933"/>
  <c r="P933" s="1"/>
  <c r="P934"/>
  <c r="J951"/>
  <c r="P952"/>
  <c r="J988"/>
  <c r="P988" s="1"/>
  <c r="P1000"/>
  <c r="J995"/>
  <c r="P995" s="1"/>
  <c r="P1007"/>
  <c r="S536"/>
  <c r="J441"/>
  <c r="P441" s="1"/>
  <c r="J577"/>
  <c r="P577" s="1"/>
  <c r="J607"/>
  <c r="P607" s="1"/>
  <c r="J627"/>
  <c r="P627" s="1"/>
  <c r="J1043"/>
  <c r="P1043" s="1"/>
  <c r="P1059"/>
  <c r="P1070"/>
  <c r="J810"/>
  <c r="P810" s="1"/>
  <c r="J137"/>
  <c r="P137" s="1"/>
  <c r="J1127"/>
  <c r="J1116" s="1"/>
  <c r="P1128"/>
  <c r="J239"/>
  <c r="P239" s="1"/>
  <c r="J1151"/>
  <c r="P1152"/>
  <c r="J755"/>
  <c r="P755" s="1"/>
  <c r="P846"/>
  <c r="J744"/>
  <c r="P744" s="1"/>
  <c r="P842"/>
  <c r="J745"/>
  <c r="P745" s="1"/>
  <c r="P843"/>
  <c r="J481"/>
  <c r="P481" s="1"/>
  <c r="J537"/>
  <c r="P537" s="1"/>
  <c r="J478"/>
  <c r="P478" s="1"/>
  <c r="J479"/>
  <c r="P479" s="1"/>
  <c r="G30"/>
  <c r="D252"/>
  <c r="D228" s="1"/>
  <c r="R989"/>
  <c r="R646"/>
  <c r="R472" s="1"/>
  <c r="R243" s="1"/>
  <c r="R31"/>
  <c r="E1078"/>
  <c r="F940"/>
  <c r="Q1010"/>
  <c r="I145"/>
  <c r="Q258"/>
  <c r="Q235" s="1"/>
  <c r="E750"/>
  <c r="F564"/>
  <c r="D989"/>
  <c r="R465"/>
  <c r="R234" s="1"/>
  <c r="G940"/>
  <c r="F900"/>
  <c r="Q254"/>
  <c r="F1111"/>
  <c r="G547"/>
  <c r="I30"/>
  <c r="F166"/>
  <c r="D1083"/>
  <c r="G252"/>
  <c r="G228" s="1"/>
  <c r="Q97"/>
  <c r="Q204" s="1"/>
  <c r="D930"/>
  <c r="D752" s="1"/>
  <c r="D470" s="1"/>
  <c r="D241" s="1"/>
  <c r="E536"/>
  <c r="G750"/>
  <c r="J646"/>
  <c r="P646" s="1"/>
  <c r="E908"/>
  <c r="I465"/>
  <c r="I234" s="1"/>
  <c r="S1027"/>
  <c r="S1003" s="1"/>
  <c r="S991" s="1"/>
  <c r="F614"/>
  <c r="F613" s="1"/>
  <c r="F612" s="1"/>
  <c r="F611" s="1"/>
  <c r="E26"/>
  <c r="E136" s="1"/>
  <c r="E130" s="1"/>
  <c r="E129" s="1"/>
  <c r="E465"/>
  <c r="G564"/>
  <c r="E680"/>
  <c r="D949"/>
  <c r="R498"/>
  <c r="J750"/>
  <c r="P750" s="1"/>
  <c r="D968"/>
  <c r="E232"/>
  <c r="S30"/>
  <c r="I31"/>
  <c r="R470"/>
  <c r="R238" s="1"/>
  <c r="S1109"/>
  <c r="Q1119"/>
  <c r="Q1108" s="1"/>
  <c r="F26"/>
  <c r="F136" s="1"/>
  <c r="F130" s="1"/>
  <c r="F129" s="1"/>
  <c r="D564"/>
  <c r="G1009"/>
  <c r="I125"/>
  <c r="Q675"/>
  <c r="Q674" s="1"/>
  <c r="R174"/>
  <c r="R173" s="1"/>
  <c r="E252"/>
  <c r="E228" s="1"/>
  <c r="E644"/>
  <c r="E470" s="1"/>
  <c r="G697"/>
  <c r="R1083"/>
  <c r="R564"/>
  <c r="G675"/>
  <c r="G674" s="1"/>
  <c r="I699"/>
  <c r="I174"/>
  <c r="I173" s="1"/>
  <c r="E675"/>
  <c r="E674" s="1"/>
  <c r="S989"/>
  <c r="Q1027"/>
  <c r="Q1003" s="1"/>
  <c r="Q991" s="1"/>
  <c r="G1078"/>
  <c r="S470"/>
  <c r="S241" s="1"/>
  <c r="I1081"/>
  <c r="H210"/>
  <c r="H209"/>
  <c r="F1145"/>
  <c r="F1144" s="1"/>
  <c r="F1073" s="1"/>
  <c r="F1115"/>
  <c r="S252"/>
  <c r="S228" s="1"/>
  <c r="S254"/>
  <c r="I97"/>
  <c r="I204" s="1"/>
  <c r="I193" s="1"/>
  <c r="Q428"/>
  <c r="F590"/>
  <c r="F589" s="1"/>
  <c r="F675"/>
  <c r="F674" s="1"/>
  <c r="G989"/>
  <c r="R1027"/>
  <c r="R1003" s="1"/>
  <c r="R991" s="1"/>
  <c r="G1065"/>
  <c r="S1083"/>
  <c r="G97"/>
  <c r="G204" s="1"/>
  <c r="G193" s="1"/>
  <c r="I863"/>
  <c r="H101"/>
  <c r="H208" s="1"/>
  <c r="S102"/>
  <c r="F97"/>
  <c r="F76" s="1"/>
  <c r="F75" s="1"/>
  <c r="D461"/>
  <c r="D465"/>
  <c r="D234" s="1"/>
  <c r="S564"/>
  <c r="D855"/>
  <c r="F871"/>
  <c r="E989"/>
  <c r="J1027"/>
  <c r="I1111"/>
  <c r="I1065" s="1"/>
  <c r="G428"/>
  <c r="S849"/>
  <c r="S848" s="1"/>
  <c r="S840" s="1"/>
  <c r="I1027"/>
  <c r="I1003" s="1"/>
  <c r="I991" s="1"/>
  <c r="Q102"/>
  <c r="E822"/>
  <c r="I103"/>
  <c r="I102" s="1"/>
  <c r="D30"/>
  <c r="S31"/>
  <c r="F232"/>
  <c r="F258"/>
  <c r="F235" s="1"/>
  <c r="Q370"/>
  <c r="Q369" s="1"/>
  <c r="Q465"/>
  <c r="Q234" s="1"/>
  <c r="S675"/>
  <c r="S674" s="1"/>
  <c r="S174"/>
  <c r="S173" s="1"/>
  <c r="E1043"/>
  <c r="D1043"/>
  <c r="F392"/>
  <c r="F387" s="1"/>
  <c r="D525"/>
  <c r="E564"/>
  <c r="G699"/>
  <c r="R949"/>
  <c r="G31"/>
  <c r="F125"/>
  <c r="S428"/>
  <c r="S460"/>
  <c r="S226" s="1"/>
  <c r="G536"/>
  <c r="Q659"/>
  <c r="I675"/>
  <c r="I674" s="1"/>
  <c r="G828"/>
  <c r="I750"/>
  <c r="D916"/>
  <c r="I855"/>
  <c r="D845"/>
  <c r="D474"/>
  <c r="F840"/>
  <c r="G847"/>
  <c r="G840"/>
  <c r="D166"/>
  <c r="J40"/>
  <c r="P40" s="1"/>
  <c r="J879"/>
  <c r="P879" s="1"/>
  <c r="J863"/>
  <c r="P863" s="1"/>
  <c r="J495"/>
  <c r="P495" s="1"/>
  <c r="J514"/>
  <c r="P514" s="1"/>
  <c r="J232"/>
  <c r="P232" s="1"/>
  <c r="G1115"/>
  <c r="J30"/>
  <c r="P30" s="1"/>
  <c r="E1027"/>
  <c r="E1003" s="1"/>
  <c r="E991" s="1"/>
  <c r="R252"/>
  <c r="R228" s="1"/>
  <c r="I417"/>
  <c r="I415" s="1"/>
  <c r="G1003"/>
  <c r="G991" s="1"/>
  <c r="D246"/>
  <c r="S243"/>
  <c r="Q690"/>
  <c r="I536"/>
  <c r="I879"/>
  <c r="F602"/>
  <c r="F601" s="1"/>
  <c r="F600" s="1"/>
  <c r="F599" s="1"/>
  <c r="D1065"/>
  <c r="Q392"/>
  <c r="Q387" s="1"/>
  <c r="I232"/>
  <c r="D460"/>
  <c r="D226" s="1"/>
  <c r="F514"/>
  <c r="S908"/>
  <c r="F949"/>
  <c r="E690"/>
  <c r="I828"/>
  <c r="S1065"/>
  <c r="H76"/>
  <c r="H75" s="1"/>
  <c r="D193"/>
  <c r="R495"/>
  <c r="R484" s="1"/>
  <c r="Q750"/>
  <c r="Q466" s="1"/>
  <c r="Q236" s="1"/>
  <c r="E863"/>
  <c r="D999"/>
  <c r="G1073"/>
  <c r="I525"/>
  <c r="G908"/>
  <c r="Q1043"/>
  <c r="Q987" s="1"/>
  <c r="D125"/>
  <c r="F547"/>
  <c r="Q680"/>
  <c r="R690"/>
  <c r="F821"/>
  <c r="S750"/>
  <c r="S466" s="1"/>
  <c r="S236" s="1"/>
  <c r="Q1009"/>
  <c r="Q997" s="1"/>
  <c r="R987"/>
  <c r="G125"/>
  <c r="J97"/>
  <c r="P97" s="1"/>
  <c r="S447"/>
  <c r="S446" s="1"/>
  <c r="S843"/>
  <c r="S745" s="1"/>
  <c r="S461" s="1"/>
  <c r="Q863"/>
  <c r="I989"/>
  <c r="D1115"/>
  <c r="Q940"/>
  <c r="D254"/>
  <c r="G460"/>
  <c r="G226" s="1"/>
  <c r="G498"/>
  <c r="I644"/>
  <c r="I470" s="1"/>
  <c r="I238" s="1"/>
  <c r="F699"/>
  <c r="S232"/>
  <c r="G863"/>
  <c r="E871"/>
  <c r="S879"/>
  <c r="D1078"/>
  <c r="D1063" s="1"/>
  <c r="I1087"/>
  <c r="I1086" s="1"/>
  <c r="E1115"/>
  <c r="F156"/>
  <c r="F288"/>
  <c r="D440"/>
  <c r="Q447"/>
  <c r="Q446" s="1"/>
  <c r="I659"/>
  <c r="D827"/>
  <c r="F750"/>
  <c r="F466" s="1"/>
  <c r="F236" s="1"/>
  <c r="R879"/>
  <c r="D908"/>
  <c r="F680"/>
  <c r="G887"/>
  <c r="S1115"/>
  <c r="H387"/>
  <c r="G26"/>
  <c r="G136" s="1"/>
  <c r="G130" s="1"/>
  <c r="G129" s="1"/>
  <c r="G156"/>
  <c r="S392"/>
  <c r="F447"/>
  <c r="F446" s="1"/>
  <c r="F461"/>
  <c r="D514"/>
  <c r="J900"/>
  <c r="P900" s="1"/>
  <c r="F930"/>
  <c r="F752" s="1"/>
  <c r="F470" s="1"/>
  <c r="F241" s="1"/>
  <c r="I243"/>
  <c r="Q1065"/>
  <c r="R606"/>
  <c r="R605" s="1"/>
  <c r="I394"/>
  <c r="I393" s="1"/>
  <c r="I392" s="1"/>
  <c r="R392"/>
  <c r="R387" s="1"/>
  <c r="E447"/>
  <c r="E446" s="1"/>
  <c r="E461"/>
  <c r="S699"/>
  <c r="F879"/>
  <c r="I900"/>
  <c r="D931"/>
  <c r="G606"/>
  <c r="G605" s="1"/>
  <c r="Q145"/>
  <c r="D887"/>
  <c r="I908"/>
  <c r="D1119"/>
  <c r="D1118" s="1"/>
  <c r="Q606"/>
  <c r="Q605" s="1"/>
  <c r="E699"/>
  <c r="F845"/>
  <c r="S97"/>
  <c r="E284"/>
  <c r="R547"/>
  <c r="F908"/>
  <c r="R750"/>
  <c r="R466" s="1"/>
  <c r="R236" s="1"/>
  <c r="E949"/>
  <c r="D145"/>
  <c r="J156"/>
  <c r="P156" s="1"/>
  <c r="R145"/>
  <c r="R288"/>
  <c r="R575"/>
  <c r="J470"/>
  <c r="P470" s="1"/>
  <c r="F748"/>
  <c r="R929"/>
  <c r="E940"/>
  <c r="I929"/>
  <c r="H1042"/>
  <c r="H986" s="1"/>
  <c r="R1086"/>
  <c r="R1077"/>
  <c r="R1062" s="1"/>
  <c r="D402"/>
  <c r="D401" s="1"/>
  <c r="D258"/>
  <c r="D235" s="1"/>
  <c r="S402"/>
  <c r="S401" s="1"/>
  <c r="S258"/>
  <c r="S235" s="1"/>
  <c r="I1109"/>
  <c r="I1063" s="1"/>
  <c r="I1119"/>
  <c r="I1108" s="1"/>
  <c r="Q174"/>
  <c r="Q173" s="1"/>
  <c r="I26"/>
  <c r="I20" s="1"/>
  <c r="I19" s="1"/>
  <c r="S156"/>
  <c r="Q232"/>
  <c r="I424"/>
  <c r="F424"/>
  <c r="Q440"/>
  <c r="E460"/>
  <c r="E226" s="1"/>
  <c r="G465"/>
  <c r="F474"/>
  <c r="R514"/>
  <c r="E466"/>
  <c r="E236" s="1"/>
  <c r="I690"/>
  <c r="E828"/>
  <c r="D841"/>
  <c r="D750"/>
  <c r="D466" s="1"/>
  <c r="D236" s="1"/>
  <c r="E879"/>
  <c r="E927"/>
  <c r="E746" s="1"/>
  <c r="Q989"/>
  <c r="D1077"/>
  <c r="S1078"/>
  <c r="Q1087"/>
  <c r="D1116"/>
  <c r="D1074" s="1"/>
  <c r="D156"/>
  <c r="I156"/>
  <c r="J252"/>
  <c r="P252" s="1"/>
  <c r="I288"/>
  <c r="D428"/>
  <c r="E440"/>
  <c r="E474"/>
  <c r="S495"/>
  <c r="S484" s="1"/>
  <c r="S748"/>
  <c r="S464" s="1"/>
  <c r="S233" s="1"/>
  <c r="S855"/>
  <c r="G927"/>
  <c r="G746" s="1"/>
  <c r="F999"/>
  <c r="R1078"/>
  <c r="R1063" s="1"/>
  <c r="F1065"/>
  <c r="H997"/>
  <c r="H985" s="1"/>
  <c r="G600"/>
  <c r="G599" s="1"/>
  <c r="S125"/>
  <c r="E125"/>
  <c r="G145"/>
  <c r="Q156"/>
  <c r="G288"/>
  <c r="S284"/>
  <c r="S283" s="1"/>
  <c r="S265" s="1"/>
  <c r="S260" s="1"/>
  <c r="E394"/>
  <c r="E393" s="1"/>
  <c r="E392" s="1"/>
  <c r="D646"/>
  <c r="D472" s="1"/>
  <c r="D243" s="1"/>
  <c r="G821"/>
  <c r="G772" s="1"/>
  <c r="Q887"/>
  <c r="S845"/>
  <c r="D900"/>
  <c r="E929"/>
  <c r="J929"/>
  <c r="P929" s="1"/>
  <c r="F929"/>
  <c r="E999"/>
  <c r="E1065"/>
  <c r="F1063"/>
  <c r="R1065"/>
  <c r="E1145"/>
  <c r="E1144" s="1"/>
  <c r="E1073" s="1"/>
  <c r="H1076"/>
  <c r="H1077"/>
  <c r="H1062" s="1"/>
  <c r="E257"/>
  <c r="I466"/>
  <c r="I236" s="1"/>
  <c r="D130"/>
  <c r="D129" s="1"/>
  <c r="Q26"/>
  <c r="Q136" s="1"/>
  <c r="Q130" s="1"/>
  <c r="Q129" s="1"/>
  <c r="Q708"/>
  <c r="R1058"/>
  <c r="R1057" s="1"/>
  <c r="R1041" s="1"/>
  <c r="F254"/>
  <c r="D370"/>
  <c r="D369" s="1"/>
  <c r="Q498"/>
  <c r="S525"/>
  <c r="Q495"/>
  <c r="Q484" s="1"/>
  <c r="Q575"/>
  <c r="F596"/>
  <c r="F595" s="1"/>
  <c r="F594" s="1"/>
  <c r="F593" s="1"/>
  <c r="E243"/>
  <c r="Q845"/>
  <c r="S871"/>
  <c r="R900"/>
  <c r="Q243"/>
  <c r="R1010"/>
  <c r="R1009" s="1"/>
  <c r="R997" s="1"/>
  <c r="G1058"/>
  <c r="G1057" s="1"/>
  <c r="G1041" s="1"/>
  <c r="F1083"/>
  <c r="E145"/>
  <c r="E97"/>
  <c r="E204" s="1"/>
  <c r="E193" s="1"/>
  <c r="J447"/>
  <c r="P447" s="1"/>
  <c r="S474"/>
  <c r="E514"/>
  <c r="R525"/>
  <c r="D547"/>
  <c r="D690"/>
  <c r="R699"/>
  <c r="S863"/>
  <c r="F887"/>
  <c r="Q900"/>
  <c r="D927"/>
  <c r="D746" s="1"/>
  <c r="D1076"/>
  <c r="R106"/>
  <c r="R101" s="1"/>
  <c r="R208" s="1"/>
  <c r="E156"/>
  <c r="D284"/>
  <c r="D283" s="1"/>
  <c r="D265" s="1"/>
  <c r="D260" s="1"/>
  <c r="D392"/>
  <c r="S431"/>
  <c r="S430" s="1"/>
  <c r="I447"/>
  <c r="I446" s="1"/>
  <c r="Q460"/>
  <c r="Q226" s="1"/>
  <c r="D680"/>
  <c r="E708"/>
  <c r="F465"/>
  <c r="F234" s="1"/>
  <c r="F855"/>
  <c r="R863"/>
  <c r="Q879"/>
  <c r="E887"/>
  <c r="Q908"/>
  <c r="I949"/>
  <c r="F1119"/>
  <c r="F1108" s="1"/>
  <c r="D232"/>
  <c r="Q424"/>
  <c r="G447"/>
  <c r="G446" s="1"/>
  <c r="Q474"/>
  <c r="G495"/>
  <c r="G484" s="1"/>
  <c r="Q600"/>
  <c r="Q599" s="1"/>
  <c r="G431"/>
  <c r="F989"/>
  <c r="Q1063"/>
  <c r="S145"/>
  <c r="Q166"/>
  <c r="R232"/>
  <c r="F460"/>
  <c r="F226" s="1"/>
  <c r="G474"/>
  <c r="F828"/>
  <c r="J845"/>
  <c r="P845" s="1"/>
  <c r="I845"/>
  <c r="F1003"/>
  <c r="F991" s="1"/>
  <c r="I1009"/>
  <c r="I997" s="1"/>
  <c r="I998"/>
  <c r="F1009"/>
  <c r="F997" s="1"/>
  <c r="F998"/>
  <c r="E1057"/>
  <c r="E1041" s="1"/>
  <c r="E1042"/>
  <c r="D606"/>
  <c r="D605" s="1"/>
  <c r="D585"/>
  <c r="D1042"/>
  <c r="D986" s="1"/>
  <c r="D1057"/>
  <c r="D1041" s="1"/>
  <c r="S465"/>
  <c r="S234" s="1"/>
  <c r="Q149"/>
  <c r="Q40"/>
  <c r="Q415"/>
  <c r="Q416"/>
  <c r="Q248" s="1"/>
  <c r="Q249"/>
  <c r="G617"/>
  <c r="R926"/>
  <c r="R932"/>
  <c r="R931" s="1"/>
  <c r="R845"/>
  <c r="D40"/>
  <c r="D174"/>
  <c r="D173" s="1"/>
  <c r="Q252"/>
  <c r="Q228" s="1"/>
  <c r="R254"/>
  <c r="F432"/>
  <c r="F423" s="1"/>
  <c r="I428"/>
  <c r="E525"/>
  <c r="S575"/>
  <c r="Q699"/>
  <c r="E845"/>
  <c r="D863"/>
  <c r="I871"/>
  <c r="J887"/>
  <c r="P887" s="1"/>
  <c r="D929"/>
  <c r="I1077"/>
  <c r="Q1115"/>
  <c r="D1027"/>
  <c r="D1003" s="1"/>
  <c r="D991" s="1"/>
  <c r="J145"/>
  <c r="P145" s="1"/>
  <c r="R460"/>
  <c r="R226" s="1"/>
  <c r="I547"/>
  <c r="G659"/>
  <c r="I680"/>
  <c r="E748"/>
  <c r="E464" s="1"/>
  <c r="E233" s="1"/>
  <c r="R849"/>
  <c r="R871"/>
  <c r="G871"/>
  <c r="G879"/>
  <c r="I887"/>
  <c r="I940"/>
  <c r="F968"/>
  <c r="S1010"/>
  <c r="D1145"/>
  <c r="D1144" s="1"/>
  <c r="R156"/>
  <c r="S249"/>
  <c r="R258"/>
  <c r="R235" s="1"/>
  <c r="D316"/>
  <c r="D315" s="1"/>
  <c r="J435"/>
  <c r="P435" s="1"/>
  <c r="Q481"/>
  <c r="R640"/>
  <c r="S929"/>
  <c r="G929"/>
  <c r="Q536"/>
  <c r="E586"/>
  <c r="R617"/>
  <c r="I640"/>
  <c r="S690"/>
  <c r="J822"/>
  <c r="P822" s="1"/>
  <c r="G900"/>
  <c r="E1063"/>
  <c r="Q1081"/>
  <c r="F252"/>
  <c r="F228" s="1"/>
  <c r="F435"/>
  <c r="F428" s="1"/>
  <c r="G424"/>
  <c r="I460"/>
  <c r="I226" s="1"/>
  <c r="J498"/>
  <c r="P498" s="1"/>
  <c r="E547"/>
  <c r="F640"/>
  <c r="D643"/>
  <c r="F722"/>
  <c r="I822"/>
  <c r="D871"/>
  <c r="D879"/>
  <c r="R908"/>
  <c r="Q929"/>
  <c r="Q998"/>
  <c r="J1010"/>
  <c r="Q125"/>
  <c r="D249"/>
  <c r="G258"/>
  <c r="G235" s="1"/>
  <c r="R97"/>
  <c r="R76" s="1"/>
  <c r="R75" s="1"/>
  <c r="E424"/>
  <c r="S424"/>
  <c r="E435"/>
  <c r="E428" s="1"/>
  <c r="J440"/>
  <c r="P440" s="1"/>
  <c r="F440"/>
  <c r="F243"/>
  <c r="J465"/>
  <c r="P465" s="1"/>
  <c r="F495"/>
  <c r="F484" s="1"/>
  <c r="Q514"/>
  <c r="G575"/>
  <c r="S586"/>
  <c r="J617"/>
  <c r="P617" s="1"/>
  <c r="D617"/>
  <c r="E640"/>
  <c r="D821"/>
  <c r="Q855"/>
  <c r="E900"/>
  <c r="F959"/>
  <c r="I999"/>
  <c r="I987" s="1"/>
  <c r="F1128"/>
  <c r="F1127" s="1"/>
  <c r="F1116" s="1"/>
  <c r="I40"/>
  <c r="J125"/>
  <c r="P125" s="1"/>
  <c r="F145"/>
  <c r="G441"/>
  <c r="G423" s="1"/>
  <c r="D447"/>
  <c r="D446" s="1"/>
  <c r="F536"/>
  <c r="E575"/>
  <c r="D586"/>
  <c r="J643"/>
  <c r="P643" s="1"/>
  <c r="D659"/>
  <c r="F690"/>
  <c r="R927"/>
  <c r="R746" s="1"/>
  <c r="F927"/>
  <c r="F746" s="1"/>
  <c r="S26"/>
  <c r="S20" s="1"/>
  <c r="S19" s="1"/>
  <c r="D424"/>
  <c r="D536"/>
  <c r="Q617"/>
  <c r="E617"/>
  <c r="R643"/>
  <c r="Q927"/>
  <c r="Q746" s="1"/>
  <c r="D1009"/>
  <c r="D997" s="1"/>
  <c r="S1128"/>
  <c r="S1127" s="1"/>
  <c r="S1116" s="1"/>
  <c r="S1074" s="1"/>
  <c r="Q1073"/>
  <c r="I709"/>
  <c r="I708" s="1"/>
  <c r="R26"/>
  <c r="R136" s="1"/>
  <c r="F40"/>
  <c r="Q287"/>
  <c r="E489"/>
  <c r="E477" s="1"/>
  <c r="I514"/>
  <c r="J525"/>
  <c r="P525" s="1"/>
  <c r="F608"/>
  <c r="F607" s="1"/>
  <c r="F606" s="1"/>
  <c r="F605" s="1"/>
  <c r="S659"/>
  <c r="D699"/>
  <c r="D722"/>
  <c r="Q748"/>
  <c r="Q849"/>
  <c r="Q841" s="1"/>
  <c r="F863"/>
  <c r="J908"/>
  <c r="P908" s="1"/>
  <c r="E933"/>
  <c r="E932" s="1"/>
  <c r="E931" s="1"/>
  <c r="S949"/>
  <c r="G40"/>
  <c r="E40"/>
  <c r="S370"/>
  <c r="S369" s="1"/>
  <c r="G394"/>
  <c r="G393" s="1"/>
  <c r="G392" s="1"/>
  <c r="G387" s="1"/>
  <c r="R415"/>
  <c r="Q432"/>
  <c r="Q423" s="1"/>
  <c r="R428"/>
  <c r="R447"/>
  <c r="R446" s="1"/>
  <c r="D495"/>
  <c r="D484" s="1"/>
  <c r="S514"/>
  <c r="S547"/>
  <c r="S680"/>
  <c r="S940"/>
  <c r="D959"/>
  <c r="S1077"/>
  <c r="S1062" s="1"/>
  <c r="S1073"/>
  <c r="Q106"/>
  <c r="G232"/>
  <c r="E495"/>
  <c r="E484" s="1"/>
  <c r="F525"/>
  <c r="R659"/>
  <c r="R680"/>
  <c r="I849"/>
  <c r="I848" s="1"/>
  <c r="E841"/>
  <c r="G845"/>
  <c r="Q871"/>
  <c r="S900"/>
  <c r="Q949"/>
  <c r="I1076"/>
  <c r="S887"/>
  <c r="R887"/>
  <c r="R474"/>
  <c r="H839"/>
  <c r="G949"/>
  <c r="I927"/>
  <c r="I746" s="1"/>
  <c r="G470"/>
  <c r="G238" s="1"/>
  <c r="I605"/>
  <c r="S605"/>
  <c r="S599"/>
  <c r="R599"/>
  <c r="I599"/>
  <c r="R586"/>
  <c r="I594"/>
  <c r="I593" s="1"/>
  <c r="I585"/>
  <c r="R589"/>
  <c r="Q547"/>
  <c r="R461"/>
  <c r="S488"/>
  <c r="S476" s="1"/>
  <c r="E1116"/>
  <c r="E1126"/>
  <c r="S821"/>
  <c r="R822"/>
  <c r="Q76"/>
  <c r="Q75" s="1"/>
  <c r="S827"/>
  <c r="R827"/>
  <c r="R772" s="1"/>
  <c r="R754" s="1"/>
  <c r="R473" s="1"/>
  <c r="S489"/>
  <c r="S477" s="1"/>
  <c r="Q525"/>
  <c r="Q489"/>
  <c r="Q477" s="1"/>
  <c r="Q488"/>
  <c r="Q476" s="1"/>
  <c r="J288"/>
  <c r="P288" s="1"/>
  <c r="J828"/>
  <c r="P828" s="1"/>
  <c r="J1119"/>
  <c r="J1065"/>
  <c r="P1065" s="1"/>
  <c r="J1081"/>
  <c r="P1081" s="1"/>
  <c r="J989"/>
  <c r="P989" s="1"/>
  <c r="J987"/>
  <c r="P987" s="1"/>
  <c r="J927"/>
  <c r="J586"/>
  <c r="P586" s="1"/>
  <c r="J585"/>
  <c r="P585" s="1"/>
  <c r="J423"/>
  <c r="P423" s="1"/>
  <c r="J424"/>
  <c r="P424" s="1"/>
  <c r="J402"/>
  <c r="P402" s="1"/>
  <c r="J258"/>
  <c r="P258" s="1"/>
  <c r="I495"/>
  <c r="I484" s="1"/>
  <c r="J748"/>
  <c r="P748" s="1"/>
  <c r="R855"/>
  <c r="Q461"/>
  <c r="I461"/>
  <c r="G461"/>
  <c r="G466"/>
  <c r="G236" s="1"/>
  <c r="G178"/>
  <c r="G174" s="1"/>
  <c r="G173" s="1"/>
  <c r="I474"/>
  <c r="I748"/>
  <c r="I464" s="1"/>
  <c r="I233" s="1"/>
  <c r="G748"/>
  <c r="G464" s="1"/>
  <c r="G233" s="1"/>
  <c r="J758"/>
  <c r="P758" s="1"/>
  <c r="D708"/>
  <c r="S708"/>
  <c r="S238"/>
  <c r="J709"/>
  <c r="P709" s="1"/>
  <c r="R708"/>
  <c r="G708"/>
  <c r="J640"/>
  <c r="P640" s="1"/>
  <c r="F708"/>
  <c r="Q643"/>
  <c r="G640"/>
  <c r="S640"/>
  <c r="Q640"/>
  <c r="I575"/>
  <c r="H227"/>
  <c r="G999"/>
  <c r="G987" s="1"/>
  <c r="H487"/>
  <c r="H475" s="1"/>
  <c r="H245"/>
  <c r="H743"/>
  <c r="H459" s="1"/>
  <c r="H225" s="1"/>
  <c r="H462"/>
  <c r="H231" s="1"/>
  <c r="H19"/>
  <c r="H283"/>
  <c r="H931"/>
  <c r="H924" s="1"/>
  <c r="H925"/>
  <c r="H742" s="1"/>
  <c r="H674"/>
  <c r="H643"/>
  <c r="H1107"/>
  <c r="H1113"/>
  <c r="H1069" s="1"/>
  <c r="H584"/>
  <c r="H587"/>
  <c r="H583" s="1"/>
  <c r="H574" s="1"/>
  <c r="H431"/>
  <c r="H430" s="1"/>
  <c r="H422" s="1"/>
  <c r="H248"/>
  <c r="H189"/>
  <c r="H188" s="1"/>
  <c r="H166"/>
  <c r="H144" s="1"/>
  <c r="H238"/>
  <c r="H241"/>
  <c r="H754"/>
  <c r="H473" s="1"/>
  <c r="H771"/>
  <c r="H647"/>
  <c r="H637"/>
  <c r="R249"/>
  <c r="F174"/>
  <c r="F173" s="1"/>
  <c r="R248"/>
  <c r="E210"/>
  <c r="E101"/>
  <c r="E208" s="1"/>
  <c r="E209"/>
  <c r="I284"/>
  <c r="I283" s="1"/>
  <c r="I310"/>
  <c r="I309" s="1"/>
  <c r="S149"/>
  <c r="S40"/>
  <c r="G189"/>
  <c r="G188" s="1"/>
  <c r="G166"/>
  <c r="J214"/>
  <c r="P214" s="1"/>
  <c r="J106"/>
  <c r="P106" s="1"/>
  <c r="E189"/>
  <c r="E188" s="1"/>
  <c r="E166"/>
  <c r="I214"/>
  <c r="I213" s="1"/>
  <c r="I106"/>
  <c r="S204"/>
  <c r="S193" s="1"/>
  <c r="S76"/>
  <c r="S75" s="1"/>
  <c r="F416"/>
  <c r="F415"/>
  <c r="R431"/>
  <c r="R430" s="1"/>
  <c r="G489"/>
  <c r="G477" s="1"/>
  <c r="G525"/>
  <c r="D587"/>
  <c r="E66"/>
  <c r="F110"/>
  <c r="F217" s="1"/>
  <c r="R134"/>
  <c r="S166"/>
  <c r="F209"/>
  <c r="I287"/>
  <c r="J284"/>
  <c r="P284" s="1"/>
  <c r="E416"/>
  <c r="E415"/>
  <c r="R536"/>
  <c r="R489"/>
  <c r="R477" s="1"/>
  <c r="D210"/>
  <c r="D20"/>
  <c r="D19" s="1"/>
  <c r="S106"/>
  <c r="R166"/>
  <c r="F489"/>
  <c r="F477" s="1"/>
  <c r="G310"/>
  <c r="G309" s="1"/>
  <c r="G284"/>
  <c r="E288"/>
  <c r="E283" s="1"/>
  <c r="E370"/>
  <c r="E369" s="1"/>
  <c r="G514"/>
  <c r="G488"/>
  <c r="G476" s="1"/>
  <c r="Q193"/>
  <c r="G257"/>
  <c r="G270"/>
  <c r="I389"/>
  <c r="I388" s="1"/>
  <c r="D416"/>
  <c r="D415"/>
  <c r="R125"/>
  <c r="R210"/>
  <c r="R284"/>
  <c r="D498"/>
  <c r="D488"/>
  <c r="D476" s="1"/>
  <c r="E423"/>
  <c r="S587"/>
  <c r="G106"/>
  <c r="G101" s="1"/>
  <c r="G208" s="1"/>
  <c r="F284"/>
  <c r="R40"/>
  <c r="G66"/>
  <c r="F106"/>
  <c r="R209"/>
  <c r="F577"/>
  <c r="F576" s="1"/>
  <c r="F575" s="1"/>
  <c r="Q587"/>
  <c r="G210"/>
  <c r="D218"/>
  <c r="D110"/>
  <c r="D217" s="1"/>
  <c r="I189"/>
  <c r="I188" s="1"/>
  <c r="I166"/>
  <c r="D431"/>
  <c r="D423"/>
  <c r="F251"/>
  <c r="F270"/>
  <c r="I587"/>
  <c r="G585"/>
  <c r="E214"/>
  <c r="E213" s="1"/>
  <c r="G416"/>
  <c r="G415"/>
  <c r="I498"/>
  <c r="I488"/>
  <c r="I476" s="1"/>
  <c r="J287"/>
  <c r="P287" s="1"/>
  <c r="Q311"/>
  <c r="I638"/>
  <c r="J681"/>
  <c r="P681" s="1"/>
  <c r="J638"/>
  <c r="P638" s="1"/>
  <c r="S926"/>
  <c r="S932"/>
  <c r="R424"/>
  <c r="S429"/>
  <c r="G440"/>
  <c r="S441"/>
  <c r="S423" s="1"/>
  <c r="F481"/>
  <c r="F464" s="1"/>
  <c r="F233" s="1"/>
  <c r="R488"/>
  <c r="R476" s="1"/>
  <c r="F499"/>
  <c r="D577"/>
  <c r="D576" s="1"/>
  <c r="D575" s="1"/>
  <c r="G586"/>
  <c r="E589"/>
  <c r="R594"/>
  <c r="E772"/>
  <c r="G647"/>
  <c r="S416"/>
  <c r="R429"/>
  <c r="R441"/>
  <c r="R423" s="1"/>
  <c r="S498"/>
  <c r="E499"/>
  <c r="F647"/>
  <c r="G681"/>
  <c r="G680" s="1"/>
  <c r="G638"/>
  <c r="F757"/>
  <c r="Q932"/>
  <c r="Q926"/>
  <c r="Q429"/>
  <c r="I431"/>
  <c r="I430" s="1"/>
  <c r="D489"/>
  <c r="D477" s="1"/>
  <c r="S617"/>
  <c r="R1118"/>
  <c r="R1107" s="1"/>
  <c r="E647"/>
  <c r="F847"/>
  <c r="J932"/>
  <c r="P932" s="1"/>
  <c r="J926"/>
  <c r="P926" s="1"/>
  <c r="E960"/>
  <c r="E959" s="1"/>
  <c r="J1077"/>
  <c r="P1077" s="1"/>
  <c r="J1086"/>
  <c r="J1145"/>
  <c r="J1115"/>
  <c r="P1115" s="1"/>
  <c r="G998"/>
  <c r="G997"/>
  <c r="G1108"/>
  <c r="F1126"/>
  <c r="J394"/>
  <c r="P394" s="1"/>
  <c r="J416"/>
  <c r="P416" s="1"/>
  <c r="I429"/>
  <c r="I441"/>
  <c r="I423" s="1"/>
  <c r="I586"/>
  <c r="R1073"/>
  <c r="F638"/>
  <c r="F660"/>
  <c r="F659" s="1"/>
  <c r="S1057"/>
  <c r="S1041" s="1"/>
  <c r="S1042"/>
  <c r="G1077"/>
  <c r="G1086"/>
  <c r="G1076" s="1"/>
  <c r="E660"/>
  <c r="E659" s="1"/>
  <c r="E638"/>
  <c r="D757"/>
  <c r="G855"/>
  <c r="E1009"/>
  <c r="E997" s="1"/>
  <c r="E998"/>
  <c r="E986" s="1"/>
  <c r="I1151"/>
  <c r="I1150" s="1"/>
  <c r="I1073" s="1"/>
  <c r="I1115"/>
  <c r="Q772"/>
  <c r="D847"/>
  <c r="D840"/>
  <c r="G925"/>
  <c r="G931"/>
  <c r="Q1057"/>
  <c r="Q1041" s="1"/>
  <c r="Q1042"/>
  <c r="E1086"/>
  <c r="E1077"/>
  <c r="I1126"/>
  <c r="I1116"/>
  <c r="I1074" s="1"/>
  <c r="S595"/>
  <c r="S594" s="1"/>
  <c r="S593" s="1"/>
  <c r="S638"/>
  <c r="Q848"/>
  <c r="Q840" s="1"/>
  <c r="G1126"/>
  <c r="G1118" s="1"/>
  <c r="G1107" s="1"/>
  <c r="G1116"/>
  <c r="G1074" s="1"/>
  <c r="I489"/>
  <c r="I477" s="1"/>
  <c r="Q585"/>
  <c r="I617"/>
  <c r="I772"/>
  <c r="R638"/>
  <c r="Q638"/>
  <c r="D649"/>
  <c r="D640"/>
  <c r="Q757"/>
  <c r="Q1126"/>
  <c r="Q1118" s="1"/>
  <c r="Q1107" s="1"/>
  <c r="Q1116"/>
  <c r="Q1074" s="1"/>
  <c r="E402"/>
  <c r="D429"/>
  <c r="Q586"/>
  <c r="F617"/>
  <c r="F772"/>
  <c r="R940"/>
  <c r="F1057"/>
  <c r="F1041" s="1"/>
  <c r="F1042"/>
  <c r="S1076"/>
  <c r="G841"/>
  <c r="J849"/>
  <c r="P849" s="1"/>
  <c r="E856"/>
  <c r="D942"/>
  <c r="G1081"/>
  <c r="E1083"/>
  <c r="E1119"/>
  <c r="Q644"/>
  <c r="Q470" s="1"/>
  <c r="Q241" s="1"/>
  <c r="D748"/>
  <c r="D464" s="1"/>
  <c r="D233" s="1"/>
  <c r="S757"/>
  <c r="F841"/>
  <c r="F1043"/>
  <c r="F987" s="1"/>
  <c r="J1058"/>
  <c r="P1058" s="1"/>
  <c r="J1078"/>
  <c r="F1087"/>
  <c r="I933"/>
  <c r="I1058"/>
  <c r="G1109"/>
  <c r="G1063" s="1"/>
  <c r="R748"/>
  <c r="R464" s="1"/>
  <c r="R233" s="1"/>
  <c r="Q822"/>
  <c r="Q828"/>
  <c r="G926"/>
  <c r="S927"/>
  <c r="S746" s="1"/>
  <c r="F933"/>
  <c r="R1115"/>
  <c r="E766"/>
  <c r="S1043"/>
  <c r="S987" s="1"/>
  <c r="R1116"/>
  <c r="R1074" s="1"/>
  <c r="J547" l="1"/>
  <c r="P547" s="1"/>
  <c r="J855"/>
  <c r="P855" s="1"/>
  <c r="J871"/>
  <c r="P871" s="1"/>
  <c r="J746"/>
  <c r="P746" s="1"/>
  <c r="P927"/>
  <c r="J363"/>
  <c r="P363" s="1"/>
  <c r="J916"/>
  <c r="P916" s="1"/>
  <c r="P917"/>
  <c r="J309"/>
  <c r="P309" s="1"/>
  <c r="J85"/>
  <c r="P85" s="1"/>
  <c r="J328"/>
  <c r="P328" s="1"/>
  <c r="J588"/>
  <c r="P588" s="1"/>
  <c r="J381"/>
  <c r="P381" s="1"/>
  <c r="J674"/>
  <c r="P674" s="1"/>
  <c r="J612"/>
  <c r="P612" s="1"/>
  <c r="J1140"/>
  <c r="P1140" s="1"/>
  <c r="P1141"/>
  <c r="J815"/>
  <c r="P815" s="1"/>
  <c r="J600"/>
  <c r="P600" s="1"/>
  <c r="J833"/>
  <c r="P833" s="1"/>
  <c r="J388"/>
  <c r="P388" s="1"/>
  <c r="J680"/>
  <c r="P680" s="1"/>
  <c r="J466"/>
  <c r="P466" s="1"/>
  <c r="J576"/>
  <c r="P576" s="1"/>
  <c r="J941"/>
  <c r="P942"/>
  <c r="J558"/>
  <c r="P558" s="1"/>
  <c r="J691"/>
  <c r="P691" s="1"/>
  <c r="J401"/>
  <c r="P401" s="1"/>
  <c r="J241"/>
  <c r="P241" s="1"/>
  <c r="J472"/>
  <c r="P472" s="1"/>
  <c r="J660"/>
  <c r="P660" s="1"/>
  <c r="J415"/>
  <c r="P415" s="1"/>
  <c r="J757"/>
  <c r="P757" s="1"/>
  <c r="J235"/>
  <c r="P235" s="1"/>
  <c r="J428"/>
  <c r="P428" s="1"/>
  <c r="J606"/>
  <c r="P606" s="1"/>
  <c r="J960"/>
  <c r="P961"/>
  <c r="J564"/>
  <c r="P564" s="1"/>
  <c r="J357"/>
  <c r="P357" s="1"/>
  <c r="J1063"/>
  <c r="P1063" s="1"/>
  <c r="P1078"/>
  <c r="J1076"/>
  <c r="P1076" s="1"/>
  <c r="P1086"/>
  <c r="J1108"/>
  <c r="P1108" s="1"/>
  <c r="P1119"/>
  <c r="J446"/>
  <c r="P446" s="1"/>
  <c r="J484"/>
  <c r="P484" s="1"/>
  <c r="J950"/>
  <c r="P951"/>
  <c r="J149"/>
  <c r="P149" s="1"/>
  <c r="J723"/>
  <c r="P723" s="1"/>
  <c r="J976"/>
  <c r="P976" s="1"/>
  <c r="P977"/>
  <c r="J969"/>
  <c r="P970"/>
  <c r="J1144"/>
  <c r="P1144" s="1"/>
  <c r="P1145"/>
  <c r="J228"/>
  <c r="P228" s="1"/>
  <c r="J648"/>
  <c r="P648" s="1"/>
  <c r="J315"/>
  <c r="P315" s="1"/>
  <c r="J375"/>
  <c r="P375" s="1"/>
  <c r="J1003"/>
  <c r="P1027"/>
  <c r="J333"/>
  <c r="P333" s="1"/>
  <c r="J783"/>
  <c r="P783" s="1"/>
  <c r="J123"/>
  <c r="P123" s="1"/>
  <c r="J700"/>
  <c r="P700" s="1"/>
  <c r="J213"/>
  <c r="P213" s="1"/>
  <c r="J234"/>
  <c r="P234" s="1"/>
  <c r="J321"/>
  <c r="P321" s="1"/>
  <c r="J246"/>
  <c r="P246" s="1"/>
  <c r="P996"/>
  <c r="J1009"/>
  <c r="P1010"/>
  <c r="J369"/>
  <c r="P369" s="1"/>
  <c r="J594"/>
  <c r="P594" s="1"/>
  <c r="J717"/>
  <c r="P717" s="1"/>
  <c r="J1074"/>
  <c r="P1074" s="1"/>
  <c r="P1116"/>
  <c r="J1126"/>
  <c r="P1126" s="1"/>
  <c r="P1127"/>
  <c r="J1150"/>
  <c r="P1150" s="1"/>
  <c r="P1151"/>
  <c r="J102"/>
  <c r="P102" s="1"/>
  <c r="J204"/>
  <c r="P204" s="1"/>
  <c r="J474"/>
  <c r="P474" s="1"/>
  <c r="J460"/>
  <c r="P460" s="1"/>
  <c r="J708"/>
  <c r="P708" s="1"/>
  <c r="J488"/>
  <c r="P488" s="1"/>
  <c r="J464"/>
  <c r="P464" s="1"/>
  <c r="J536"/>
  <c r="P536" s="1"/>
  <c r="J461"/>
  <c r="P461" s="1"/>
  <c r="J489"/>
  <c r="P489" s="1"/>
  <c r="R985"/>
  <c r="G643"/>
  <c r="G283"/>
  <c r="G265" s="1"/>
  <c r="G260" s="1"/>
  <c r="G462"/>
  <c r="G231" s="1"/>
  <c r="F20"/>
  <c r="F19" s="1"/>
  <c r="S847"/>
  <c r="S839" s="1"/>
  <c r="R1042"/>
  <c r="E20"/>
  <c r="E19" s="1"/>
  <c r="S277"/>
  <c r="S268" s="1"/>
  <c r="G76"/>
  <c r="G75" s="1"/>
  <c r="R1076"/>
  <c r="R1061" s="1"/>
  <c r="S841"/>
  <c r="S743" s="1"/>
  <c r="R241"/>
  <c r="I841"/>
  <c r="E985"/>
  <c r="G690"/>
  <c r="G636" s="1"/>
  <c r="E462"/>
  <c r="E231" s="1"/>
  <c r="H1061"/>
  <c r="D248"/>
  <c r="E234"/>
  <c r="R487"/>
  <c r="R475" s="1"/>
  <c r="R204"/>
  <c r="R193" s="1"/>
  <c r="R187" s="1"/>
  <c r="Q20"/>
  <c r="Q19" s="1"/>
  <c r="D987"/>
  <c r="D584"/>
  <c r="E249"/>
  <c r="D227"/>
  <c r="E241"/>
  <c r="E238"/>
  <c r="F204"/>
  <c r="F193" s="1"/>
  <c r="F283"/>
  <c r="F265" s="1"/>
  <c r="F260" s="1"/>
  <c r="S422"/>
  <c r="I643"/>
  <c r="S643"/>
  <c r="E643"/>
  <c r="H187"/>
  <c r="J238"/>
  <c r="P238" s="1"/>
  <c r="G144"/>
  <c r="G122" s="1"/>
  <c r="F144"/>
  <c r="F122" s="1"/>
  <c r="S1063"/>
  <c r="S136"/>
  <c r="S130" s="1"/>
  <c r="S129" s="1"/>
  <c r="G227"/>
  <c r="D1108"/>
  <c r="D1062" s="1"/>
  <c r="D1107"/>
  <c r="D1061" s="1"/>
  <c r="I209"/>
  <c r="I210"/>
  <c r="Q209"/>
  <c r="Q210"/>
  <c r="S210"/>
  <c r="S209"/>
  <c r="R130"/>
  <c r="R129" s="1"/>
  <c r="Q101"/>
  <c r="Q208" s="1"/>
  <c r="Q187" s="1"/>
  <c r="D462"/>
  <c r="D231" s="1"/>
  <c r="R998"/>
  <c r="E144"/>
  <c r="I101"/>
  <c r="I208" s="1"/>
  <c r="I187" s="1"/>
  <c r="R924"/>
  <c r="J431"/>
  <c r="P431" s="1"/>
  <c r="S227"/>
  <c r="S101"/>
  <c r="S208" s="1"/>
  <c r="S187" s="1"/>
  <c r="I387"/>
  <c r="R227"/>
  <c r="F643"/>
  <c r="E987"/>
  <c r="D144"/>
  <c r="D122" s="1"/>
  <c r="F839"/>
  <c r="D245"/>
  <c r="D839"/>
  <c r="S387"/>
  <c r="D387"/>
  <c r="G430"/>
  <c r="G422" s="1"/>
  <c r="J76"/>
  <c r="P76" s="1"/>
  <c r="J26"/>
  <c r="P26" s="1"/>
  <c r="I416"/>
  <c r="I248" s="1"/>
  <c r="H12"/>
  <c r="Q986"/>
  <c r="F985"/>
  <c r="F227"/>
  <c r="F986"/>
  <c r="I1062"/>
  <c r="G245"/>
  <c r="I1118"/>
  <c r="I1107" s="1"/>
  <c r="I1061" s="1"/>
  <c r="Q985"/>
  <c r="Q144"/>
  <c r="Q122" s="1"/>
  <c r="Q584"/>
  <c r="S144"/>
  <c r="Q583"/>
  <c r="Q574" s="1"/>
  <c r="Q227"/>
  <c r="F238"/>
  <c r="S1126"/>
  <c r="S1118" s="1"/>
  <c r="S1107" s="1"/>
  <c r="S1061" s="1"/>
  <c r="G839"/>
  <c r="Q431"/>
  <c r="Q430" s="1"/>
  <c r="Q422" s="1"/>
  <c r="I144"/>
  <c r="D772"/>
  <c r="D771" s="1"/>
  <c r="S487"/>
  <c r="S475" s="1"/>
  <c r="E926"/>
  <c r="E743" s="1"/>
  <c r="G20"/>
  <c r="G19" s="1"/>
  <c r="D430"/>
  <c r="D422" s="1"/>
  <c r="R283"/>
  <c r="R277" s="1"/>
  <c r="R268" s="1"/>
  <c r="R247" s="1"/>
  <c r="G637"/>
  <c r="G1042"/>
  <c r="G986" s="1"/>
  <c r="D1073"/>
  <c r="R925"/>
  <c r="F1118"/>
  <c r="F1107" s="1"/>
  <c r="I422"/>
  <c r="I136"/>
  <c r="I130" s="1"/>
  <c r="I129" s="1"/>
  <c r="E187"/>
  <c r="Q743"/>
  <c r="Q459" s="1"/>
  <c r="Q225" s="1"/>
  <c r="D487"/>
  <c r="D475" s="1"/>
  <c r="R144"/>
  <c r="R122" s="1"/>
  <c r="G985"/>
  <c r="I249"/>
  <c r="G487"/>
  <c r="G475" s="1"/>
  <c r="D583"/>
  <c r="D574" s="1"/>
  <c r="D1113"/>
  <c r="D1069" s="1"/>
  <c r="I76"/>
  <c r="I75" s="1"/>
  <c r="E227"/>
  <c r="R422"/>
  <c r="S248"/>
  <c r="D985"/>
  <c r="G584"/>
  <c r="I227"/>
  <c r="Q1086"/>
  <c r="Q1076" s="1"/>
  <c r="Q1061" s="1"/>
  <c r="Q1077"/>
  <c r="Q1062" s="1"/>
  <c r="R462"/>
  <c r="R231" s="1"/>
  <c r="D277"/>
  <c r="D268" s="1"/>
  <c r="F586"/>
  <c r="F462" s="1"/>
  <c r="F231" s="1"/>
  <c r="G234"/>
  <c r="S772"/>
  <c r="S754" s="1"/>
  <c r="S473" s="1"/>
  <c r="S244" s="1"/>
  <c r="R588"/>
  <c r="R587" s="1"/>
  <c r="D238"/>
  <c r="J998"/>
  <c r="P998" s="1"/>
  <c r="I487"/>
  <c r="I475" s="1"/>
  <c r="S1009"/>
  <c r="S997" s="1"/>
  <c r="S985" s="1"/>
  <c r="S998"/>
  <c r="S986" s="1"/>
  <c r="R585"/>
  <c r="R848"/>
  <c r="R840" s="1"/>
  <c r="R841"/>
  <c r="R743" s="1"/>
  <c r="J430"/>
  <c r="P430" s="1"/>
  <c r="R20"/>
  <c r="R19" s="1"/>
  <c r="R12" s="1"/>
  <c r="G1062"/>
  <c r="Q464"/>
  <c r="Q233" s="1"/>
  <c r="E1076"/>
  <c r="E925"/>
  <c r="E431"/>
  <c r="E430" s="1"/>
  <c r="E422" s="1"/>
  <c r="G742"/>
  <c r="J1062"/>
  <c r="P1062" s="1"/>
  <c r="F431"/>
  <c r="F430" s="1"/>
  <c r="F422" s="1"/>
  <c r="G924"/>
  <c r="I462"/>
  <c r="I231" s="1"/>
  <c r="G241"/>
  <c r="I241"/>
  <c r="I583"/>
  <c r="I574" s="1"/>
  <c r="I584"/>
  <c r="J227"/>
  <c r="P227" s="1"/>
  <c r="Q487"/>
  <c r="Q475" s="1"/>
  <c r="Q245"/>
  <c r="R1113"/>
  <c r="R1069" s="1"/>
  <c r="E1113"/>
  <c r="E1069" s="1"/>
  <c r="E1074"/>
  <c r="E245" s="1"/>
  <c r="S245"/>
  <c r="R771"/>
  <c r="R751" s="1"/>
  <c r="R467" s="1"/>
  <c r="F101"/>
  <c r="F208" s="1"/>
  <c r="J283"/>
  <c r="P283" s="1"/>
  <c r="J462"/>
  <c r="P462" s="1"/>
  <c r="S462"/>
  <c r="S231" s="1"/>
  <c r="Q462"/>
  <c r="Q231" s="1"/>
  <c r="H458"/>
  <c r="H224" s="1"/>
  <c r="H136"/>
  <c r="H130" s="1"/>
  <c r="H129" s="1"/>
  <c r="H122" s="1"/>
  <c r="H277"/>
  <c r="H268" s="1"/>
  <c r="H247" s="1"/>
  <c r="H265"/>
  <c r="H260" s="1"/>
  <c r="H751"/>
  <c r="H467" s="1"/>
  <c r="H756"/>
  <c r="H741" s="1"/>
  <c r="H636"/>
  <c r="G1061"/>
  <c r="F932"/>
  <c r="F926"/>
  <c r="F743" s="1"/>
  <c r="E840"/>
  <c r="E855"/>
  <c r="E839" s="1"/>
  <c r="Q847"/>
  <c r="Q839" s="1"/>
  <c r="J931"/>
  <c r="E1108"/>
  <c r="E1062" s="1"/>
  <c r="E1118"/>
  <c r="E1107" s="1"/>
  <c r="F1077"/>
  <c r="F1062" s="1"/>
  <c r="F1086"/>
  <c r="F1076" s="1"/>
  <c r="G771"/>
  <c r="G754"/>
  <c r="G473" s="1"/>
  <c r="E401"/>
  <c r="E387" s="1"/>
  <c r="E248"/>
  <c r="J841"/>
  <c r="J848"/>
  <c r="S925"/>
  <c r="S742" s="1"/>
  <c r="S931"/>
  <c r="S924" s="1"/>
  <c r="F249"/>
  <c r="F269"/>
  <c r="S583"/>
  <c r="S574" s="1"/>
  <c r="E924"/>
  <c r="J1113"/>
  <c r="R245"/>
  <c r="D926"/>
  <c r="D743" s="1"/>
  <c r="D941"/>
  <c r="I277"/>
  <c r="I268" s="1"/>
  <c r="I265"/>
  <c r="I260" s="1"/>
  <c r="S585"/>
  <c r="I840"/>
  <c r="I847"/>
  <c r="I839" s="1"/>
  <c r="R647"/>
  <c r="R636" s="1"/>
  <c r="R637"/>
  <c r="S647"/>
  <c r="S636" s="1"/>
  <c r="S637"/>
  <c r="I1113"/>
  <c r="I1069" s="1"/>
  <c r="Q1113"/>
  <c r="Q1069" s="1"/>
  <c r="S1113"/>
  <c r="S1069" s="1"/>
  <c r="J637"/>
  <c r="P637" s="1"/>
  <c r="G187"/>
  <c r="F1113"/>
  <c r="F1069" s="1"/>
  <c r="F1074"/>
  <c r="F245" s="1"/>
  <c r="I647"/>
  <c r="I636" s="1"/>
  <c r="I637"/>
  <c r="G249"/>
  <c r="G269"/>
  <c r="G1113"/>
  <c r="G1069" s="1"/>
  <c r="Q238"/>
  <c r="Q647"/>
  <c r="Q636" s="1"/>
  <c r="Q637"/>
  <c r="I932"/>
  <c r="I926"/>
  <c r="J1057"/>
  <c r="J1042"/>
  <c r="P1042" s="1"/>
  <c r="Q771"/>
  <c r="Q751" s="1"/>
  <c r="Q467" s="1"/>
  <c r="Q754"/>
  <c r="Q473" s="1"/>
  <c r="J393"/>
  <c r="P393" s="1"/>
  <c r="J249"/>
  <c r="P249" s="1"/>
  <c r="E498"/>
  <c r="E487" s="1"/>
  <c r="E475" s="1"/>
  <c r="E488"/>
  <c r="E476" s="1"/>
  <c r="E585"/>
  <c r="E588"/>
  <c r="E277"/>
  <c r="E268" s="1"/>
  <c r="E265"/>
  <c r="F636"/>
  <c r="D101"/>
  <c r="F771"/>
  <c r="F751" s="1"/>
  <c r="F754"/>
  <c r="F473" s="1"/>
  <c r="D648"/>
  <c r="D638"/>
  <c r="Q310"/>
  <c r="Q309" s="1"/>
  <c r="Q284"/>
  <c r="Q283" s="1"/>
  <c r="E636"/>
  <c r="F637"/>
  <c r="Q925"/>
  <c r="Q931"/>
  <c r="Q924" s="1"/>
  <c r="J584"/>
  <c r="P584" s="1"/>
  <c r="J587"/>
  <c r="P587" s="1"/>
  <c r="R593"/>
  <c r="G587"/>
  <c r="G583" s="1"/>
  <c r="G574" s="1"/>
  <c r="I245"/>
  <c r="E637"/>
  <c r="E85"/>
  <c r="F498"/>
  <c r="F487" s="1"/>
  <c r="F475" s="1"/>
  <c r="F488"/>
  <c r="F476" s="1"/>
  <c r="F588"/>
  <c r="F585"/>
  <c r="I1057"/>
  <c r="I1041" s="1"/>
  <c r="I985" s="1"/>
  <c r="I1042"/>
  <c r="I986" s="1"/>
  <c r="I771"/>
  <c r="I754"/>
  <c r="I473" s="1"/>
  <c r="E754"/>
  <c r="E473" s="1"/>
  <c r="E771"/>
  <c r="S584"/>
  <c r="G743"/>
  <c r="G459" s="1"/>
  <c r="G277" l="1"/>
  <c r="G268" s="1"/>
  <c r="G247" s="1"/>
  <c r="J487"/>
  <c r="P487" s="1"/>
  <c r="J991"/>
  <c r="P991" s="1"/>
  <c r="P1003"/>
  <c r="J968"/>
  <c r="P968" s="1"/>
  <c r="P969"/>
  <c r="J959"/>
  <c r="P959" s="1"/>
  <c r="P960"/>
  <c r="J659"/>
  <c r="P659" s="1"/>
  <c r="P941"/>
  <c r="J940"/>
  <c r="P940" s="1"/>
  <c r="J599"/>
  <c r="P599" s="1"/>
  <c r="J24"/>
  <c r="J772"/>
  <c r="P772" s="1"/>
  <c r="P950"/>
  <c r="J949"/>
  <c r="P949" s="1"/>
  <c r="J690"/>
  <c r="P690" s="1"/>
  <c r="J422"/>
  <c r="P422" s="1"/>
  <c r="P931"/>
  <c r="J997"/>
  <c r="P997" s="1"/>
  <c r="P1009"/>
  <c r="J647"/>
  <c r="P647" s="1"/>
  <c r="J611"/>
  <c r="P611" s="1"/>
  <c r="J231"/>
  <c r="P231" s="1"/>
  <c r="J699"/>
  <c r="P699" s="1"/>
  <c r="J722"/>
  <c r="P722" s="1"/>
  <c r="J236"/>
  <c r="P236" s="1"/>
  <c r="J178"/>
  <c r="P178" s="1"/>
  <c r="J840"/>
  <c r="P840" s="1"/>
  <c r="P848"/>
  <c r="J593"/>
  <c r="P593" s="1"/>
  <c r="J605"/>
  <c r="P605" s="1"/>
  <c r="J243"/>
  <c r="P243" s="1"/>
  <c r="J575"/>
  <c r="P575" s="1"/>
  <c r="J327"/>
  <c r="P327" s="1"/>
  <c r="G12"/>
  <c r="J277"/>
  <c r="P277" s="1"/>
  <c r="J1041"/>
  <c r="P1057"/>
  <c r="J925"/>
  <c r="P925" s="1"/>
  <c r="I122"/>
  <c r="J1118"/>
  <c r="P1118" s="1"/>
  <c r="J1073"/>
  <c r="P1073" s="1"/>
  <c r="J193"/>
  <c r="P193" s="1"/>
  <c r="J75"/>
  <c r="P75" s="1"/>
  <c r="J1069"/>
  <c r="P1069" s="1"/>
  <c r="P1113"/>
  <c r="J209"/>
  <c r="P209" s="1"/>
  <c r="J210"/>
  <c r="P210" s="1"/>
  <c r="J101"/>
  <c r="P101" s="1"/>
  <c r="J245"/>
  <c r="P245" s="1"/>
  <c r="J226"/>
  <c r="P226" s="1"/>
  <c r="J743"/>
  <c r="P743" s="1"/>
  <c r="P841"/>
  <c r="J476"/>
  <c r="P476" s="1"/>
  <c r="J233"/>
  <c r="P233" s="1"/>
  <c r="J477"/>
  <c r="P477" s="1"/>
  <c r="J136"/>
  <c r="P136" s="1"/>
  <c r="F277"/>
  <c r="F268" s="1"/>
  <c r="F247" s="1"/>
  <c r="F244"/>
  <c r="R986"/>
  <c r="S247"/>
  <c r="R584"/>
  <c r="S12"/>
  <c r="S122"/>
  <c r="I743"/>
  <c r="I459" s="1"/>
  <c r="I225" s="1"/>
  <c r="Q12"/>
  <c r="I247"/>
  <c r="F187"/>
  <c r="D247"/>
  <c r="F467"/>
  <c r="F237" s="1"/>
  <c r="I12"/>
  <c r="R265"/>
  <c r="S771"/>
  <c r="S751" s="1"/>
  <c r="S467" s="1"/>
  <c r="S237" s="1"/>
  <c r="D754"/>
  <c r="D473" s="1"/>
  <c r="D244" s="1"/>
  <c r="J986"/>
  <c r="P986" s="1"/>
  <c r="G458"/>
  <c r="D751"/>
  <c r="D467" s="1"/>
  <c r="D237" s="1"/>
  <c r="D756"/>
  <c r="Q742"/>
  <c r="Q458" s="1"/>
  <c r="Q224" s="1"/>
  <c r="F459"/>
  <c r="F225" s="1"/>
  <c r="R459"/>
  <c r="R225" s="1"/>
  <c r="F1061"/>
  <c r="R583"/>
  <c r="R574" s="1"/>
  <c r="E742"/>
  <c r="S459"/>
  <c r="S225" s="1"/>
  <c r="E1061"/>
  <c r="E247"/>
  <c r="D459"/>
  <c r="D225" s="1"/>
  <c r="R847"/>
  <c r="R839" s="1"/>
  <c r="R742"/>
  <c r="R756"/>
  <c r="Q756"/>
  <c r="Q741" s="1"/>
  <c r="Q457" s="1"/>
  <c r="F12"/>
  <c r="J265"/>
  <c r="H237"/>
  <c r="H244"/>
  <c r="H457"/>
  <c r="H223" s="1"/>
  <c r="H1167" s="1"/>
  <c r="E751"/>
  <c r="E467" s="1"/>
  <c r="E756"/>
  <c r="E741" s="1"/>
  <c r="D208"/>
  <c r="D187" s="1"/>
  <c r="D12"/>
  <c r="J392"/>
  <c r="P392" s="1"/>
  <c r="J248"/>
  <c r="P248" s="1"/>
  <c r="J847"/>
  <c r="S458"/>
  <c r="S224" s="1"/>
  <c r="G225"/>
  <c r="F587"/>
  <c r="F583" s="1"/>
  <c r="F574" s="1"/>
  <c r="F584"/>
  <c r="G248"/>
  <c r="G751"/>
  <c r="G467" s="1"/>
  <c r="G756"/>
  <c r="G741" s="1"/>
  <c r="G457" s="1"/>
  <c r="E459"/>
  <c r="E225" s="1"/>
  <c r="E76"/>
  <c r="E75" s="1"/>
  <c r="E12" s="1"/>
  <c r="E178"/>
  <c r="E174" s="1"/>
  <c r="E173" s="1"/>
  <c r="E122" s="1"/>
  <c r="E587"/>
  <c r="E583" s="1"/>
  <c r="E574" s="1"/>
  <c r="E584"/>
  <c r="F756"/>
  <c r="Q265"/>
  <c r="Q260" s="1"/>
  <c r="Q277"/>
  <c r="Q268" s="1"/>
  <c r="Q247" s="1"/>
  <c r="I925"/>
  <c r="I742" s="1"/>
  <c r="I458" s="1"/>
  <c r="I224" s="1"/>
  <c r="I931"/>
  <c r="I924" s="1"/>
  <c r="F248"/>
  <c r="F931"/>
  <c r="F924" s="1"/>
  <c r="F925"/>
  <c r="F742" s="1"/>
  <c r="G244"/>
  <c r="I751"/>
  <c r="I467" s="1"/>
  <c r="I756"/>
  <c r="D637"/>
  <c r="D647"/>
  <c r="D636" s="1"/>
  <c r="E244"/>
  <c r="E260"/>
  <c r="I244"/>
  <c r="D940"/>
  <c r="D924" s="1"/>
  <c r="D925"/>
  <c r="D742" s="1"/>
  <c r="J475" l="1"/>
  <c r="P475" s="1"/>
  <c r="R237"/>
  <c r="R260"/>
  <c r="J742"/>
  <c r="P742" s="1"/>
  <c r="P265"/>
  <c r="P260" s="1"/>
  <c r="J260"/>
  <c r="J20"/>
  <c r="P20" s="1"/>
  <c r="P24"/>
  <c r="J134"/>
  <c r="P134" s="1"/>
  <c r="J754"/>
  <c r="P754" s="1"/>
  <c r="J771"/>
  <c r="P771" s="1"/>
  <c r="J174"/>
  <c r="P174" s="1"/>
  <c r="J583"/>
  <c r="P583" s="1"/>
  <c r="J839"/>
  <c r="P839" s="1"/>
  <c r="P847"/>
  <c r="J268"/>
  <c r="P268" s="1"/>
  <c r="J387"/>
  <c r="P387" s="1"/>
  <c r="J636"/>
  <c r="P636" s="1"/>
  <c r="J985"/>
  <c r="P985" s="1"/>
  <c r="P1041"/>
  <c r="J924"/>
  <c r="P924" s="1"/>
  <c r="J1107"/>
  <c r="J1061" s="1"/>
  <c r="P1061" s="1"/>
  <c r="J208"/>
  <c r="P208" s="1"/>
  <c r="J459"/>
  <c r="J19"/>
  <c r="P19" s="1"/>
  <c r="R458"/>
  <c r="R224" s="1"/>
  <c r="R244"/>
  <c r="S756"/>
  <c r="S741" s="1"/>
  <c r="S457" s="1"/>
  <c r="S223" s="1"/>
  <c r="S1167" s="1"/>
  <c r="E458"/>
  <c r="E224" s="1"/>
  <c r="D741"/>
  <c r="D457" s="1"/>
  <c r="D223" s="1"/>
  <c r="D1167" s="1"/>
  <c r="I741"/>
  <c r="I457" s="1"/>
  <c r="I223" s="1"/>
  <c r="I1167" s="1"/>
  <c r="G224"/>
  <c r="F458"/>
  <c r="F224" s="1"/>
  <c r="R741"/>
  <c r="R457" s="1"/>
  <c r="R223" s="1"/>
  <c r="R1167" s="1"/>
  <c r="D458"/>
  <c r="D224" s="1"/>
  <c r="E237"/>
  <c r="E457"/>
  <c r="E223" s="1"/>
  <c r="E1167" s="1"/>
  <c r="Q223"/>
  <c r="Q1167" s="1"/>
  <c r="G223"/>
  <c r="G1167" s="1"/>
  <c r="Q244"/>
  <c r="Q237"/>
  <c r="I237"/>
  <c r="G237"/>
  <c r="F741"/>
  <c r="F457" s="1"/>
  <c r="F223" s="1"/>
  <c r="F1167" s="1"/>
  <c r="J225" l="1"/>
  <c r="P225" s="1"/>
  <c r="P459"/>
  <c r="J458"/>
  <c r="P458" s="1"/>
  <c r="J473"/>
  <c r="P473" s="1"/>
  <c r="J247"/>
  <c r="P247" s="1"/>
  <c r="J751"/>
  <c r="P751" s="1"/>
  <c r="J756"/>
  <c r="P756" s="1"/>
  <c r="J173"/>
  <c r="P173" s="1"/>
  <c r="J574"/>
  <c r="P574" s="1"/>
  <c r="J130"/>
  <c r="P130" s="1"/>
  <c r="P1107"/>
  <c r="J12"/>
  <c r="P12" s="1"/>
  <c r="J129"/>
  <c r="P129" s="1"/>
  <c r="J224" l="1"/>
  <c r="P224" s="1"/>
  <c r="J741"/>
  <c r="P741" s="1"/>
  <c r="J244"/>
  <c r="P244" s="1"/>
  <c r="J467"/>
  <c r="P467" s="1"/>
  <c r="J457" l="1"/>
  <c r="P457" s="1"/>
  <c r="J237"/>
  <c r="P237" s="1"/>
  <c r="J168"/>
  <c r="J66"/>
  <c r="J223" l="1"/>
  <c r="P223" s="1"/>
  <c r="J189"/>
  <c r="J166"/>
  <c r="P1167" l="1"/>
  <c r="J1167"/>
  <c r="J188"/>
  <c r="J144"/>
  <c r="J122" l="1"/>
  <c r="J187"/>
  <c r="K66"/>
  <c r="O66" s="1"/>
  <c r="P66" s="1"/>
  <c r="K166"/>
  <c r="K168"/>
  <c r="O168" s="1"/>
  <c r="P168" s="1"/>
  <c r="K144" l="1"/>
  <c r="O144" s="1"/>
  <c r="P144" s="1"/>
  <c r="O166"/>
  <c r="P166" s="1"/>
  <c r="K189"/>
  <c r="O189" s="1"/>
  <c r="P189" s="1"/>
  <c r="K122" l="1"/>
  <c r="O122" s="1"/>
  <c r="P122" s="1"/>
  <c r="K188"/>
  <c r="O188" s="1"/>
  <c r="P188" s="1"/>
  <c r="K187" l="1"/>
  <c r="O187" s="1"/>
  <c r="P187" s="1"/>
</calcChain>
</file>

<file path=xl/sharedStrings.xml><?xml version="1.0" encoding="utf-8"?>
<sst xmlns="http://schemas.openxmlformats.org/spreadsheetml/2006/main" count="1774" uniqueCount="679">
  <si>
    <t>DENUMIRE INDICATORI</t>
  </si>
  <si>
    <t>COD</t>
  </si>
  <si>
    <t>I</t>
  </si>
  <si>
    <t>II</t>
  </si>
  <si>
    <t>III</t>
  </si>
  <si>
    <t>IV</t>
  </si>
  <si>
    <t>A</t>
  </si>
  <si>
    <t>IMPOZIT PE PROFIT</t>
  </si>
  <si>
    <t xml:space="preserve">Impozit pe profit de la agentii economici </t>
  </si>
  <si>
    <t>01.02.01</t>
  </si>
  <si>
    <t>B</t>
  </si>
  <si>
    <t>COTE SI SUME DEF DIN IMPOZITUL PE VENIT</t>
  </si>
  <si>
    <t>.04.02.01</t>
  </si>
  <si>
    <t>.04.02.04</t>
  </si>
  <si>
    <t>C</t>
  </si>
  <si>
    <t>SUME DEFALCATE DIN TVA (1+2+3)</t>
  </si>
  <si>
    <t>11.02.</t>
  </si>
  <si>
    <t>11.02.01</t>
  </si>
  <si>
    <t xml:space="preserve">Sustinerea sistemului de protectie a copilului </t>
  </si>
  <si>
    <t>Camine persoane varstnice</t>
  </si>
  <si>
    <t>Fructe</t>
  </si>
  <si>
    <t>1.salarii, sporuri , indemnizatii si alte drepturi salariale</t>
  </si>
  <si>
    <t xml:space="preserve">            2.  institutii de cultura preluate</t>
  </si>
  <si>
    <t>Sume def din TVA pentru evidenta populatiei</t>
  </si>
  <si>
    <t>Sume def din TVA reprez. drepturi pt copii cu cerinte educationale speciale integrati in invatamantul de masa H.G. 904/2014</t>
  </si>
  <si>
    <t>Sume def din TVA  pentru drumuri</t>
  </si>
  <si>
    <t>11.02.05</t>
  </si>
  <si>
    <t>Sume def din TVA  pt echil bugete locale</t>
  </si>
  <si>
    <t>11.02.06</t>
  </si>
  <si>
    <t>D</t>
  </si>
  <si>
    <t>Taxe pe utilizarea bunurilor, autoriz. utiliz. bunurilor</t>
  </si>
  <si>
    <t>Impozit asupra mijloacelor de transport pers fizice</t>
  </si>
  <si>
    <t>16.02.02.01</t>
  </si>
  <si>
    <t>Impozit asupra mijloacelor de transport pers juridice</t>
  </si>
  <si>
    <t>16.02.02.02</t>
  </si>
  <si>
    <t>Taxe si tarife pt elib de licente, autorizatii de functionare</t>
  </si>
  <si>
    <t>16.02.03</t>
  </si>
  <si>
    <t>Venituri din proprietate(30.02+31.02)</t>
  </si>
  <si>
    <t>00.13</t>
  </si>
  <si>
    <t>Varsaminte din profitul net</t>
  </si>
  <si>
    <t>30.02.01</t>
  </si>
  <si>
    <t>Restituiri de fonduri din anii precedenti</t>
  </si>
  <si>
    <t>30.02.03</t>
  </si>
  <si>
    <t>Venituri din concesiuni si inchirieri</t>
  </si>
  <si>
    <t>30.02.05</t>
  </si>
  <si>
    <t>Venituri din dividende</t>
  </si>
  <si>
    <t>30.02.08</t>
  </si>
  <si>
    <t>Venituri din dobanzi</t>
  </si>
  <si>
    <t>31.02</t>
  </si>
  <si>
    <t>Alte venituri din dobanzi</t>
  </si>
  <si>
    <t>31.02.03</t>
  </si>
  <si>
    <t>Venituri din prestari servicii si alte activitati</t>
  </si>
  <si>
    <t>Contributia lunara a parintilor</t>
  </si>
  <si>
    <t>33.02.27</t>
  </si>
  <si>
    <t>Venituri din recuperarea cheltuielilor</t>
  </si>
  <si>
    <t>33.02.28</t>
  </si>
  <si>
    <t>33.02.50</t>
  </si>
  <si>
    <t>Amenzi, penalitati si confiscari</t>
  </si>
  <si>
    <t>Venituri din amenzi si alte sanctiuni</t>
  </si>
  <si>
    <t>35.02.01</t>
  </si>
  <si>
    <t>Diverse venituri</t>
  </si>
  <si>
    <t xml:space="preserve">Sume provenite din finantarea </t>
  </si>
  <si>
    <t>36.02.01</t>
  </si>
  <si>
    <t>Alte venituri</t>
  </si>
  <si>
    <t>36.02.50</t>
  </si>
  <si>
    <t>Transferuri voluntare</t>
  </si>
  <si>
    <t>Donatii si sponsorizari</t>
  </si>
  <si>
    <t>37.02.01</t>
  </si>
  <si>
    <t>37.02.03</t>
  </si>
  <si>
    <t>37.02.04</t>
  </si>
  <si>
    <t>Alte transferuri voluntare</t>
  </si>
  <si>
    <t>37.02.50</t>
  </si>
  <si>
    <t>Venituri din capital</t>
  </si>
  <si>
    <t>Venituri din valorif unor bunuri ale instit publice</t>
  </si>
  <si>
    <t>39.02.01</t>
  </si>
  <si>
    <t>Venituri din vanzarea unor bunuri dom. Privat</t>
  </si>
  <si>
    <t>39,02,07</t>
  </si>
  <si>
    <t>Incasari  din rambursarea imprumuturilor acordate</t>
  </si>
  <si>
    <t>Sume din execedentul bugetului</t>
  </si>
  <si>
    <t>E</t>
  </si>
  <si>
    <t>SUBVENTII</t>
  </si>
  <si>
    <t>.00.17</t>
  </si>
  <si>
    <t>Subventii de la bugetul de stat</t>
  </si>
  <si>
    <t xml:space="preserve">Subventii fin prog de pietruire drumuri </t>
  </si>
  <si>
    <t>42.02.09.01</t>
  </si>
  <si>
    <t>Subventii pt finantarea investitiilor in sanatate</t>
  </si>
  <si>
    <t>42.02.16</t>
  </si>
  <si>
    <t>Subv pt.fin aparatura medicala si echip comunic urgenta in sanatate</t>
  </si>
  <si>
    <t>42.02.16.01</t>
  </si>
  <si>
    <t>Subv pt fin rep capitale in sanatate</t>
  </si>
  <si>
    <t>42.02.16.02</t>
  </si>
  <si>
    <t xml:space="preserve">Subv.ptr finant altor investitii in sanatate </t>
  </si>
  <si>
    <t>42.02.16.03</t>
  </si>
  <si>
    <t>Subventii din veniturile proprii ale ministerului Sanatatii catre bug locale pt fin  investitiilor in sanatate</t>
  </si>
  <si>
    <t>42.02.18</t>
  </si>
  <si>
    <t>Asistenta in pregatirea proiectelor prin Programul  Op reg 2007-2013</t>
  </si>
  <si>
    <t>42.02.19</t>
  </si>
  <si>
    <t>Subventii pt sustinerea Proiecte FEN postaderare</t>
  </si>
  <si>
    <t>42.02.20</t>
  </si>
  <si>
    <t>Finantarea drepturilor persoanelor cu handicap</t>
  </si>
  <si>
    <t>42.02.21</t>
  </si>
  <si>
    <t>Subventii primite din Fondul de Interventie</t>
  </si>
  <si>
    <t>42.02.28</t>
  </si>
  <si>
    <t>Subventii din bugetul de stat pentru finantarea sanatatii</t>
  </si>
  <si>
    <t>42.02.41</t>
  </si>
  <si>
    <t>Subventii primite in cadrul prog FEGA  implementate de APIA</t>
  </si>
  <si>
    <t>42.02.42</t>
  </si>
  <si>
    <t>Subventii pt finantarea UAMS</t>
  </si>
  <si>
    <t>42.02.35</t>
  </si>
  <si>
    <t>Subventii  pentru finantarea camerelor agricole</t>
  </si>
  <si>
    <t>42.02.44</t>
  </si>
  <si>
    <t>Subventii ptr realizarea obiectivelor de inv in turism</t>
  </si>
  <si>
    <t>42.02.40</t>
  </si>
  <si>
    <t>Subventii primite de la bugetul de stat pt finantarea unor programe de interes national</t>
  </si>
  <si>
    <t>42.02.51.01</t>
  </si>
  <si>
    <t>Subventii de la bugetul de stat pt. fin. investitiilor pt. instit. publ. de asist. soc. si UAMS</t>
  </si>
  <si>
    <t>42.02.52</t>
  </si>
  <si>
    <t>Subventii primite de la bugetul de stat pt finantarea subprogramului infrastructura la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</si>
  <si>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</si>
  <si>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</si>
  <si>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</si>
  <si>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</si>
  <si>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</si>
  <si>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F</t>
  </si>
  <si>
    <t>Sume primite in contul platilor efectuate in anul curent</t>
  </si>
  <si>
    <t>Sume primite in contul platilor efectuate in anii anteriori</t>
  </si>
  <si>
    <t>Prefinantare</t>
  </si>
  <si>
    <t>45.02.02.02</t>
  </si>
  <si>
    <t xml:space="preserve">PCF PER 2007-2013 </t>
  </si>
  <si>
    <t>Sume primite in contul platilor efectuate in anii curent</t>
  </si>
  <si>
    <t>PROGRAMUL NORVEGIAN</t>
  </si>
  <si>
    <t>45.02.18</t>
  </si>
  <si>
    <t>VENITURI - SECTIUNEA FUNCTIONARE</t>
  </si>
  <si>
    <t xml:space="preserve">Cote defalcate din impozitul pe venit </t>
  </si>
  <si>
    <t xml:space="preserve">Sume din impozit pe venit  pentru echilibrare </t>
  </si>
  <si>
    <t>Sume def din TVA pt fin chelt descentraliz</t>
  </si>
  <si>
    <t>Invatamant special</t>
  </si>
  <si>
    <t>Cultura si culte din care:</t>
  </si>
  <si>
    <t xml:space="preserve">               personal neclerical</t>
  </si>
  <si>
    <t xml:space="preserve">               institutii de cultura preluate</t>
  </si>
  <si>
    <t>Taxe pe utilizarea bunurilor, autorizarea uiliz bunurilor</t>
  </si>
  <si>
    <t>Taxe si tarife pt elib de licente, autorizatii de funct</t>
  </si>
  <si>
    <t>Venituri din aplicarea prescriptiei extinctive</t>
  </si>
  <si>
    <t>Varsaminte din sectiunea de functionare</t>
  </si>
  <si>
    <t>Incasari din ramb imprum acordate</t>
  </si>
  <si>
    <t>Subventii pt fin UMS</t>
  </si>
  <si>
    <t>Subventii primite de la bugetul de stat pt finantarea unor programe de interes national destinate sectiunii de functionare a bugetului local</t>
  </si>
  <si>
    <t>VENITURI - SECTIUNEA  DE DEZVOLTARE</t>
  </si>
  <si>
    <t>Transferuri voluntare, altele decat subventiile</t>
  </si>
  <si>
    <t>37.02</t>
  </si>
  <si>
    <t>42.02</t>
  </si>
  <si>
    <t>Subventii pt sustinerea Proiectelor FEN postaderare</t>
  </si>
  <si>
    <t>SECTIUNEA DE FUNCTIONARE</t>
  </si>
  <si>
    <t>Cheltuieli curente</t>
  </si>
  <si>
    <t xml:space="preserve">  I.             cheltuieli de personal</t>
  </si>
  <si>
    <t xml:space="preserve"> II.              cheltuieli materiale</t>
  </si>
  <si>
    <t>III. Dobanzi aferente datoriei publice interne</t>
  </si>
  <si>
    <t>V. Fond de rezerva bugetara</t>
  </si>
  <si>
    <t>VI. Transferuri catre institutii publice</t>
  </si>
  <si>
    <t>VII Alte transferuri interne</t>
  </si>
  <si>
    <t>VIII Asistenta sociala</t>
  </si>
  <si>
    <t xml:space="preserve">IX Alte cheltuieli </t>
  </si>
  <si>
    <t>Operatiuni financiare</t>
  </si>
  <si>
    <t>Plati efectuate in anii precedenti si recuperate in anul curent</t>
  </si>
  <si>
    <t>SECTIUNEA DE DEZVOLTARE</t>
  </si>
  <si>
    <t xml:space="preserve">Transferuri intre unitati ale administratiei publice </t>
  </si>
  <si>
    <t>Transferuri pentru finantarea investitiilor la spitale</t>
  </si>
  <si>
    <t>51.02.12</t>
  </si>
  <si>
    <t>Transferuri pt fin chelt de capital din domeniul sanatatii</t>
  </si>
  <si>
    <t>51.02.28</t>
  </si>
  <si>
    <t>Alte transferuri  de capital catre institutii publice</t>
  </si>
  <si>
    <t>51.02.29</t>
  </si>
  <si>
    <t xml:space="preserve">Alte transferuri </t>
  </si>
  <si>
    <t>Proiecte cu finantare FEN</t>
  </si>
  <si>
    <t>X Cheltuieli de capital</t>
  </si>
  <si>
    <t>V. fond de rezerva bugetara</t>
  </si>
  <si>
    <t>Ajutoare sociale in numerar</t>
  </si>
  <si>
    <t>Alte cheltuieli</t>
  </si>
  <si>
    <t>VI Transferuri intre unitati ale admin. Publice</t>
  </si>
  <si>
    <t>Alte transf. de capital catre institutii publice</t>
  </si>
  <si>
    <t>Transferuri interne</t>
  </si>
  <si>
    <t>AUTORITATI PUBLICE SI ACTIUNI EXTERNE</t>
  </si>
  <si>
    <t>51.02.01.03</t>
  </si>
  <si>
    <t>Alte transferuri curente interne</t>
  </si>
  <si>
    <t>55.01.18</t>
  </si>
  <si>
    <t>57.02</t>
  </si>
  <si>
    <t xml:space="preserve">Transferuri de capital   </t>
  </si>
  <si>
    <t>51.02</t>
  </si>
  <si>
    <t>Transferuri din bugetele proprii ale judetelor catre bugetele locale in vederea asig fd necesare implementarii proiectelor finantate din FEN</t>
  </si>
  <si>
    <t>51.02.45</t>
  </si>
  <si>
    <t>55.01</t>
  </si>
  <si>
    <t>Programe de dezvoltare</t>
  </si>
  <si>
    <t>55.01.13</t>
  </si>
  <si>
    <t>X. Cheltuieli de capital</t>
  </si>
  <si>
    <t>Constructii</t>
  </si>
  <si>
    <t>71.01.01</t>
  </si>
  <si>
    <t>Masini, echipamente si mijloace de transport</t>
  </si>
  <si>
    <t>71.01.02</t>
  </si>
  <si>
    <t>Mobilier, aparatura birotica</t>
  </si>
  <si>
    <t>71.01.03</t>
  </si>
  <si>
    <t>Alte active fixe</t>
  </si>
  <si>
    <t>71.01.30</t>
  </si>
  <si>
    <t>Reparatii capitale</t>
  </si>
  <si>
    <t>71.03</t>
  </si>
  <si>
    <t xml:space="preserve">Finanatare nationala </t>
  </si>
  <si>
    <t>56.01.01</t>
  </si>
  <si>
    <t>Finantare de la UE</t>
  </si>
  <si>
    <t>56.01.02</t>
  </si>
  <si>
    <t>56.01.03</t>
  </si>
  <si>
    <t>Cheltuieli neeligibile</t>
  </si>
  <si>
    <t>54.02</t>
  </si>
  <si>
    <t>2.a</t>
  </si>
  <si>
    <t xml:space="preserve"> Fond de rezerva bugetara la dispozitia autoritatilor locale</t>
  </si>
  <si>
    <t>50.04</t>
  </si>
  <si>
    <t>2.b</t>
  </si>
  <si>
    <t>54.02.10</t>
  </si>
  <si>
    <t>51.01.01</t>
  </si>
  <si>
    <t xml:space="preserve"> Alte  transferuri de capital catre institutii publice</t>
  </si>
  <si>
    <t>2.c</t>
  </si>
  <si>
    <t xml:space="preserve">   RAMBURSARI DE CREDITE</t>
  </si>
  <si>
    <t>54.02.50</t>
  </si>
  <si>
    <t>XIII. Rambursari de credite</t>
  </si>
  <si>
    <t xml:space="preserve">Rambursare imprumuturi interne </t>
  </si>
  <si>
    <t>81.02.05</t>
  </si>
  <si>
    <t>Rambursare imprumuturi externe</t>
  </si>
  <si>
    <t>81.01.05</t>
  </si>
  <si>
    <t>2.d</t>
  </si>
  <si>
    <t>ALTE SERVICII PUBLICE GENERALE - ALEGERI</t>
  </si>
  <si>
    <t>CAPITAL</t>
  </si>
  <si>
    <t>2.e</t>
  </si>
  <si>
    <t xml:space="preserve"> TRANFERURI CATRE UNITATILE IN EXTREMA DIFICULTATE</t>
  </si>
  <si>
    <t>Transferuri din bugetele consiliilor locale şi judeţene pentru acordarea unor ajutoare către unităţile administrativ-teritoriale în situaţii de extremă dificultate</t>
  </si>
  <si>
    <t>51.01.24</t>
  </si>
  <si>
    <t xml:space="preserve">TRANZACTII PRIVIND DATORIA PUBLICA </t>
  </si>
  <si>
    <t>55.02</t>
  </si>
  <si>
    <t>20.24.02</t>
  </si>
  <si>
    <t xml:space="preserve">III. Dobanzi aferente datoriei publice </t>
  </si>
  <si>
    <t xml:space="preserve">         Dobanzi aferente datoriei publice interne</t>
  </si>
  <si>
    <t>30.01.01</t>
  </si>
  <si>
    <t xml:space="preserve">         Dobanzi aferente datoriei publice externe</t>
  </si>
  <si>
    <t>Alte cheltuieli - ajutoare calamitati</t>
  </si>
  <si>
    <t>59.02</t>
  </si>
  <si>
    <t>1.a</t>
  </si>
  <si>
    <t>CENTRUL MILITAR JUDETEAN ARGES</t>
  </si>
  <si>
    <t>60.02.02</t>
  </si>
  <si>
    <t>Masini , echipamente si mijloace de transport</t>
  </si>
  <si>
    <t>1.b</t>
  </si>
  <si>
    <t>STRUCTURA TERITORIALA PENTRU PROBLEME SPECIALE ARGES</t>
  </si>
  <si>
    <t>INSPECTORATUL GENERAL PENTRU SITUATII DE URGENTA</t>
  </si>
  <si>
    <t>61.02.05.02</t>
  </si>
  <si>
    <t>VI Transferuri</t>
  </si>
  <si>
    <t>85.01</t>
  </si>
  <si>
    <t>Transferuri de capital - pt fin investitiilor la spitale</t>
  </si>
  <si>
    <t>Alte transferuri</t>
  </si>
  <si>
    <t>65.02</t>
  </si>
  <si>
    <t>1.1.</t>
  </si>
  <si>
    <t>65.02.07.04</t>
  </si>
  <si>
    <t>Asistenta sociala</t>
  </si>
  <si>
    <t>1.1.a</t>
  </si>
  <si>
    <t>CENTRUL SCOLAR DE EDUCATIE INCLUZIVA "SF. FILOFTEIA" STEFANESTI</t>
  </si>
  <si>
    <t>65.02.07.04.01</t>
  </si>
  <si>
    <t xml:space="preserve">Ajutoare sociale </t>
  </si>
  <si>
    <t>1.1.b</t>
  </si>
  <si>
    <t>CENTRUL SCOLAR DE EDUCATIE INCLUZIVA "SF. NICOLAE" CAMPULUNG</t>
  </si>
  <si>
    <t>65.02.07.04.02</t>
  </si>
  <si>
    <t>1.1.c</t>
  </si>
  <si>
    <t>65.02.07.04.03</t>
  </si>
  <si>
    <t>Asistenta sociala- Ajutoare sociale in numerar</t>
  </si>
  <si>
    <t>57.02.01</t>
  </si>
  <si>
    <t xml:space="preserve">X. Cheltuieli de capital  </t>
  </si>
  <si>
    <t>1.1.d</t>
  </si>
  <si>
    <t>65.02.07.04.04</t>
  </si>
  <si>
    <t>1.1.e</t>
  </si>
  <si>
    <t>1.2.</t>
  </si>
  <si>
    <t>65.02.50</t>
  </si>
  <si>
    <t>Transferuri de la bugetul judetului catre bugetele locale pentru plata drepturilor de care beneficiaza copiii cu cerinte educationale speciale integrati in invatamantul de masa</t>
  </si>
  <si>
    <t>51.01.64</t>
  </si>
  <si>
    <t>Ajutoare sociale in natura</t>
  </si>
  <si>
    <t>57.02.02</t>
  </si>
  <si>
    <t>1.1.f</t>
  </si>
  <si>
    <t>65.02.11.30</t>
  </si>
  <si>
    <t>2.1.</t>
  </si>
  <si>
    <t>ALTE INSTITUTII SI ACTIUNI SANITARE</t>
  </si>
  <si>
    <t>66.02.50.50</t>
  </si>
  <si>
    <t>VI Transferuri curente, din care:</t>
  </si>
  <si>
    <t>51.01</t>
  </si>
  <si>
    <t>Actiuni de sanatate</t>
  </si>
  <si>
    <t>51.01.03</t>
  </si>
  <si>
    <t>2.2.</t>
  </si>
  <si>
    <t>66.02.06.03</t>
  </si>
  <si>
    <t>VI Transferuri pt fin UMS</t>
  </si>
  <si>
    <t>51.01.39</t>
  </si>
  <si>
    <t>2.2.a</t>
  </si>
  <si>
    <t>UNITATEA DE ASISTENTA MEDICO-SOCIALA CALINESTI</t>
  </si>
  <si>
    <t>2.2.b</t>
  </si>
  <si>
    <t>UNITATEA DE ASISTENTA MEDICO-SOCIALA DEDULESTI</t>
  </si>
  <si>
    <t>2.2.c</t>
  </si>
  <si>
    <t>UNITATEA DE ASISTENTA MEDICO-SOCIALA  SUICI</t>
  </si>
  <si>
    <t>2.2.d</t>
  </si>
  <si>
    <t xml:space="preserve">UNITATEA DE ASISTENTA MEDICO-SOCIALA RUCAR </t>
  </si>
  <si>
    <t>2.2.e</t>
  </si>
  <si>
    <t>UNITATEA DE ASISTENTA MEDICO-SOCIALA  DOMNESTI</t>
  </si>
  <si>
    <t>67.02</t>
  </si>
  <si>
    <t>3.1.</t>
  </si>
  <si>
    <t>67.02.03</t>
  </si>
  <si>
    <t>56.16.03</t>
  </si>
  <si>
    <t>3.2.</t>
  </si>
  <si>
    <t>MUZEUL JUDETEAN ARGES</t>
  </si>
  <si>
    <t>67.02.03.02.01</t>
  </si>
  <si>
    <t>PROIECT " Muzeul Judetean Arges - mostenire culturala, istorie si continuitate</t>
  </si>
  <si>
    <t>67.02.03.02</t>
  </si>
  <si>
    <t>Finantare nationala</t>
  </si>
  <si>
    <t>PROIECT " Castru Jidova simbol al Romei la granita imperiu si lumea barbara"</t>
  </si>
  <si>
    <t>67.02.50</t>
  </si>
  <si>
    <t>Finantare UE</t>
  </si>
  <si>
    <t>MUZEUL VITICULTURII SI POMICULTURII GOLESTI</t>
  </si>
  <si>
    <t>67.02.03.02.02</t>
  </si>
  <si>
    <t>TEATRUL "AL. DAVILA" PITESTI</t>
  </si>
  <si>
    <t>67.02.03.04</t>
  </si>
  <si>
    <t>SCOALA POPULARA DE ARTE SI MESERII PITESTI</t>
  </si>
  <si>
    <t>67.02.03.05</t>
  </si>
  <si>
    <t>67.02.03.08</t>
  </si>
  <si>
    <t>PERSONAL NECLERICAL</t>
  </si>
  <si>
    <t>67.02.50.02</t>
  </si>
  <si>
    <t>IX Alte cheltuieli - contrib salariz pers neclerical</t>
  </si>
  <si>
    <t>67.02.50.01</t>
  </si>
  <si>
    <t>Programe Phare si alte progr. cu finantare neramb.</t>
  </si>
  <si>
    <t>55.01.08</t>
  </si>
  <si>
    <t>SERVICII RECREATIVE SI SPORTIVE</t>
  </si>
  <si>
    <t>67.02.05.02</t>
  </si>
  <si>
    <t>68.02.06</t>
  </si>
  <si>
    <t>Ajutoare sociale in natura -tichete</t>
  </si>
  <si>
    <t xml:space="preserve">Alte cheltuieli </t>
  </si>
  <si>
    <t>Drepturi persoane cu handicap</t>
  </si>
  <si>
    <t xml:space="preserve">        Cheltuieli materiale - drepturi pers handicap</t>
  </si>
  <si>
    <t xml:space="preserve">        Asist. Soc.- drepturi pers cu handicap</t>
  </si>
  <si>
    <t xml:space="preserve">Ajutoare sociale in natura </t>
  </si>
  <si>
    <t>Fnantare nationala</t>
  </si>
  <si>
    <t>56.02</t>
  </si>
  <si>
    <t>Mobilier , aparatura birotica</t>
  </si>
  <si>
    <t>4.2.</t>
  </si>
  <si>
    <t>68.02.04</t>
  </si>
  <si>
    <t>4.2.a</t>
  </si>
  <si>
    <t>CENTRUL DE INGRIJIRE SI ASISTENTA PITESTI</t>
  </si>
  <si>
    <t>68.02.04.01</t>
  </si>
  <si>
    <t>4.2.b</t>
  </si>
  <si>
    <t>CENTRUL DE INGRIJIRE SI ASISTENTA BASCOVELE</t>
  </si>
  <si>
    <t>68.02.04.02</t>
  </si>
  <si>
    <t>4.2.c.1</t>
  </si>
  <si>
    <t>CENTRUL DE INTEGRARE PRIN TERAPIE OCUPATIONALA TIGVENI</t>
  </si>
  <si>
    <t>68.02.05.02.01</t>
  </si>
  <si>
    <t>COMPLEXUL DE LOCUINTE PROTEJATE TIGVENI</t>
  </si>
  <si>
    <t>COMPLEXUL DE SERVICII PENTRU PERSOANE CU DIZABILITATI VULTURESTI</t>
  </si>
  <si>
    <t>68.02.05.02.03</t>
  </si>
  <si>
    <t>CENTRUL VULTURESTI</t>
  </si>
  <si>
    <t>68.02.05.02.04</t>
  </si>
  <si>
    <t>4.2.e</t>
  </si>
  <si>
    <t>CAMIN PERSOANE VARSTNICE MOZACENI</t>
  </si>
  <si>
    <t>4.3.</t>
  </si>
  <si>
    <t>4.3.a</t>
  </si>
  <si>
    <t>4.3.b</t>
  </si>
  <si>
    <t>4.3.c</t>
  </si>
  <si>
    <t>UNITATEA DE ASISTENTA MEDICO-SOCIALA SUICI</t>
  </si>
  <si>
    <t>4.3.d</t>
  </si>
  <si>
    <t>UNITATEA DE ASISTENTA MEDICO-SOCIALA RUCAR</t>
  </si>
  <si>
    <t>4.3.e</t>
  </si>
  <si>
    <t>UNITATEA DE ASISTENTA MEDICO-SOCIALA DOMNESTI</t>
  </si>
  <si>
    <t>4.4.</t>
  </si>
  <si>
    <t>68.02.50.04</t>
  </si>
  <si>
    <t>SERVICIUL PUBLIC JUDETEAN SALVAMONT ARGES</t>
  </si>
  <si>
    <t>70.02.50</t>
  </si>
  <si>
    <t>PROIECT "Zona montana a Argesului  si Muscelului diversitate si unicitate in Romania"</t>
  </si>
  <si>
    <t>1.3.</t>
  </si>
  <si>
    <t>PROIECT "Extindere si reabilitare  infrastructura de apa si apa uzata"</t>
  </si>
  <si>
    <t>70.02.05.01</t>
  </si>
  <si>
    <t>1.4.</t>
  </si>
  <si>
    <t>20.30.30</t>
  </si>
  <si>
    <t>Cheltuieli materiale</t>
  </si>
  <si>
    <t>Sume FEN postaderare</t>
  </si>
  <si>
    <t>COLECTARE , TRATARE  DESEURI - UIP</t>
  </si>
  <si>
    <t>74.02.05.02</t>
  </si>
  <si>
    <t>MANAGEMENTUL INTEGRAT AL DESEURILOR SOLIDE JUDETUL ARGES</t>
  </si>
  <si>
    <t>Finanatare de la UE</t>
  </si>
  <si>
    <t xml:space="preserve">Cheltuieli neeligibile </t>
  </si>
  <si>
    <t>V</t>
  </si>
  <si>
    <t>Transferuri curente</t>
  </si>
  <si>
    <t>VII ALTE TRANSFERURI - Progr de dezvoltare</t>
  </si>
  <si>
    <t>Transferuri din bugetul local către asociaţiile de dezvoltare intercomunitară</t>
  </si>
  <si>
    <t>55.01.42</t>
  </si>
  <si>
    <t xml:space="preserve"> II.  cheltuieli materiale</t>
  </si>
  <si>
    <t>PROGRAME DE DEZVOLTARE REGIONALA</t>
  </si>
  <si>
    <t>80.02.01.10</t>
  </si>
  <si>
    <t>80.02.01.30</t>
  </si>
  <si>
    <t>20.30.02</t>
  </si>
  <si>
    <t>PREVENIRE SI COMBATERE INUNDATII</t>
  </si>
  <si>
    <t>80.02.01.06</t>
  </si>
  <si>
    <t>Alte cheltuieli  - alte ajutoare</t>
  </si>
  <si>
    <t>AGRICULTURA SI SILVICULTURA</t>
  </si>
  <si>
    <t>Alte cheltuieli in domeniul agriculturii</t>
  </si>
  <si>
    <t>83.02.03</t>
  </si>
  <si>
    <t>CAMERA AGRICOLA ARGES</t>
  </si>
  <si>
    <t>83.02.03.07</t>
  </si>
  <si>
    <t>Transferuri  din bugetele locale pentru finantarea camerelor agricole</t>
  </si>
  <si>
    <t>51.01.49</t>
  </si>
  <si>
    <t xml:space="preserve">TRANSPORTURI </t>
  </si>
  <si>
    <t xml:space="preserve">DRUMURI SI PODURI JUDETENE </t>
  </si>
  <si>
    <t>84.02.03.01</t>
  </si>
  <si>
    <t>CHELTUIELI DE CAPITAL  - INVESTITII</t>
  </si>
  <si>
    <t>87,02,04</t>
  </si>
  <si>
    <t>ProiecteFEN</t>
  </si>
  <si>
    <t xml:space="preserve"> DEFICIT</t>
  </si>
  <si>
    <t>Proiect "Sprijin pentru pregatirea aplicatiei de finantare si a documentatiiilor de atribuire  pentru Proiectul Regional de Dezvoltare a Infrastructurii de apa si apa uzata  din judetul Arges in perioada 2014-2020"</t>
  </si>
  <si>
    <t xml:space="preserve">Programe din Fondul European de Dezvoltare Regionala </t>
  </si>
  <si>
    <t>58,01,03</t>
  </si>
  <si>
    <t xml:space="preserve">Contributia de intretinere a persoanelor asitate </t>
  </si>
  <si>
    <t>33,02,13</t>
  </si>
  <si>
    <t>PROIECT "Restaurarea galeriei de Arta"Rudolf Schweitzer-Cumpana"-Consolidarea, protejarea si valorificarea patrimoniului cultural</t>
  </si>
  <si>
    <t>PROIECT "Restaurarea Muzeului Judetean Arges- Consolidarea, protejarea  si valorificarea patrimoniului cultural"</t>
  </si>
  <si>
    <t>PROIECT "Conservarea si consolidarea Cetatii Poienari"</t>
  </si>
  <si>
    <t xml:space="preserve">PROIECT "Cresterea eficientei energetice a Spitalului de Recuperare Bradet </t>
  </si>
  <si>
    <t>PROIECT "Modernizarea drumului judetean DJ504 lim Jud Teleorman-Popesti-Izvoru-Recea-Cornatel-Vulpesti(DN 65A),km 110+700-136+695, L=25,995 km, pe raza Com. Popesti, Izvoru, Recea, Buzoiesti, Jud Arges</t>
  </si>
  <si>
    <t xml:space="preserve">Despagubiri civile </t>
  </si>
  <si>
    <t xml:space="preserve"> Servicii de expertiza tehnica structurala, studii de teren, audit energetic, DALI/SF, documentatii, avize solicitate  prin Certificat de Urbanism pentru obiectivul "Extindere modernizare si dotare spatii Urgenta Spitalul de Pediatrie  Pitesti</t>
  </si>
  <si>
    <t xml:space="preserve"> Servicii de expertiza tehnica structurala, studii de teren, audit energetic, DALI/SF, documentatii, avize solicitate  prin Certificat de Urbanism pentru obiectivul"Extindere si dotare spatii Urgenta si amenajari incinta Spitalul de Urgenta  Pitesti</t>
  </si>
  <si>
    <t xml:space="preserve">SF Extindere spatiu  Ambulatoriu integrat al Spitalului Judetean de Urgenta Pitesti precum si dotarea acestuia </t>
  </si>
  <si>
    <t>SFExtindere, modernizarea si dotarea  Ambulatoriului Integrat al spitalului cu componentele structurale Centrul de Sanatate Mintala si Laboratorul de recuperare, medicina fizica si balneologie (baza de tratament)</t>
  </si>
  <si>
    <t>Sume def din TVA pentru finantarea cheltuielilor descentralizate  :</t>
  </si>
  <si>
    <t>hotarari judecatoresti</t>
  </si>
  <si>
    <t xml:space="preserve">       Drepturi copii cu cerinte educationale speciale care frecventeaza invatamantul special </t>
  </si>
  <si>
    <t xml:space="preserve">ASOCIATIA DE DEZVOLTARE INTERCOMUNITARA MOLIVISU - </t>
  </si>
  <si>
    <t xml:space="preserve">ALTE ACTIUNI ECONOMICE </t>
  </si>
  <si>
    <t xml:space="preserve">Servicii de expertiza tehnica structurala , studii de teren SF , documentatii, avize solicitate prin Certificatul de Urbanism pentru obiectivul de investitii Cale de acces mecanizata Cetatea Poienari </t>
  </si>
  <si>
    <t>4.2.d</t>
  </si>
  <si>
    <t>4.2.f</t>
  </si>
  <si>
    <t>4.2.g</t>
  </si>
  <si>
    <t>4.2.h</t>
  </si>
  <si>
    <t>SUME PRIMITE DE LA UE /ALTI DONATORI IN CONTUL PLATILOR EFECTUATE SI PREFINANTARI AFERENTE CADRULUI FINANCIAR 2014-2020</t>
  </si>
  <si>
    <t>48.02.01.01</t>
  </si>
  <si>
    <t>48.02.01.02</t>
  </si>
  <si>
    <t>48.02.01.03</t>
  </si>
  <si>
    <t>48.02.01</t>
  </si>
  <si>
    <t>48.02</t>
  </si>
  <si>
    <t>Proiecte cu finantare FEN aferente cadrului financiar 2014-2020</t>
  </si>
  <si>
    <t xml:space="preserve">Finantare externa nerambursabila </t>
  </si>
  <si>
    <t>58.01.02</t>
  </si>
  <si>
    <t>58.01.03</t>
  </si>
  <si>
    <t>SF + PT - Marirea capacitatii sistemului de alimentare cu apa in Comuna Cuca si Moraresti</t>
  </si>
  <si>
    <t xml:space="preserve">Expertiza tehnica si PT pentru reamplasarea punctului termic si a instalatiilor aferente existente - centrul de Radioterapie - Spitalul Judetean de Urgenta </t>
  </si>
  <si>
    <t xml:space="preserve">CENTRUL   CULTURAL JUDETEAN ARGES </t>
  </si>
  <si>
    <t xml:space="preserve">                alte cheltuieli</t>
  </si>
  <si>
    <t xml:space="preserve">                 alte cheltuieli</t>
  </si>
  <si>
    <t xml:space="preserve">Centrele pentru persoane adulte cu handicap </t>
  </si>
  <si>
    <t xml:space="preserve">Programul pentru scoli  al Romaniei </t>
  </si>
  <si>
    <t>.3.6</t>
  </si>
  <si>
    <t>.3.7</t>
  </si>
  <si>
    <t>.3.8</t>
  </si>
  <si>
    <t>.3.9</t>
  </si>
  <si>
    <t>.3.10</t>
  </si>
  <si>
    <t>.3.11</t>
  </si>
  <si>
    <t>.2.1</t>
  </si>
  <si>
    <t>.2.2</t>
  </si>
  <si>
    <t>.3.1</t>
  </si>
  <si>
    <t xml:space="preserve"> Cheltuieli de capital - Total, din care:</t>
  </si>
  <si>
    <t xml:space="preserve">  ALTE CHELTUIELI - PROGRAMUL PENTRU SCOLI AL ROMANIEI </t>
  </si>
  <si>
    <t xml:space="preserve">      Cheltuieli cu bunuri si servicii</t>
  </si>
  <si>
    <t>Invatamant special , din care :</t>
  </si>
  <si>
    <t xml:space="preserve"> DIRECTIA GENERALA DE ASISTENTA SOCIALA SI PROTECTIA COPILULUI ARGES</t>
  </si>
  <si>
    <t>.4.1.1</t>
  </si>
  <si>
    <t>.4.1.2</t>
  </si>
  <si>
    <t>ALTE CHELTUIELI PENTRU ACTIUNI GENERALE ECONOMICE</t>
  </si>
  <si>
    <t>71,01,02</t>
  </si>
  <si>
    <t xml:space="preserve">Alte chelt </t>
  </si>
  <si>
    <t xml:space="preserve">          Finantare nationala</t>
  </si>
  <si>
    <t>58.01.01</t>
  </si>
  <si>
    <t xml:space="preserve">          Fonduri externe nerambursabile</t>
  </si>
  <si>
    <t xml:space="preserve">         Cofinantare si chelt neeligibile</t>
  </si>
  <si>
    <t>PROIECT "Cresterea eficientei energetice a Palatului Administrativ, Pitesti Piata Vasile Milea nr. 1, Jud Arges</t>
  </si>
  <si>
    <t>PROIECT " Certificarea activitatilor Consiliului Judetean Arges si dezvoltarea abilitatilor personalului in concordanta cu prevederile SCAP  (PROGRAMUL Operational Capacitate Administrativa )</t>
  </si>
  <si>
    <t>PNDL I</t>
  </si>
  <si>
    <t>PNDL II</t>
  </si>
  <si>
    <t xml:space="preserve">ALTE OBIECTIVE </t>
  </si>
  <si>
    <t>PNDL II Consolidare si Reabilitare Spital Judetean De Urgenta Pitesti</t>
  </si>
  <si>
    <t>Subventii pt sustinerea Proiecte FEN postaderare AFERENTE 2014-2020</t>
  </si>
  <si>
    <t>42.02.69</t>
  </si>
  <si>
    <t>58.02.01</t>
  </si>
  <si>
    <t>58.02.02</t>
  </si>
  <si>
    <t>58.02.03</t>
  </si>
  <si>
    <t xml:space="preserve">Subventii pentru realizarea activitatii de colectare transport depozitare si neutralizare a deseurilor de origine animala </t>
  </si>
  <si>
    <t>42.02.73</t>
  </si>
  <si>
    <t xml:space="preserve">ALTE SUME PRIMITE DE LA UNIUNEA EUROPEANA </t>
  </si>
  <si>
    <t>46.02</t>
  </si>
  <si>
    <t>48.02.02</t>
  </si>
  <si>
    <t>48.02.02.01</t>
  </si>
  <si>
    <t>48.02.02.02</t>
  </si>
  <si>
    <t>48.02.02.03</t>
  </si>
  <si>
    <t>48.02.15</t>
  </si>
  <si>
    <t>48.02.15.01</t>
  </si>
  <si>
    <t>48.02.15.02</t>
  </si>
  <si>
    <t>48.02.15.03</t>
  </si>
  <si>
    <t>PROIECT " Imbunatatirea accesului populatiei din judetele Arges, Teleorman si Calarasi la servicii medicale de urgenta "</t>
  </si>
  <si>
    <t>PROIECT " Asigurarea accesului la servicii de sanatate in regim ambulatoriu pentru populatia judetelor  Arges, Teleorman si Calarasi"</t>
  </si>
  <si>
    <t xml:space="preserve">PROIECT "TEAM-UP: Progres in calitatea ingrijirii alternative a copiilor </t>
  </si>
  <si>
    <t>58.15.01</t>
  </si>
  <si>
    <t>58.15.02</t>
  </si>
  <si>
    <t>58.15.03</t>
  </si>
  <si>
    <t>PROIECT " Alternative for Social Suport Inspiring Transformation" ASSIST- 785710</t>
  </si>
  <si>
    <t>plati efectuate in anii precedenti si recuperate in anul curen85,01</t>
  </si>
  <si>
    <t>Plati</t>
  </si>
  <si>
    <t>Plati efectuate in anii precedenti</t>
  </si>
  <si>
    <t>57.02,01</t>
  </si>
  <si>
    <t>PROIECT "Extindere, modernizare si dotare spatii urgenta  Spitalul de Pediatrie Pitesti"</t>
  </si>
  <si>
    <t xml:space="preserve">FONDUL EUROPEAN DE DEZVOLTARE REGIONALA </t>
  </si>
  <si>
    <t xml:space="preserve">FONDUL SOCIAL EUROPEAN </t>
  </si>
  <si>
    <t>58.02</t>
  </si>
  <si>
    <t>42,02,73</t>
  </si>
  <si>
    <t>SPITALUL JUDETEAN DE URGENTA PITESTI</t>
  </si>
  <si>
    <t>SPITALUL DE PEDIATRIE PITESTI</t>
  </si>
  <si>
    <t>COMPLEXUL DE LOCUINTE PROTEJATE BUZOESTI</t>
  </si>
  <si>
    <t xml:space="preserve">Contributia de intretinere a persoanelor asistate </t>
  </si>
  <si>
    <t>PROIECT "Complex de 3 Locuinte protejate si centru  de zi, Comuna Babana, sat Lupueni, Judetul Arges"</t>
  </si>
  <si>
    <t>PROIECT "Complex de 4 Locuinte protejate si centru  de zi, Comuna Tigveni, sat Barsestii de Jos, Judetul Arges"</t>
  </si>
  <si>
    <t>PROIECT "Complex de 4 Locuinte protejate si centru  de zi, Comuna Tigveni, sat Balilesti, Judetul Arges"</t>
  </si>
  <si>
    <t>PROIECT "Complex de 4 Locuinte protejate si centru  de zi, Comuna Ciofrangeni, sat Ciofrangeni, Judetul Arges"</t>
  </si>
  <si>
    <t xml:space="preserve">X. Cheltuieli de capital </t>
  </si>
  <si>
    <t xml:space="preserve"> Fondul European de Dezvoltare Regională (FEDR)  </t>
  </si>
  <si>
    <t>Fondul Social European (FSE)</t>
  </si>
  <si>
    <t>Alte programe comunitare finantate in perioada 2014-2020(APC)</t>
  </si>
  <si>
    <t>PROIECT "Modernizarea drumului judetean DJ 503 lim. Jud. Dambovita- Slobozia - Rociu - Oarja - Catanele  (DJ702 G - KM 3+824), KM 98+000 -140+034 (42,034 KM) , Jud Arges</t>
  </si>
  <si>
    <t>.2.3</t>
  </si>
  <si>
    <t xml:space="preserve">Finantare nationala </t>
  </si>
  <si>
    <t xml:space="preserve">COLECTARE  TRATARE   SI DISTRUGERE DESEURI </t>
  </si>
  <si>
    <t>.3.3</t>
  </si>
  <si>
    <t>.3.4.</t>
  </si>
  <si>
    <t>.3.5</t>
  </si>
  <si>
    <t>PROIECT "Extindere si dotare spatii urgenta si amenajari incinta  Spitalul  Judetean de Urgenta Pitesti"</t>
  </si>
  <si>
    <t>SPITALE GENERALE(2.3.a+2.3.b)</t>
  </si>
  <si>
    <t>66.02.06.01</t>
  </si>
  <si>
    <t>2.3.a</t>
  </si>
  <si>
    <t>Transferuri din bugetele locale pentru finantarea 
cheltuielilor de capital din domeniul sanatatii</t>
  </si>
  <si>
    <t>2.3.b</t>
  </si>
  <si>
    <t>SPITALUL ORASENESC COSTESTI</t>
  </si>
  <si>
    <t>SPITALUL DE PSIHIATRIE SF.MARIA VEDEA</t>
  </si>
  <si>
    <t>SPITALUL DE PNEUMOFTIZIOLOGIE LEORDENI</t>
  </si>
  <si>
    <t>SPITALUL DE RECUPERARE BRADET</t>
  </si>
  <si>
    <t>CULTE RELIGIOASE</t>
  </si>
  <si>
    <t>Sustinerea cultelor</t>
  </si>
  <si>
    <t>67.02.06</t>
  </si>
  <si>
    <t>59.12</t>
  </si>
  <si>
    <t>ALTE SUME PRIMITE DE LA UE</t>
  </si>
  <si>
    <t>Alte sume primite de la uniunea europeana pentru programele operationale finantate din cadrul financiar 2014-2020</t>
  </si>
  <si>
    <t>46.02.04</t>
  </si>
  <si>
    <t>ALIMENTARE CU APA- S.C. Administrare si
Exploatare a Patrimoniului si Serviciilor de Utilitati Publice
Arges S.A.</t>
  </si>
  <si>
    <t xml:space="preserve">SECTIUNEA DE DEZVOLTARE </t>
  </si>
  <si>
    <t>Active financiare</t>
  </si>
  <si>
    <t>72.01</t>
  </si>
  <si>
    <t>Participare la capitalul social al societatilor comerciale</t>
  </si>
  <si>
    <t>72.01.01</t>
  </si>
  <si>
    <t>PROIECT "Extinderea si dotarea Ambulatoriului Integrat al Spitalului  Judetean de Urgenta Pitesti"cod SMIS 123890</t>
  </si>
  <si>
    <t>PROIECT "Extinderea, modernizarea si dotarea Ambulatoriului Integrat al Spitalului de Pediatrie Pitesti"cod SMIS 125102</t>
  </si>
  <si>
    <t>CENTRUL DE ABILITARE SI REABILITARE PENTRU PERSOANE ADULTE CU DIZABILITATI CALINESTI</t>
  </si>
  <si>
    <t>CENTRUL DE CULTURA DINU LIPATTI</t>
  </si>
  <si>
    <t>Subventii</t>
  </si>
  <si>
    <t xml:space="preserve">Modernizare DJ uri din buget local </t>
  </si>
  <si>
    <t xml:space="preserve">De la bugetul de stat </t>
  </si>
  <si>
    <t>JUDETUL ARGES</t>
  </si>
  <si>
    <t xml:space="preserve">SERVICIUL BUGET IMPOZITE TAXE SI VENITURI </t>
  </si>
  <si>
    <t xml:space="preserve">DIRECTIA ECONOMICA </t>
  </si>
  <si>
    <t>VENITURI - TOTAL</t>
  </si>
  <si>
    <t xml:space="preserve">SUME DEFALCATE DIN TVA </t>
  </si>
  <si>
    <t xml:space="preserve">VENITURI PROPRII </t>
  </si>
  <si>
    <t>PROIECT " VENUS - Impreuna pentru o viata in siguranta " - 128085</t>
  </si>
  <si>
    <t xml:space="preserve">  I.             cheltuieli de personal </t>
  </si>
  <si>
    <t>DIRECTIA GENERALA  PENTRU EVIDENTA PERSOANELOR PITESTI</t>
  </si>
  <si>
    <t>CENTRE DE ASISTENTA</t>
  </si>
  <si>
    <t xml:space="preserve">ASIGURARI SI ASIST. SOCIALA </t>
  </si>
  <si>
    <t xml:space="preserve">CULTURA, RECREERE SI RELIGIE </t>
  </si>
  <si>
    <t>Cultura si culte din care</t>
  </si>
  <si>
    <t xml:space="preserve">            personal neclerical</t>
  </si>
  <si>
    <t>Sume def din TVA  pt echilibrarea bugete locale</t>
  </si>
  <si>
    <t>Subventii pt sustinerea Proiecte FEN postaderare aferente 2014-2020</t>
  </si>
  <si>
    <t xml:space="preserve">TOTAL CHELTUIELI </t>
  </si>
  <si>
    <t xml:space="preserve"> II.              cheltuieli cu bunuri si servicii</t>
  </si>
  <si>
    <t xml:space="preserve">IV Subventii </t>
  </si>
  <si>
    <t>Proiect "Implementarea unor masuri si instrumente destinate imbunatatirii proceselor administrative in cadrul Consiliului Judetean Arges</t>
  </si>
  <si>
    <t xml:space="preserve">ALTE SERVICII PUBLICE GENERALE </t>
  </si>
  <si>
    <t>VI. Transferuri catre institutii publice pentru:</t>
  </si>
  <si>
    <t>APARARE</t>
  </si>
  <si>
    <t xml:space="preserve">ORDINE PUBLICA SI SIGURANTA NATIONALA </t>
  </si>
  <si>
    <t xml:space="preserve">INVATAMANT </t>
  </si>
  <si>
    <t xml:space="preserve">  INVATAMANT SPECIAL </t>
  </si>
  <si>
    <t>SANATATE</t>
  </si>
  <si>
    <t xml:space="preserve">UNITATI DE ASISTENTA MEDICO-SOCIALE </t>
  </si>
  <si>
    <t>UNITATI DE ASISTENTA MEDICO-SOCIALE</t>
  </si>
  <si>
    <t>LOCUINTE SERVICII SI DEZVOLTARE PUBLICA</t>
  </si>
  <si>
    <t xml:space="preserve">PROTECTIA MEDIULUI </t>
  </si>
  <si>
    <t xml:space="preserve">ACTIUNI GENERALE ECONOMICE </t>
  </si>
  <si>
    <t>Venituri din proprietate</t>
  </si>
  <si>
    <t xml:space="preserve"> Cofinantare PNDL</t>
  </si>
  <si>
    <t>PLATFORMA COTMEANA</t>
  </si>
  <si>
    <t xml:space="preserve">ALTE ACTIUNI DE ASISTENTA SOCIALA </t>
  </si>
  <si>
    <t xml:space="preserve">Transferuri aferente cheltuielilor cu alocatia de hrana si cu indemnizatia de cazare pentru  personalul din serviciile sociale publice aflat in izolare preventiva la locul de munca </t>
  </si>
  <si>
    <t>Transferuri aferente cheltuielilor cu alocatia de hrana pentru personalul din serviciile sociale private aflat in izolare preventiva la locul de munca</t>
  </si>
  <si>
    <t>55.01.73</t>
  </si>
  <si>
    <t>51.01.76</t>
  </si>
  <si>
    <t>VII Alte transferuri (55.01+55.02)</t>
  </si>
  <si>
    <t>Programe din Fondul European de Dezvoltare Regionala (FEDR)</t>
  </si>
  <si>
    <t>Proiect "Complex de servicii sociale, comuna Rucar, 
judetul Arges "</t>
  </si>
  <si>
    <t>Proiect "Complex de servicii sociale, Orasul Costesti, judetul Arges ", Cod SMIS 130512</t>
  </si>
  <si>
    <t>Plati efectuate in anii precedenti si recuperate
 in anul curent</t>
  </si>
  <si>
    <t>Varsaminte din veniturile si/s</t>
  </si>
  <si>
    <t>36.02.05</t>
  </si>
  <si>
    <t>OPERATIUNI FINANCIARE</t>
  </si>
  <si>
    <t>ALTE ACTIUNI DE ASISTENTA SOCIALA
 (ajutoare, burse)</t>
  </si>
  <si>
    <t>59.17</t>
  </si>
  <si>
    <t>Burse</t>
  </si>
  <si>
    <t>59.01</t>
  </si>
  <si>
    <t>Buse</t>
  </si>
  <si>
    <t xml:space="preserve"> </t>
  </si>
  <si>
    <t>59.40</t>
  </si>
  <si>
    <t>Finantarea burselor din invatamantul special</t>
  </si>
  <si>
    <t>CENTRUL SCOLAR DE EDUCATIE INCLUZIVA "SF. STELIAN" COSTESTI</t>
  </si>
  <si>
    <t>CENTRUL JUDETEAN DE RESURSE SI ASISTENTA EDUCATIONALA ARGES</t>
  </si>
  <si>
    <t>V. FOND  DE REZERVA</t>
  </si>
  <si>
    <t>Varsaminte din sectiunea de functionare pentru finantarea sectiunii de dezvoltare a bugetului local(cu semnul minus)</t>
  </si>
  <si>
    <t>Vărsăminte din secţiunea de funcţionare</t>
  </si>
  <si>
    <t>68.02.12</t>
  </si>
  <si>
    <t>68.02.12.01</t>
  </si>
  <si>
    <t>68.02.12.02</t>
  </si>
  <si>
    <t>68.02.12.03</t>
  </si>
  <si>
    <t>.2.4</t>
  </si>
  <si>
    <t>84.02.50</t>
  </si>
  <si>
    <t>ALTE CHELTUIELI IN DOMENIUL TRANSPORTURILOR - ASOCIATIA DE DEZVOLTARE INTERCOMUNITARA PENTRU TRANSPORTUL PUBLIC PITESTI</t>
  </si>
  <si>
    <t>Sume repartizate pentru finantarea institutiilor de spectacole si concerte</t>
  </si>
  <si>
    <t>.04.02.06</t>
  </si>
  <si>
    <t>GRADINITA SPECIALA " SF. ELENA" 
PITESTI</t>
  </si>
  <si>
    <t>BIBLIOTECA JUDETEANA "DINICU
 GOLESCU" ARGES</t>
  </si>
  <si>
    <t>EXECUTIA</t>
  </si>
  <si>
    <t>BUGET FINAL</t>
  </si>
  <si>
    <t xml:space="preserve">SOLICITARE </t>
  </si>
  <si>
    <t>PROPUNERE</t>
  </si>
  <si>
    <t>ESTIMARI</t>
  </si>
  <si>
    <t>PROIECT</t>
  </si>
  <si>
    <t>BUGET DE VENITURI SI CHELTUIELI PE ANUL 2022</t>
  </si>
  <si>
    <t>BUGET INITIAL</t>
  </si>
  <si>
    <t>EXECUTIE PRELIMITATA(ultimul buget aprobat)</t>
  </si>
  <si>
    <t>Plati efectuate in anii precedenti si recuperate in anul curent in sectiunea de dezvoltare a bugetului local</t>
  </si>
  <si>
    <t>85.01.02</t>
  </si>
  <si>
    <t>85.02</t>
  </si>
  <si>
    <t>COMPLEXUL DE SERVICII PENTRU PERSOANE CU DIZABILITATI PITESTI</t>
  </si>
  <si>
    <t>68.02.05.</t>
  </si>
  <si>
    <t xml:space="preserve">EXECUTIE </t>
  </si>
  <si>
    <t>PROIECT  "Servicii de proiectare la fazele Expertiza tehnica, DALI si PT, inclusiv asistenta tehnica din partea proiectantului , Servicii de verificare a documentatiilor tehnico - economice la fazele DALI si DATC+PT+DE+CS si audit de siguranta rutiera pentru :Modernizare DJ679: Paduroiu (67B)- Lipia-Popesti-Lunca Corbului-Padureti- Ciesti-Falfani-Cotmeana-Malu-Barla-Lim.Jud.Olt, km 0+000-48,222, L=47,670 km</t>
  </si>
  <si>
    <t>CENTRUL SCOLAR DE  EDUCATIE INCLUZIVA "SF.  MARINA"CURTEA DE ARGES
 CURTEA DE ARGES</t>
  </si>
  <si>
    <t>ANEXA nr.1</t>
  </si>
  <si>
    <t>AN 2022</t>
  </si>
  <si>
    <t xml:space="preserve">TRIMESTRUL </t>
  </si>
  <si>
    <t xml:space="preserve">Finantare din Excedentul bugetului local </t>
  </si>
  <si>
    <t xml:space="preserve">pentru finantarea SECTIUNII DE DEZVOLTARE </t>
  </si>
  <si>
    <t xml:space="preserve">Cap. 84.02 TRANSPORTURI </t>
  </si>
  <si>
    <t xml:space="preserve">Cheltuieli de capital </t>
  </si>
  <si>
    <t>Cheltuieli pentru proiectare si asistenta tehnica  pentru obiectivul de investitii: Consolidarea si modernizarea imobilului situat in Str. Domnita Balasa, nr. 19, apartinand Teatrului Davila denumita Sala Aschiuta, Judetul Arges.</t>
  </si>
  <si>
    <t>Consolidarea si modernizarea imobilului situat in Str. Domnita Balasa, nr. 19, apartinand Teatrului Davila denumita Sala Aschiuta, Judetul Arges.</t>
  </si>
  <si>
    <t>Modernizare DJ 738 Poienari (DN 73 km 44+500) - Jugur -Draghici -Mihaesti (DC11), km 10+200-13+600, L=3,4 km, judetul Arges</t>
  </si>
  <si>
    <t>Modernizare DJ 704 E Ursoaia - Bascovele - Ceauresti, km 3+100-7+600, L=4,5 km, judetul Arges</t>
  </si>
  <si>
    <t>Proiect "Complex de servicii sociale, Municipiul  Campulung,  judetul Arges "</t>
  </si>
  <si>
    <t>Modernizare DJ 704H Merisani-Baiculesti-Curtea de Arges, km 13+035-17+600, L=4,565 km</t>
  </si>
  <si>
    <t>Modernizare DJ 702F Lim.Jud.Dambovita - Slobozia, km 17+984-18+441, L = 457 m, jud.Arges</t>
  </si>
  <si>
    <t>Modernizare DJ 703 H Curtea de Arges - Valea Danului - Cepari - Suici, Lim.Jud.Valcea, km 9+475-10+364, L= 0,889 km, com.Valea Danului si Cepari, jud.Arges</t>
  </si>
  <si>
    <t xml:space="preserve"> Modernizare drum judetean DJ 508 Cateasca (DJ 703)-Furduiesti-Teiu-Buta (DJ 659), km 12+400-17+217, L=4,817 KM, com. Teiu si Negrasi, jud. Arges</t>
  </si>
  <si>
    <t>Cap.67.02 CULTURA</t>
  </si>
  <si>
    <r>
      <t xml:space="preserve">Cote defalcate din impozitul pe venit </t>
    </r>
    <r>
      <rPr>
        <b/>
        <sz val="10"/>
        <rFont val="Times New Roman"/>
        <family val="1"/>
        <charset val="238"/>
      </rPr>
      <t xml:space="preserve">(15% </t>
    </r>
    <r>
      <rPr>
        <sz val="10"/>
        <rFont val="Times New Roman"/>
        <family val="1"/>
        <charset val="238"/>
      </rPr>
      <t>)</t>
    </r>
  </si>
  <si>
    <r>
      <t>Sume din impozit pe venit  pentru echil.</t>
    </r>
    <r>
      <rPr>
        <b/>
        <sz val="10"/>
        <rFont val="Times New Roman"/>
        <family val="1"/>
        <charset val="238"/>
      </rPr>
      <t xml:space="preserve"> (15% din 14%)</t>
    </r>
  </si>
  <si>
    <r>
      <t xml:space="preserve">                                                                                                                            </t>
    </r>
    <r>
      <rPr>
        <b/>
        <u/>
        <sz val="10"/>
        <rFont val="Times New Roman"/>
        <family val="1"/>
        <charset val="238"/>
      </rPr>
      <t xml:space="preserve"> PARTEA I SERVICII PUBLICE  GENERALE (1+2+3)</t>
    </r>
    <r>
      <rPr>
        <b/>
        <sz val="10"/>
        <rFont val="Times New Roman"/>
        <family val="1"/>
        <charset val="238"/>
      </rPr>
      <t xml:space="preserve"> </t>
    </r>
  </si>
  <si>
    <r>
      <t xml:space="preserve">    </t>
    </r>
    <r>
      <rPr>
        <b/>
        <u/>
        <sz val="10"/>
        <rFont val="Times New Roman"/>
        <family val="1"/>
        <charset val="238"/>
      </rPr>
      <t xml:space="preserve">PARTEA II APARARE, ORDINE PUBLICA </t>
    </r>
  </si>
  <si>
    <r>
      <t xml:space="preserve">    </t>
    </r>
    <r>
      <rPr>
        <b/>
        <u/>
        <sz val="10"/>
        <rFont val="Times New Roman"/>
        <family val="1"/>
        <charset val="238"/>
      </rPr>
      <t>PARTEA III CHELT SOCIAL- CULTURALE</t>
    </r>
  </si>
  <si>
    <r>
      <t xml:space="preserve">sume pentru aplicarea Legii nr. </t>
    </r>
    <r>
      <rPr>
        <b/>
        <sz val="10"/>
        <rFont val="Times New Roman"/>
        <family val="1"/>
        <charset val="238"/>
      </rPr>
      <t>85/2016 (hotarari judecatoresti)</t>
    </r>
  </si>
  <si>
    <r>
      <t xml:space="preserve">       </t>
    </r>
    <r>
      <rPr>
        <b/>
        <u/>
        <sz val="10"/>
        <rFont val="Times New Roman"/>
        <family val="1"/>
        <charset val="238"/>
      </rPr>
      <t>PARTEA  IV  SERVICII SI DEZVOLTARE PUBLICA</t>
    </r>
  </si>
  <si>
    <r>
      <t xml:space="preserve">                                                                                                      </t>
    </r>
    <r>
      <rPr>
        <b/>
        <u/>
        <sz val="10"/>
        <rFont val="Times New Roman"/>
        <family val="1"/>
        <charset val="238"/>
      </rPr>
      <t xml:space="preserve">PARTEA V ACTIUNI ECONOMICE </t>
    </r>
  </si>
  <si>
    <t>La  H.C.J  nr. 27/08.02.2022</t>
  </si>
</sst>
</file>

<file path=xl/styles.xml><?xml version="1.0" encoding="utf-8"?>
<styleSheet xmlns="http://schemas.openxmlformats.org/spreadsheetml/2006/main">
  <fonts count="42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238"/>
    </font>
    <font>
      <sz val="8"/>
      <name val="Times New Roman"/>
      <family val="1"/>
    </font>
    <font>
      <b/>
      <sz val="10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CC0099"/>
      <name val="Arial"/>
      <family val="2"/>
      <charset val="238"/>
    </font>
    <font>
      <b/>
      <u/>
      <sz val="1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0"/>
      <color rgb="FFCC0099"/>
      <name val="Times New Roman"/>
      <family val="1"/>
      <charset val="238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18" fillId="0" borderId="0"/>
    <xf numFmtId="0" fontId="19" fillId="0" borderId="0"/>
    <xf numFmtId="0" fontId="4" fillId="0" borderId="0"/>
    <xf numFmtId="0" fontId="2" fillId="0" borderId="0"/>
    <xf numFmtId="0" fontId="4" fillId="0" borderId="0"/>
    <xf numFmtId="0" fontId="1" fillId="0" borderId="0"/>
  </cellStyleXfs>
  <cellXfs count="29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9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/>
    <xf numFmtId="0" fontId="10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3" fillId="0" borderId="0" xfId="0" applyFont="1" applyFill="1" applyBorder="1"/>
    <xf numFmtId="0" fontId="13" fillId="0" borderId="3" xfId="0" applyFont="1" applyFill="1" applyBorder="1"/>
    <xf numFmtId="0" fontId="4" fillId="0" borderId="0" xfId="0" applyFont="1" applyFill="1" applyBorder="1"/>
    <xf numFmtId="0" fontId="16" fillId="0" borderId="0" xfId="0" applyFont="1"/>
    <xf numFmtId="0" fontId="16" fillId="0" borderId="0" xfId="0" applyFont="1" applyBorder="1"/>
    <xf numFmtId="0" fontId="17" fillId="0" borderId="0" xfId="0" applyFont="1" applyBorder="1"/>
    <xf numFmtId="0" fontId="3" fillId="9" borderId="1" xfId="0" applyFont="1" applyFill="1" applyBorder="1" applyAlignment="1">
      <alignment wrapText="1"/>
    </xf>
    <xf numFmtId="0" fontId="6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5" fillId="0" borderId="1" xfId="0" applyNumberFormat="1" applyFont="1" applyFill="1" applyBorder="1"/>
    <xf numFmtId="4" fontId="25" fillId="2" borderId="1" xfId="3" applyNumberFormat="1" applyFont="1" applyFill="1" applyBorder="1" applyAlignment="1">
      <alignment horizontal="right"/>
    </xf>
    <xf numFmtId="4" fontId="25" fillId="2" borderId="1" xfId="3" applyNumberFormat="1" applyFont="1" applyFill="1" applyBorder="1"/>
    <xf numFmtId="4" fontId="26" fillId="0" borderId="1" xfId="3" applyNumberFormat="1" applyFont="1" applyFill="1" applyBorder="1"/>
    <xf numFmtId="4" fontId="25" fillId="2" borderId="1" xfId="3" applyNumberFormat="1" applyFont="1" applyFill="1" applyBorder="1" applyAlignment="1">
      <alignment wrapText="1"/>
    </xf>
    <xf numFmtId="4" fontId="27" fillId="0" borderId="1" xfId="3" applyNumberFormat="1" applyFont="1" applyFill="1" applyBorder="1"/>
    <xf numFmtId="4" fontId="27" fillId="2" borderId="1" xfId="3" applyNumberFormat="1" applyFont="1" applyFill="1" applyBorder="1"/>
    <xf numFmtId="4" fontId="26" fillId="2" borderId="1" xfId="5" applyNumberFormat="1" applyFont="1" applyFill="1" applyBorder="1"/>
    <xf numFmtId="4" fontId="26" fillId="2" borderId="1" xfId="3" applyNumberFormat="1" applyFont="1" applyFill="1" applyBorder="1"/>
    <xf numFmtId="0" fontId="7" fillId="0" borderId="0" xfId="0" applyFont="1" applyFill="1" applyAlignment="1">
      <alignment horizontal="right"/>
    </xf>
    <xf numFmtId="0" fontId="4" fillId="0" borderId="1" xfId="0" applyFont="1" applyFill="1" applyBorder="1"/>
    <xf numFmtId="0" fontId="20" fillId="0" borderId="1" xfId="0" applyFont="1" applyFill="1" applyBorder="1"/>
    <xf numFmtId="0" fontId="3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4" fontId="4" fillId="0" borderId="0" xfId="0" applyNumberFormat="1" applyFont="1" applyFill="1"/>
    <xf numFmtId="0" fontId="28" fillId="0" borderId="1" xfId="0" applyFont="1" applyFill="1" applyBorder="1" applyAlignment="1">
      <alignment horizontal="center"/>
    </xf>
    <xf numFmtId="0" fontId="20" fillId="0" borderId="0" xfId="0" applyFont="1" applyFill="1"/>
    <xf numFmtId="0" fontId="3" fillId="9" borderId="1" xfId="0" applyFont="1" applyFill="1" applyBorder="1" applyAlignment="1">
      <alignment horizontal="left" wrapText="1"/>
    </xf>
    <xf numFmtId="4" fontId="4" fillId="5" borderId="1" xfId="0" applyNumberFormat="1" applyFont="1" applyFill="1" applyBorder="1"/>
    <xf numFmtId="0" fontId="29" fillId="0" borderId="0" xfId="0" applyFont="1" applyFill="1"/>
    <xf numFmtId="0" fontId="20" fillId="2" borderId="1" xfId="0" applyFont="1" applyFill="1" applyBorder="1" applyAlignment="1">
      <alignment horizontal="center" wrapText="1"/>
    </xf>
    <xf numFmtId="0" fontId="29" fillId="0" borderId="1" xfId="0" applyFont="1" applyFill="1" applyBorder="1"/>
    <xf numFmtId="4" fontId="4" fillId="0" borderId="1" xfId="0" applyNumberFormat="1" applyFont="1" applyFill="1" applyBorder="1"/>
    <xf numFmtId="4" fontId="8" fillId="2" borderId="0" xfId="0" applyNumberFormat="1" applyFont="1" applyFill="1" applyBorder="1" applyAlignment="1">
      <alignment horizontal="left"/>
    </xf>
    <xf numFmtId="0" fontId="30" fillId="0" borderId="0" xfId="0" applyFont="1" applyFill="1"/>
    <xf numFmtId="0" fontId="8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0" xfId="0" applyFont="1" applyFill="1" applyBorder="1"/>
    <xf numFmtId="0" fontId="16" fillId="0" borderId="0" xfId="3" applyFont="1" applyFill="1" applyBorder="1" applyAlignment="1">
      <alignment wrapText="1"/>
    </xf>
    <xf numFmtId="0" fontId="16" fillId="2" borderId="0" xfId="3" applyFont="1" applyFill="1" applyBorder="1" applyAlignment="1">
      <alignment wrapText="1"/>
    </xf>
    <xf numFmtId="0" fontId="23" fillId="0" borderId="0" xfId="0" applyFont="1" applyFill="1" applyBorder="1"/>
    <xf numFmtId="0" fontId="21" fillId="0" borderId="0" xfId="0" applyFont="1" applyFill="1" applyBorder="1" applyAlignment="1">
      <alignment wrapText="1"/>
    </xf>
    <xf numFmtId="0" fontId="16" fillId="6" borderId="0" xfId="2" applyFont="1" applyFill="1" applyBorder="1" applyAlignment="1">
      <alignment horizontal="left" wrapText="1"/>
    </xf>
    <xf numFmtId="0" fontId="16" fillId="2" borderId="0" xfId="3" applyFont="1" applyFill="1" applyBorder="1" applyAlignment="1">
      <alignment horizontal="left" vertical="center" wrapText="1"/>
    </xf>
    <xf numFmtId="0" fontId="16" fillId="6" borderId="0" xfId="3" applyFont="1" applyFill="1" applyBorder="1" applyAlignment="1">
      <alignment horizontal="left" vertical="center" wrapText="1"/>
    </xf>
    <xf numFmtId="0" fontId="16" fillId="0" borderId="0" xfId="3" applyFont="1" applyFill="1" applyBorder="1" applyAlignment="1">
      <alignment horizontal="left" wrapText="1"/>
    </xf>
    <xf numFmtId="0" fontId="16" fillId="2" borderId="0" xfId="5" applyFont="1" applyFill="1" applyBorder="1" applyAlignment="1">
      <alignment horizontal="left" vertical="center" wrapText="1"/>
    </xf>
    <xf numFmtId="0" fontId="22" fillId="2" borderId="0" xfId="3" applyFont="1" applyFill="1" applyBorder="1" applyAlignment="1">
      <alignment horizontal="left" wrapText="1"/>
    </xf>
    <xf numFmtId="0" fontId="4" fillId="0" borderId="5" xfId="0" applyFont="1" applyFill="1" applyBorder="1"/>
    <xf numFmtId="0" fontId="17" fillId="0" borderId="0" xfId="0" applyFont="1" applyFill="1" applyBorder="1"/>
    <xf numFmtId="0" fontId="8" fillId="0" borderId="0" xfId="0" applyFont="1" applyFill="1" applyAlignment="1">
      <alignment horizontal="left"/>
    </xf>
    <xf numFmtId="4" fontId="10" fillId="9" borderId="1" xfId="0" applyNumberFormat="1" applyFont="1" applyFill="1" applyBorder="1"/>
    <xf numFmtId="0" fontId="4" fillId="9" borderId="1" xfId="0" applyFont="1" applyFill="1" applyBorder="1"/>
    <xf numFmtId="0" fontId="22" fillId="0" borderId="0" xfId="1" applyNumberFormat="1" applyFont="1" applyFill="1" applyBorder="1" applyAlignment="1">
      <alignment horizontal="left" vertical="center" wrapText="1"/>
    </xf>
    <xf numFmtId="0" fontId="16" fillId="0" borderId="0" xfId="3" applyFont="1" applyFill="1" applyBorder="1"/>
    <xf numFmtId="0" fontId="23" fillId="0" borderId="0" xfId="0" applyFont="1" applyFill="1" applyBorder="1" applyAlignment="1">
      <alignment wrapText="1"/>
    </xf>
    <xf numFmtId="0" fontId="14" fillId="0" borderId="0" xfId="3" applyFont="1" applyFill="1" applyBorder="1" applyAlignment="1">
      <alignment wrapText="1"/>
    </xf>
    <xf numFmtId="2" fontId="21" fillId="0" borderId="0" xfId="0" applyNumberFormat="1" applyFont="1" applyFill="1" applyBorder="1"/>
    <xf numFmtId="4" fontId="22" fillId="0" borderId="0" xfId="3" applyNumberFormat="1" applyFont="1" applyFill="1" applyBorder="1" applyAlignment="1">
      <alignment horizontal="center" wrapText="1"/>
    </xf>
    <xf numFmtId="4" fontId="22" fillId="0" borderId="0" xfId="3" applyNumberFormat="1" applyFont="1" applyFill="1" applyBorder="1" applyAlignment="1">
      <alignment wrapText="1"/>
    </xf>
    <xf numFmtId="4" fontId="22" fillId="0" borderId="0" xfId="3" applyNumberFormat="1" applyFont="1" applyFill="1" applyBorder="1"/>
    <xf numFmtId="0" fontId="21" fillId="0" borderId="0" xfId="5" applyFont="1" applyFill="1" applyBorder="1"/>
    <xf numFmtId="0" fontId="21" fillId="0" borderId="0" xfId="5" applyFont="1" applyFill="1" applyBorder="1" applyAlignment="1">
      <alignment wrapText="1"/>
    </xf>
    <xf numFmtId="0" fontId="17" fillId="0" borderId="0" xfId="5" applyFont="1" applyFill="1" applyBorder="1"/>
    <xf numFmtId="0" fontId="24" fillId="0" borderId="0" xfId="3" applyFont="1" applyFill="1" applyBorder="1"/>
    <xf numFmtId="2" fontId="21" fillId="0" borderId="0" xfId="5" applyNumberFormat="1" applyFont="1" applyFill="1" applyBorder="1" applyAlignment="1">
      <alignment horizontal="left"/>
    </xf>
    <xf numFmtId="0" fontId="24" fillId="0" borderId="0" xfId="3" applyFont="1" applyFill="1" applyBorder="1" applyAlignment="1">
      <alignment wrapText="1"/>
    </xf>
    <xf numFmtId="0" fontId="24" fillId="0" borderId="0" xfId="3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11" fillId="0" borderId="0" xfId="0" applyFont="1" applyFill="1" applyAlignment="1">
      <alignment horizontal="center"/>
    </xf>
    <xf numFmtId="0" fontId="10" fillId="0" borderId="0" xfId="0" applyFont="1" applyAlignment="1"/>
    <xf numFmtId="0" fontId="4" fillId="0" borderId="0" xfId="0" applyFont="1" applyFill="1" applyAlignment="1"/>
    <xf numFmtId="0" fontId="8" fillId="0" borderId="0" xfId="0" applyFont="1" applyFill="1" applyAlignment="1"/>
    <xf numFmtId="0" fontId="5" fillId="0" borderId="0" xfId="0" applyFont="1" applyFill="1" applyAlignment="1"/>
    <xf numFmtId="0" fontId="20" fillId="0" borderId="0" xfId="0" applyFont="1" applyFill="1" applyAlignment="1"/>
    <xf numFmtId="0" fontId="3" fillId="11" borderId="1" xfId="0" applyFont="1" applyFill="1" applyBorder="1" applyAlignment="1"/>
    <xf numFmtId="0" fontId="29" fillId="11" borderId="1" xfId="0" applyFont="1" applyFill="1" applyBorder="1" applyAlignment="1"/>
    <xf numFmtId="4" fontId="5" fillId="0" borderId="2" xfId="0" applyNumberFormat="1" applyFont="1" applyFill="1" applyBorder="1"/>
    <xf numFmtId="0" fontId="4" fillId="0" borderId="1" xfId="0" applyFont="1" applyBorder="1" applyAlignment="1"/>
    <xf numFmtId="0" fontId="4" fillId="0" borderId="1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11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" fontId="6" fillId="4" borderId="1" xfId="0" applyNumberFormat="1" applyFont="1" applyFill="1" applyBorder="1"/>
    <xf numFmtId="4" fontId="31" fillId="4" borderId="1" xfId="0" applyNumberFormat="1" applyFont="1" applyFill="1" applyBorder="1"/>
    <xf numFmtId="4" fontId="10" fillId="5" borderId="1" xfId="0" applyNumberFormat="1" applyFont="1" applyFill="1" applyBorder="1"/>
    <xf numFmtId="4" fontId="33" fillId="5" borderId="1" xfId="0" applyNumberFormat="1" applyFont="1" applyFill="1" applyBorder="1"/>
    <xf numFmtId="4" fontId="10" fillId="2" borderId="1" xfId="0" applyNumberFormat="1" applyFont="1" applyFill="1" applyBorder="1"/>
    <xf numFmtId="4" fontId="6" fillId="2" borderId="1" xfId="0" applyNumberFormat="1" applyFont="1" applyFill="1" applyBorder="1"/>
    <xf numFmtId="4" fontId="20" fillId="5" borderId="1" xfId="0" applyNumberFormat="1" applyFont="1" applyFill="1" applyBorder="1"/>
    <xf numFmtId="4" fontId="4" fillId="2" borderId="1" xfId="0" applyNumberFormat="1" applyFont="1" applyFill="1" applyBorder="1"/>
    <xf numFmtId="4" fontId="28" fillId="2" borderId="1" xfId="0" applyNumberFormat="1" applyFont="1" applyFill="1" applyBorder="1"/>
    <xf numFmtId="4" fontId="32" fillId="4" borderId="1" xfId="0" applyNumberFormat="1" applyFont="1" applyFill="1" applyBorder="1"/>
    <xf numFmtId="4" fontId="10" fillId="4" borderId="1" xfId="0" applyNumberFormat="1" applyFont="1" applyFill="1" applyBorder="1"/>
    <xf numFmtId="4" fontId="33" fillId="4" borderId="1" xfId="0" applyNumberFormat="1" applyFont="1" applyFill="1" applyBorder="1"/>
    <xf numFmtId="4" fontId="10" fillId="11" borderId="1" xfId="0" applyNumberFormat="1" applyFont="1" applyFill="1" applyBorder="1"/>
    <xf numFmtId="4" fontId="33" fillId="11" borderId="1" xfId="0" applyNumberFormat="1" applyFont="1" applyFill="1" applyBorder="1"/>
    <xf numFmtId="4" fontId="10" fillId="0" borderId="1" xfId="0" applyNumberFormat="1" applyFont="1" applyFill="1" applyBorder="1"/>
    <xf numFmtId="4" fontId="28" fillId="4" borderId="1" xfId="0" applyNumberFormat="1" applyFont="1" applyFill="1" applyBorder="1"/>
    <xf numFmtId="0" fontId="10" fillId="0" borderId="1" xfId="0" applyFont="1" applyFill="1" applyBorder="1"/>
    <xf numFmtId="4" fontId="33" fillId="2" borderId="1" xfId="0" applyNumberFormat="1" applyFont="1" applyFill="1" applyBorder="1"/>
    <xf numFmtId="0" fontId="34" fillId="0" borderId="1" xfId="0" applyFont="1" applyFill="1" applyBorder="1" applyAlignment="1">
      <alignment horizontal="left" wrapText="1"/>
    </xf>
    <xf numFmtId="0" fontId="3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4" fontId="33" fillId="0" borderId="1" xfId="0" applyNumberFormat="1" applyFont="1" applyFill="1" applyBorder="1"/>
    <xf numFmtId="4" fontId="6" fillId="0" borderId="1" xfId="0" applyNumberFormat="1" applyFont="1" applyFill="1" applyBorder="1"/>
    <xf numFmtId="4" fontId="28" fillId="0" borderId="1" xfId="0" applyNumberFormat="1" applyFont="1" applyFill="1" applyBorder="1"/>
    <xf numFmtId="0" fontId="6" fillId="11" borderId="1" xfId="0" applyFont="1" applyFill="1" applyBorder="1" applyAlignment="1">
      <alignment wrapText="1"/>
    </xf>
    <xf numFmtId="0" fontId="6" fillId="11" borderId="1" xfId="0" applyFont="1" applyFill="1" applyBorder="1" applyAlignment="1">
      <alignment vertical="justify"/>
    </xf>
    <xf numFmtId="4" fontId="35" fillId="2" borderId="1" xfId="0" applyNumberFormat="1" applyFont="1" applyFill="1" applyBorder="1"/>
    <xf numFmtId="0" fontId="3" fillId="11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4" fontId="6" fillId="10" borderId="1" xfId="0" applyNumberFormat="1" applyFont="1" applyFill="1" applyBorder="1"/>
    <xf numFmtId="4" fontId="28" fillId="10" borderId="1" xfId="0" applyNumberFormat="1" applyFont="1" applyFill="1" applyBorder="1"/>
    <xf numFmtId="4" fontId="10" fillId="8" borderId="1" xfId="0" applyNumberFormat="1" applyFont="1" applyFill="1" applyBorder="1"/>
    <xf numFmtId="4" fontId="33" fillId="8" borderId="1" xfId="0" applyNumberFormat="1" applyFont="1" applyFill="1" applyBorder="1"/>
    <xf numFmtId="0" fontId="6" fillId="0" borderId="1" xfId="0" applyFont="1" applyFill="1" applyBorder="1" applyAlignment="1">
      <alignment vertical="justify"/>
    </xf>
    <xf numFmtId="0" fontId="10" fillId="0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4" fontId="6" fillId="5" borderId="1" xfId="0" applyNumberFormat="1" applyFont="1" applyFill="1" applyBorder="1"/>
    <xf numFmtId="4" fontId="31" fillId="2" borderId="1" xfId="0" applyNumberFormat="1" applyFont="1" applyFill="1" applyBorder="1"/>
    <xf numFmtId="4" fontId="6" fillId="15" borderId="1" xfId="0" applyNumberFormat="1" applyFont="1" applyFill="1" applyBorder="1"/>
    <xf numFmtId="4" fontId="6" fillId="11" borderId="1" xfId="0" applyNumberFormat="1" applyFont="1" applyFill="1" applyBorder="1"/>
    <xf numFmtId="4" fontId="6" fillId="13" borderId="1" xfId="0" applyNumberFormat="1" applyFont="1" applyFill="1" applyBorder="1"/>
    <xf numFmtId="0" fontId="10" fillId="12" borderId="1" xfId="0" applyFont="1" applyFill="1" applyBorder="1"/>
    <xf numFmtId="4" fontId="10" fillId="12" borderId="1" xfId="0" applyNumberFormat="1" applyFont="1" applyFill="1" applyBorder="1"/>
    <xf numFmtId="0" fontId="10" fillId="9" borderId="1" xfId="0" applyFont="1" applyFill="1" applyBorder="1"/>
    <xf numFmtId="4" fontId="4" fillId="9" borderId="1" xfId="0" applyNumberFormat="1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4" fontId="6" fillId="9" borderId="1" xfId="0" applyNumberFormat="1" applyFont="1" applyFill="1" applyBorder="1"/>
    <xf numFmtId="4" fontId="28" fillId="15" borderId="1" xfId="0" applyNumberFormat="1" applyFont="1" applyFill="1" applyBorder="1"/>
    <xf numFmtId="4" fontId="6" fillId="14" borderId="1" xfId="0" applyNumberFormat="1" applyFont="1" applyFill="1" applyBorder="1"/>
    <xf numFmtId="4" fontId="28" fillId="5" borderId="1" xfId="0" applyNumberFormat="1" applyFont="1" applyFill="1" applyBorder="1"/>
    <xf numFmtId="4" fontId="31" fillId="5" borderId="1" xfId="0" applyNumberFormat="1" applyFont="1" applyFill="1" applyBorder="1"/>
    <xf numFmtId="4" fontId="37" fillId="5" borderId="1" xfId="0" applyNumberFormat="1" applyFont="1" applyFill="1" applyBorder="1"/>
    <xf numFmtId="0" fontId="4" fillId="0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/>
    <xf numFmtId="0" fontId="6" fillId="0" borderId="1" xfId="0" applyFont="1" applyFill="1" applyBorder="1" applyAlignment="1">
      <alignment horizontal="left" wrapText="1"/>
    </xf>
    <xf numFmtId="4" fontId="6" fillId="9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33" fillId="9" borderId="1" xfId="0" applyNumberFormat="1" applyFont="1" applyFill="1" applyBorder="1"/>
    <xf numFmtId="4" fontId="20" fillId="0" borderId="1" xfId="0" applyNumberFormat="1" applyFont="1" applyFill="1" applyBorder="1"/>
    <xf numFmtId="0" fontId="31" fillId="7" borderId="1" xfId="0" applyFont="1" applyFill="1" applyBorder="1"/>
    <xf numFmtId="0" fontId="31" fillId="7" borderId="1" xfId="0" applyFont="1" applyFill="1" applyBorder="1" applyAlignment="1">
      <alignment horizontal="center"/>
    </xf>
    <xf numFmtId="4" fontId="31" fillId="7" borderId="1" xfId="0" applyNumberFormat="1" applyFont="1" applyFill="1" applyBorder="1"/>
    <xf numFmtId="4" fontId="32" fillId="7" borderId="1" xfId="0" applyNumberFormat="1" applyFont="1" applyFill="1" applyBorder="1"/>
    <xf numFmtId="4" fontId="4" fillId="0" borderId="0" xfId="0" applyNumberFormat="1" applyFont="1" applyFill="1" applyBorder="1"/>
    <xf numFmtId="0" fontId="31" fillId="1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31" fillId="10" borderId="1" xfId="0" applyFont="1" applyFill="1" applyBorder="1" applyAlignment="1"/>
    <xf numFmtId="0" fontId="38" fillId="11" borderId="1" xfId="0" applyFont="1" applyFill="1" applyBorder="1" applyAlignment="1">
      <alignment wrapText="1"/>
    </xf>
    <xf numFmtId="0" fontId="40" fillId="11" borderId="1" xfId="3" applyFont="1" applyFill="1" applyBorder="1" applyAlignment="1">
      <alignment wrapText="1"/>
    </xf>
    <xf numFmtId="4" fontId="40" fillId="11" borderId="1" xfId="3" applyNumberFormat="1" applyFont="1" applyFill="1" applyBorder="1" applyAlignment="1">
      <alignment horizontal="right"/>
    </xf>
    <xf numFmtId="0" fontId="13" fillId="3" borderId="4" xfId="0" applyFont="1" applyFill="1" applyBorder="1"/>
    <xf numFmtId="0" fontId="13" fillId="0" borderId="3" xfId="0" applyFont="1" applyFill="1" applyBorder="1" applyAlignment="1">
      <alignment horizontal="right"/>
    </xf>
    <xf numFmtId="0" fontId="13" fillId="11" borderId="3" xfId="0" applyFont="1" applyFill="1" applyBorder="1"/>
    <xf numFmtId="0" fontId="13" fillId="10" borderId="3" xfId="0" applyFont="1" applyFill="1" applyBorder="1"/>
    <xf numFmtId="0" fontId="13" fillId="0" borderId="4" xfId="0" applyFont="1" applyFill="1" applyBorder="1"/>
    <xf numFmtId="0" fontId="13" fillId="10" borderId="4" xfId="0" applyFont="1" applyFill="1" applyBorder="1"/>
    <xf numFmtId="0" fontId="13" fillId="3" borderId="3" xfId="0" applyFont="1" applyFill="1" applyBorder="1"/>
    <xf numFmtId="0" fontId="15" fillId="3" borderId="3" xfId="0" applyFont="1" applyFill="1" applyBorder="1"/>
    <xf numFmtId="0" fontId="15" fillId="0" borderId="3" xfId="0" applyFont="1" applyFill="1" applyBorder="1"/>
    <xf numFmtId="0" fontId="14" fillId="0" borderId="3" xfId="0" applyFont="1" applyFill="1" applyBorder="1"/>
    <xf numFmtId="0" fontId="13" fillId="2" borderId="3" xfId="0" applyFont="1" applyFill="1" applyBorder="1"/>
    <xf numFmtId="0" fontId="13" fillId="0" borderId="7" xfId="0" applyFont="1" applyFill="1" applyBorder="1"/>
    <xf numFmtId="0" fontId="13" fillId="0" borderId="3" xfId="0" applyNumberFormat="1" applyFont="1" applyFill="1" applyBorder="1"/>
    <xf numFmtId="16" fontId="13" fillId="0" borderId="3" xfId="0" applyNumberFormat="1" applyFont="1" applyFill="1" applyBorder="1"/>
    <xf numFmtId="16" fontId="14" fillId="0" borderId="3" xfId="0" applyNumberFormat="1" applyFont="1" applyFill="1" applyBorder="1"/>
    <xf numFmtId="2" fontId="13" fillId="0" borderId="3" xfId="0" applyNumberFormat="1" applyFont="1" applyFill="1" applyBorder="1"/>
    <xf numFmtId="14" fontId="7" fillId="0" borderId="3" xfId="0" applyNumberFormat="1" applyFont="1" applyFill="1" applyBorder="1"/>
    <xf numFmtId="0" fontId="7" fillId="0" borderId="3" xfId="0" applyFont="1" applyFill="1" applyBorder="1"/>
    <xf numFmtId="0" fontId="13" fillId="5" borderId="3" xfId="0" applyFont="1" applyFill="1" applyBorder="1"/>
    <xf numFmtId="0" fontId="13" fillId="7" borderId="3" xfId="0" applyFont="1" applyFill="1" applyBorder="1"/>
    <xf numFmtId="4" fontId="6" fillId="4" borderId="5" xfId="0" applyNumberFormat="1" applyFont="1" applyFill="1" applyBorder="1"/>
    <xf numFmtId="4" fontId="31" fillId="4" borderId="5" xfId="0" applyNumberFormat="1" applyFont="1" applyFill="1" applyBorder="1"/>
    <xf numFmtId="4" fontId="10" fillId="2" borderId="5" xfId="0" applyNumberFormat="1" applyFont="1" applyFill="1" applyBorder="1"/>
    <xf numFmtId="4" fontId="6" fillId="2" borderId="5" xfId="0" applyNumberFormat="1" applyFont="1" applyFill="1" applyBorder="1"/>
    <xf numFmtId="4" fontId="4" fillId="2" borderId="5" xfId="0" applyNumberFormat="1" applyFont="1" applyFill="1" applyBorder="1"/>
    <xf numFmtId="4" fontId="10" fillId="4" borderId="5" xfId="0" applyNumberFormat="1" applyFont="1" applyFill="1" applyBorder="1"/>
    <xf numFmtId="4" fontId="10" fillId="11" borderId="5" xfId="0" applyNumberFormat="1" applyFont="1" applyFill="1" applyBorder="1"/>
    <xf numFmtId="4" fontId="4" fillId="0" borderId="5" xfId="0" applyNumberFormat="1" applyFont="1" applyFill="1" applyBorder="1"/>
    <xf numFmtId="4" fontId="10" fillId="0" borderId="5" xfId="0" applyNumberFormat="1" applyFont="1" applyFill="1" applyBorder="1"/>
    <xf numFmtId="4" fontId="6" fillId="0" borderId="5" xfId="0" applyNumberFormat="1" applyFont="1" applyFill="1" applyBorder="1"/>
    <xf numFmtId="4" fontId="6" fillId="10" borderId="5" xfId="0" applyNumberFormat="1" applyFont="1" applyFill="1" applyBorder="1"/>
    <xf numFmtId="4" fontId="10" fillId="8" borderId="5" xfId="0" applyNumberFormat="1" applyFont="1" applyFill="1" applyBorder="1"/>
    <xf numFmtId="4" fontId="6" fillId="5" borderId="5" xfId="0" applyNumberFormat="1" applyFont="1" applyFill="1" applyBorder="1"/>
    <xf numFmtId="4" fontId="31" fillId="2" borderId="5" xfId="0" applyNumberFormat="1" applyFont="1" applyFill="1" applyBorder="1"/>
    <xf numFmtId="4" fontId="10" fillId="5" borderId="5" xfId="0" applyNumberFormat="1" applyFont="1" applyFill="1" applyBorder="1"/>
    <xf numFmtId="4" fontId="6" fillId="15" borderId="5" xfId="0" applyNumberFormat="1" applyFont="1" applyFill="1" applyBorder="1"/>
    <xf numFmtId="4" fontId="10" fillId="9" borderId="5" xfId="0" applyNumberFormat="1" applyFont="1" applyFill="1" applyBorder="1"/>
    <xf numFmtId="0" fontId="4" fillId="9" borderId="5" xfId="0" applyFont="1" applyFill="1" applyBorder="1"/>
    <xf numFmtId="4" fontId="6" fillId="9" borderId="5" xfId="0" applyNumberFormat="1" applyFont="1" applyFill="1" applyBorder="1"/>
    <xf numFmtId="4" fontId="31" fillId="5" borderId="5" xfId="0" applyNumberFormat="1" applyFont="1" applyFill="1" applyBorder="1"/>
    <xf numFmtId="4" fontId="4" fillId="5" borderId="5" xfId="0" applyNumberFormat="1" applyFont="1" applyFill="1" applyBorder="1"/>
    <xf numFmtId="0" fontId="4" fillId="5" borderId="5" xfId="0" applyFont="1" applyFill="1" applyBorder="1"/>
    <xf numFmtId="0" fontId="3" fillId="0" borderId="5" xfId="0" applyFont="1" applyFill="1" applyBorder="1"/>
    <xf numFmtId="4" fontId="6" fillId="9" borderId="5" xfId="0" applyNumberFormat="1" applyFont="1" applyFill="1" applyBorder="1" applyAlignment="1">
      <alignment horizontal="right"/>
    </xf>
    <xf numFmtId="4" fontId="6" fillId="0" borderId="5" xfId="0" applyNumberFormat="1" applyFont="1" applyFill="1" applyBorder="1" applyAlignment="1">
      <alignment horizontal="right"/>
    </xf>
    <xf numFmtId="4" fontId="6" fillId="14" borderId="5" xfId="0" applyNumberFormat="1" applyFont="1" applyFill="1" applyBorder="1"/>
    <xf numFmtId="4" fontId="31" fillId="7" borderId="5" xfId="0" applyNumberFormat="1" applyFont="1" applyFill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/>
    <xf numFmtId="0" fontId="3" fillId="11" borderId="5" xfId="0" applyFont="1" applyFill="1" applyBorder="1"/>
    <xf numFmtId="0" fontId="4" fillId="0" borderId="5" xfId="0" applyFont="1" applyBorder="1" applyAlignment="1">
      <alignment horizontal="right" wrapText="1"/>
    </xf>
    <xf numFmtId="2" fontId="10" fillId="0" borderId="1" xfId="0" applyNumberFormat="1" applyFont="1" applyFill="1" applyBorder="1"/>
    <xf numFmtId="2" fontId="10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left" vertical="center" wrapText="1"/>
    </xf>
    <xf numFmtId="49" fontId="3" fillId="11" borderId="1" xfId="0" applyNumberFormat="1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0" fontId="31" fillId="3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6" fillId="15" borderId="1" xfId="0" applyFont="1" applyFill="1" applyBorder="1"/>
    <xf numFmtId="0" fontId="6" fillId="15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wrapText="1"/>
    </xf>
    <xf numFmtId="0" fontId="10" fillId="9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wrapText="1"/>
    </xf>
    <xf numFmtId="0" fontId="6" fillId="9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0" fillId="0" borderId="1" xfId="1" applyFont="1" applyFill="1" applyBorder="1" applyAlignment="1">
      <alignment wrapText="1"/>
    </xf>
    <xf numFmtId="0" fontId="6" fillId="2" borderId="1" xfId="0" applyFont="1" applyFill="1" applyBorder="1"/>
    <xf numFmtId="0" fontId="36" fillId="3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10" fillId="6" borderId="1" xfId="1" applyFont="1" applyFill="1" applyBorder="1" applyAlignment="1">
      <alignment wrapText="1"/>
    </xf>
    <xf numFmtId="49" fontId="10" fillId="6" borderId="1" xfId="1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left"/>
    </xf>
    <xf numFmtId="0" fontId="6" fillId="14" borderId="1" xfId="0" applyFont="1" applyFill="1" applyBorder="1" applyAlignment="1">
      <alignment horizontal="center"/>
    </xf>
    <xf numFmtId="0" fontId="10" fillId="6" borderId="1" xfId="1" applyFont="1" applyFill="1" applyBorder="1"/>
    <xf numFmtId="0" fontId="31" fillId="0" borderId="1" xfId="0" applyFont="1" applyFill="1" applyBorder="1"/>
    <xf numFmtId="0" fontId="6" fillId="12" borderId="1" xfId="0" applyFont="1" applyFill="1" applyBorder="1" applyAlignment="1">
      <alignment wrapText="1"/>
    </xf>
    <xf numFmtId="0" fontId="6" fillId="12" borderId="1" xfId="0" applyFont="1" applyFill="1" applyBorder="1" applyAlignment="1">
      <alignment horizontal="center"/>
    </xf>
    <xf numFmtId="4" fontId="6" fillId="12" borderId="1" xfId="0" applyNumberFormat="1" applyFont="1" applyFill="1" applyBorder="1"/>
    <xf numFmtId="4" fontId="6" fillId="12" borderId="5" xfId="0" applyNumberFormat="1" applyFont="1" applyFill="1" applyBorder="1"/>
    <xf numFmtId="0" fontId="4" fillId="12" borderId="1" xfId="0" applyFont="1" applyFill="1" applyBorder="1"/>
    <xf numFmtId="4" fontId="4" fillId="12" borderId="1" xfId="0" applyNumberFormat="1" applyFont="1" applyFill="1" applyBorder="1"/>
    <xf numFmtId="4" fontId="4" fillId="12" borderId="5" xfId="0" applyNumberFormat="1" applyFont="1" applyFill="1" applyBorder="1"/>
    <xf numFmtId="4" fontId="10" fillId="12" borderId="5" xfId="0" applyNumberFormat="1" applyFont="1" applyFill="1" applyBorder="1"/>
    <xf numFmtId="0" fontId="6" fillId="12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8" fillId="0" borderId="0" xfId="0" applyFont="1" applyFill="1" applyAlignment="1"/>
    <xf numFmtId="0" fontId="0" fillId="0" borderId="0" xfId="0" applyAlignment="1"/>
    <xf numFmtId="0" fontId="8" fillId="0" borderId="0" xfId="0" applyFont="1" applyFill="1" applyBorder="1" applyAlignment="1">
      <alignment horizontal="center"/>
    </xf>
    <xf numFmtId="0" fontId="10" fillId="0" borderId="0" xfId="0" applyFont="1" applyAlignment="1"/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9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39" fillId="0" borderId="1" xfId="3" applyFont="1" applyFill="1" applyBorder="1" applyAlignment="1">
      <alignment wrapText="1"/>
    </xf>
    <xf numFmtId="0" fontId="4" fillId="0" borderId="1" xfId="0" applyFont="1" applyBorder="1" applyAlignment="1"/>
    <xf numFmtId="0" fontId="6" fillId="2" borderId="1" xfId="0" applyFont="1" applyFill="1" applyBorder="1" applyAlignment="1">
      <alignment wrapText="1"/>
    </xf>
    <xf numFmtId="0" fontId="39" fillId="0" borderId="1" xfId="5" applyFont="1" applyFill="1" applyBorder="1" applyAlignment="1">
      <alignment horizontal="left" vertical="center" wrapText="1"/>
    </xf>
    <xf numFmtId="0" fontId="41" fillId="2" borderId="1" xfId="6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1" fillId="0" borderId="1" xfId="6" applyFont="1" applyFill="1" applyBorder="1" applyAlignment="1">
      <alignment horizontal="left" wrapText="1"/>
    </xf>
  </cellXfs>
  <cellStyles count="8">
    <cellStyle name="Normal" xfId="0" builtinId="0"/>
    <cellStyle name="Normal 2" xfId="2"/>
    <cellStyle name="Normal 3" xfId="3"/>
    <cellStyle name="Normal 3 2 2" xfId="6"/>
    <cellStyle name="Normal 4" xfId="4"/>
    <cellStyle name="Normal 5" xfId="5"/>
    <cellStyle name="Normal 5 4" xfId="7"/>
    <cellStyle name="Normal_Anexa F 140 146 10.07" xfId="1"/>
  </cellStyles>
  <dxfs count="0"/>
  <tableStyles count="0" defaultTableStyle="TableStyleMedium9" defaultPivotStyle="PivotStyleLight16"/>
  <colors>
    <mruColors>
      <color rgb="FFFF66FF"/>
      <color rgb="FFFF00FF"/>
      <color rgb="FFCC0099"/>
      <color rgb="FF15FF7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53"/>
  <sheetViews>
    <sheetView tabSelected="1" zoomScaleNormal="100" workbookViewId="0">
      <pane xSplit="3" ySplit="12" topLeftCell="J788" activePane="bottomRight" state="frozen"/>
      <selection activeCell="AB578" sqref="AB578"/>
      <selection pane="topRight" activeCell="AB578" sqref="AB578"/>
      <selection pane="bottomLeft" activeCell="AB578" sqref="AB578"/>
      <selection pane="bottomRight" activeCell="N2" sqref="N2"/>
    </sheetView>
  </sheetViews>
  <sheetFormatPr defaultRowHeight="12.75"/>
  <cols>
    <col min="1" max="1" width="4.7109375" style="2" hidden="1" customWidth="1"/>
    <col min="2" max="2" width="45.85546875" style="2" customWidth="1"/>
    <col min="3" max="3" width="9.140625" style="3" customWidth="1"/>
    <col min="4" max="4" width="12.5703125" style="2" hidden="1" customWidth="1"/>
    <col min="5" max="5" width="12.140625" style="2" hidden="1" customWidth="1"/>
    <col min="6" max="6" width="12.5703125" style="2" hidden="1" customWidth="1"/>
    <col min="7" max="7" width="11.7109375" style="2" hidden="1" customWidth="1"/>
    <col min="8" max="8" width="11.7109375" style="40" hidden="1" customWidth="1"/>
    <col min="9" max="9" width="11.5703125" style="2" hidden="1" customWidth="1"/>
    <col min="10" max="11" width="10.28515625" style="2" customWidth="1"/>
    <col min="12" max="12" width="10" style="2" customWidth="1"/>
    <col min="13" max="13" width="9.85546875" style="2" customWidth="1"/>
    <col min="14" max="14" width="9.7109375" style="2" customWidth="1"/>
    <col min="15" max="15" width="0.28515625" style="2" hidden="1" customWidth="1"/>
    <col min="16" max="16" width="5.7109375" style="2" hidden="1" customWidth="1"/>
    <col min="17" max="17" width="10" style="2" customWidth="1"/>
    <col min="18" max="18" width="10.5703125" style="2" customWidth="1"/>
    <col min="19" max="19" width="9.85546875" style="2" customWidth="1"/>
    <col min="20" max="21" width="10.140625" style="2" bestFit="1" customWidth="1"/>
    <col min="22" max="16384" width="9.140625" style="2"/>
  </cols>
  <sheetData>
    <row r="1" spans="1:19" s="1" customFormat="1" ht="15.75">
      <c r="A1" s="47" t="s">
        <v>564</v>
      </c>
      <c r="B1" s="49"/>
      <c r="C1" s="49"/>
      <c r="D1" s="4"/>
      <c r="F1" s="4"/>
      <c r="H1" s="43"/>
      <c r="N1" s="2" t="s">
        <v>653</v>
      </c>
    </row>
    <row r="2" spans="1:19" ht="15.75">
      <c r="A2" s="66" t="s">
        <v>566</v>
      </c>
      <c r="B2" s="66"/>
      <c r="D2" s="6"/>
      <c r="F2" s="6"/>
      <c r="N2" s="2" t="s">
        <v>678</v>
      </c>
    </row>
    <row r="3" spans="1:19" ht="15.75">
      <c r="A3" s="47" t="s">
        <v>565</v>
      </c>
      <c r="B3" s="49"/>
      <c r="C3" s="49"/>
      <c r="D3" s="6"/>
      <c r="F3" s="6"/>
    </row>
    <row r="4" spans="1:19" ht="33.75" customHeight="1">
      <c r="A4" s="5"/>
      <c r="B4" s="18"/>
      <c r="C4" s="29"/>
      <c r="D4" s="6"/>
      <c r="F4" s="6"/>
    </row>
    <row r="5" spans="1:19" ht="18" customHeight="1">
      <c r="A5" s="85" t="s">
        <v>641</v>
      </c>
      <c r="B5" s="86"/>
      <c r="C5" s="86"/>
      <c r="D5" s="86"/>
      <c r="E5" s="86"/>
      <c r="F5" s="86"/>
      <c r="G5" s="86"/>
      <c r="H5" s="86"/>
      <c r="I5" s="86"/>
      <c r="J5" s="87"/>
      <c r="K5" s="87"/>
      <c r="L5" s="88" t="s">
        <v>641</v>
      </c>
      <c r="M5" s="87"/>
      <c r="N5" s="87"/>
    </row>
    <row r="6" spans="1:19" ht="13.5" customHeight="1">
      <c r="C6" s="89"/>
      <c r="D6" s="87"/>
      <c r="E6" s="87"/>
      <c r="F6" s="87"/>
      <c r="G6" s="87"/>
      <c r="H6" s="90"/>
      <c r="I6" s="87"/>
      <c r="J6" s="280" t="s">
        <v>642</v>
      </c>
      <c r="K6" s="281"/>
      <c r="L6" s="281"/>
      <c r="M6" s="281"/>
      <c r="N6" s="281"/>
      <c r="O6" s="281"/>
      <c r="P6" s="281"/>
      <c r="Q6" s="281"/>
      <c r="R6" s="281"/>
      <c r="S6" s="87"/>
    </row>
    <row r="7" spans="1:19" ht="13.5" customHeight="1">
      <c r="A7" s="7"/>
      <c r="B7" s="282"/>
      <c r="C7" s="283"/>
      <c r="D7" s="283"/>
      <c r="E7" s="283"/>
      <c r="F7" s="283"/>
      <c r="G7" s="283"/>
      <c r="H7" s="283"/>
      <c r="I7" s="283"/>
      <c r="J7" s="87"/>
      <c r="K7" s="87"/>
      <c r="L7" s="87"/>
      <c r="M7" s="87"/>
      <c r="N7" s="87"/>
      <c r="O7" s="87"/>
      <c r="P7" s="87"/>
      <c r="Q7" s="87"/>
      <c r="R7" s="87"/>
      <c r="S7" s="87"/>
    </row>
    <row r="8" spans="1:19" ht="13.5" customHeight="1">
      <c r="A8" s="7"/>
      <c r="B8" s="8"/>
      <c r="C8" s="9"/>
      <c r="D8" s="10"/>
      <c r="F8" s="10"/>
    </row>
    <row r="9" spans="1:19">
      <c r="A9" s="7"/>
      <c r="B9" s="8"/>
      <c r="C9" s="9"/>
      <c r="D9" s="19"/>
      <c r="F9" s="19"/>
    </row>
    <row r="10" spans="1:19" ht="40.5" customHeight="1">
      <c r="A10" s="33"/>
      <c r="B10" s="34" t="s">
        <v>0</v>
      </c>
      <c r="C10" s="98" t="s">
        <v>1</v>
      </c>
      <c r="D10" s="52" t="s">
        <v>636</v>
      </c>
      <c r="E10" s="51" t="s">
        <v>644</v>
      </c>
      <c r="F10" s="52" t="s">
        <v>643</v>
      </c>
      <c r="G10" s="51" t="s">
        <v>637</v>
      </c>
      <c r="H10" s="51" t="s">
        <v>650</v>
      </c>
      <c r="I10" s="50" t="s">
        <v>638</v>
      </c>
      <c r="J10" s="278" t="s">
        <v>639</v>
      </c>
      <c r="K10" s="285" t="s">
        <v>655</v>
      </c>
      <c r="L10" s="286"/>
      <c r="M10" s="286"/>
      <c r="N10" s="287"/>
      <c r="O10" s="50"/>
      <c r="P10" s="50"/>
      <c r="Q10" s="284" t="s">
        <v>640</v>
      </c>
      <c r="R10" s="284"/>
      <c r="S10" s="284"/>
    </row>
    <row r="11" spans="1:19" ht="22.5" customHeight="1">
      <c r="A11" s="35"/>
      <c r="B11" s="34"/>
      <c r="C11" s="99"/>
      <c r="D11" s="39">
        <v>2020</v>
      </c>
      <c r="E11" s="36">
        <v>2021</v>
      </c>
      <c r="F11" s="37">
        <v>2021</v>
      </c>
      <c r="G11" s="36">
        <v>2021</v>
      </c>
      <c r="H11" s="44">
        <v>2021</v>
      </c>
      <c r="I11" s="95">
        <v>2022</v>
      </c>
      <c r="J11" s="95" t="s">
        <v>654</v>
      </c>
      <c r="K11" s="95" t="s">
        <v>2</v>
      </c>
      <c r="L11" s="95" t="s">
        <v>3</v>
      </c>
      <c r="M11" s="95" t="s">
        <v>4</v>
      </c>
      <c r="N11" s="95" t="s">
        <v>5</v>
      </c>
      <c r="O11" s="95"/>
      <c r="P11" s="95"/>
      <c r="Q11" s="95">
        <v>2023</v>
      </c>
      <c r="R11" s="95">
        <v>2024</v>
      </c>
      <c r="S11" s="95">
        <v>2025</v>
      </c>
    </row>
    <row r="12" spans="1:19" ht="22.5" customHeight="1">
      <c r="A12" s="174"/>
      <c r="B12" s="136" t="s">
        <v>567</v>
      </c>
      <c r="C12" s="137"/>
      <c r="D12" s="100">
        <f t="shared" ref="D12:S12" si="0">D15+D19+D40+D75+D101+D13+D99</f>
        <v>313111.03999999998</v>
      </c>
      <c r="E12" s="100">
        <f t="shared" si="0"/>
        <v>448027.9</v>
      </c>
      <c r="F12" s="100">
        <f t="shared" si="0"/>
        <v>409144</v>
      </c>
      <c r="G12" s="100">
        <f t="shared" si="0"/>
        <v>448027.9</v>
      </c>
      <c r="H12" s="115">
        <f t="shared" ref="H12" si="1">H15+H19+H40+H75+H101+H13+H99</f>
        <v>389582.51</v>
      </c>
      <c r="I12" s="100">
        <f t="shared" si="0"/>
        <v>192504</v>
      </c>
      <c r="J12" s="100">
        <f t="shared" si="0"/>
        <v>612530</v>
      </c>
      <c r="K12" s="194">
        <f t="shared" ref="K12:N12" si="2">K15+K19+K40+K75+K101+K13+K99</f>
        <v>96511</v>
      </c>
      <c r="L12" s="100">
        <f t="shared" si="2"/>
        <v>141755</v>
      </c>
      <c r="M12" s="100">
        <f t="shared" si="2"/>
        <v>190991</v>
      </c>
      <c r="N12" s="100">
        <f t="shared" si="2"/>
        <v>183273</v>
      </c>
      <c r="O12" s="30">
        <f t="shared" ref="O12:O75" si="3">K12+L12+M12+N12</f>
        <v>612530</v>
      </c>
      <c r="P12" s="100">
        <f>J12-O12</f>
        <v>0</v>
      </c>
      <c r="Q12" s="100">
        <f t="shared" si="0"/>
        <v>423243</v>
      </c>
      <c r="R12" s="100">
        <f t="shared" si="0"/>
        <v>311687</v>
      </c>
      <c r="S12" s="100">
        <f t="shared" si="0"/>
        <v>319417</v>
      </c>
    </row>
    <row r="13" spans="1:19" ht="14.25">
      <c r="A13" s="96" t="s">
        <v>6</v>
      </c>
      <c r="B13" s="129" t="s">
        <v>7</v>
      </c>
      <c r="C13" s="37">
        <v>1.02</v>
      </c>
      <c r="D13" s="100">
        <f t="shared" ref="D13:S13" si="4">D14</f>
        <v>332</v>
      </c>
      <c r="E13" s="100">
        <f t="shared" si="4"/>
        <v>400</v>
      </c>
      <c r="F13" s="100">
        <f t="shared" si="4"/>
        <v>400</v>
      </c>
      <c r="G13" s="100">
        <f t="shared" si="4"/>
        <v>400</v>
      </c>
      <c r="H13" s="115">
        <f t="shared" si="4"/>
        <v>444</v>
      </c>
      <c r="I13" s="100">
        <f t="shared" si="4"/>
        <v>420</v>
      </c>
      <c r="J13" s="100">
        <f t="shared" si="4"/>
        <v>300</v>
      </c>
      <c r="K13" s="194">
        <f t="shared" si="4"/>
        <v>0</v>
      </c>
      <c r="L13" s="100">
        <f t="shared" si="4"/>
        <v>300</v>
      </c>
      <c r="M13" s="100">
        <f t="shared" si="4"/>
        <v>0</v>
      </c>
      <c r="N13" s="100">
        <f t="shared" si="4"/>
        <v>0</v>
      </c>
      <c r="O13" s="30">
        <f t="shared" si="3"/>
        <v>300</v>
      </c>
      <c r="P13" s="100">
        <f t="shared" ref="P13:P76" si="5">J13-O13</f>
        <v>0</v>
      </c>
      <c r="Q13" s="100">
        <f t="shared" si="4"/>
        <v>300</v>
      </c>
      <c r="R13" s="100">
        <f t="shared" si="4"/>
        <v>300</v>
      </c>
      <c r="S13" s="100">
        <f t="shared" si="4"/>
        <v>300</v>
      </c>
    </row>
    <row r="14" spans="1:19" ht="17.25" customHeight="1">
      <c r="A14" s="96"/>
      <c r="B14" s="116" t="s">
        <v>8</v>
      </c>
      <c r="C14" s="135" t="s">
        <v>9</v>
      </c>
      <c r="D14" s="46">
        <v>332</v>
      </c>
      <c r="E14" s="30">
        <v>400</v>
      </c>
      <c r="F14" s="46">
        <v>400</v>
      </c>
      <c r="G14" s="30">
        <v>400</v>
      </c>
      <c r="H14" s="31">
        <v>444</v>
      </c>
      <c r="I14" s="30">
        <v>420</v>
      </c>
      <c r="J14" s="30">
        <v>300</v>
      </c>
      <c r="K14" s="64">
        <v>0</v>
      </c>
      <c r="L14" s="30">
        <v>300</v>
      </c>
      <c r="M14" s="30">
        <v>0</v>
      </c>
      <c r="N14" s="30">
        <v>0</v>
      </c>
      <c r="O14" s="30">
        <f t="shared" si="3"/>
        <v>300</v>
      </c>
      <c r="P14" s="100">
        <f t="shared" si="5"/>
        <v>0</v>
      </c>
      <c r="Q14" s="30">
        <v>300</v>
      </c>
      <c r="R14" s="30">
        <v>300</v>
      </c>
      <c r="S14" s="30">
        <v>300</v>
      </c>
    </row>
    <row r="15" spans="1:19" ht="27.75" customHeight="1">
      <c r="A15" s="96" t="s">
        <v>10</v>
      </c>
      <c r="B15" s="33" t="s">
        <v>11</v>
      </c>
      <c r="C15" s="37">
        <v>4.0199999999999996</v>
      </c>
      <c r="D15" s="101">
        <f t="shared" ref="D15" si="6">D16+D17</f>
        <v>112228.7</v>
      </c>
      <c r="E15" s="101">
        <f t="shared" ref="E15:J15" si="7">E16+E17+E18</f>
        <v>138064.9</v>
      </c>
      <c r="F15" s="101">
        <f t="shared" ref="F15" si="8">F16+F17</f>
        <v>126006</v>
      </c>
      <c r="G15" s="101">
        <f t="shared" si="7"/>
        <v>138064.9</v>
      </c>
      <c r="H15" s="109">
        <f t="shared" ref="H15" si="9">H16+H17+H18</f>
        <v>137682</v>
      </c>
      <c r="I15" s="101">
        <f t="shared" si="7"/>
        <v>0</v>
      </c>
      <c r="J15" s="101">
        <f t="shared" si="7"/>
        <v>149101</v>
      </c>
      <c r="K15" s="195">
        <f t="shared" ref="K15:N15" si="10">K16+K17+K18</f>
        <v>37500</v>
      </c>
      <c r="L15" s="101">
        <f t="shared" si="10"/>
        <v>37600</v>
      </c>
      <c r="M15" s="101">
        <f t="shared" si="10"/>
        <v>37600</v>
      </c>
      <c r="N15" s="101">
        <f t="shared" si="10"/>
        <v>36401</v>
      </c>
      <c r="O15" s="30">
        <f t="shared" si="3"/>
        <v>149101</v>
      </c>
      <c r="P15" s="100">
        <f t="shared" si="5"/>
        <v>0</v>
      </c>
      <c r="Q15" s="101">
        <f>Q16+Q17+Q18</f>
        <v>171837</v>
      </c>
      <c r="R15" s="101">
        <f t="shared" ref="R15:S15" si="11">R16+R17+R18</f>
        <v>178410</v>
      </c>
      <c r="S15" s="101">
        <f t="shared" si="11"/>
        <v>185922</v>
      </c>
    </row>
    <row r="16" spans="1:19" ht="16.5" customHeight="1">
      <c r="A16" s="96"/>
      <c r="B16" s="225" t="s">
        <v>670</v>
      </c>
      <c r="C16" s="135" t="s">
        <v>12</v>
      </c>
      <c r="D16" s="46">
        <v>98321</v>
      </c>
      <c r="E16" s="30">
        <v>114061</v>
      </c>
      <c r="F16" s="46">
        <v>110532</v>
      </c>
      <c r="G16" s="30">
        <v>114061</v>
      </c>
      <c r="H16" s="31">
        <v>113725</v>
      </c>
      <c r="I16" s="30"/>
      <c r="J16" s="30">
        <v>130791</v>
      </c>
      <c r="K16" s="64">
        <f>32800-100+100</f>
        <v>32800</v>
      </c>
      <c r="L16" s="30">
        <f>33000-100</f>
        <v>32900</v>
      </c>
      <c r="M16" s="30">
        <f>32000+1000-100</f>
        <v>32900</v>
      </c>
      <c r="N16" s="30">
        <f>31791+1000+500-600-600-300+200+300-100</f>
        <v>32191</v>
      </c>
      <c r="O16" s="30">
        <f t="shared" si="3"/>
        <v>130791</v>
      </c>
      <c r="P16" s="100">
        <f t="shared" si="5"/>
        <v>0</v>
      </c>
      <c r="Q16" s="30">
        <v>137250</v>
      </c>
      <c r="R16" s="30">
        <v>142500</v>
      </c>
      <c r="S16" s="30">
        <v>148500</v>
      </c>
    </row>
    <row r="17" spans="1:19" ht="25.5" customHeight="1">
      <c r="A17" s="96"/>
      <c r="B17" s="226" t="s">
        <v>671</v>
      </c>
      <c r="C17" s="135" t="s">
        <v>13</v>
      </c>
      <c r="D17" s="46">
        <v>13907.7</v>
      </c>
      <c r="E17" s="30">
        <v>15969</v>
      </c>
      <c r="F17" s="46">
        <v>15474</v>
      </c>
      <c r="G17" s="30">
        <v>15969</v>
      </c>
      <c r="H17" s="31">
        <v>15922</v>
      </c>
      <c r="I17" s="30"/>
      <c r="J17" s="30">
        <v>18310</v>
      </c>
      <c r="K17" s="64">
        <v>4700</v>
      </c>
      <c r="L17" s="30">
        <v>4700</v>
      </c>
      <c r="M17" s="30">
        <v>4700</v>
      </c>
      <c r="N17" s="30">
        <v>4210</v>
      </c>
      <c r="O17" s="30">
        <f t="shared" si="3"/>
        <v>18310</v>
      </c>
      <c r="P17" s="100">
        <f t="shared" si="5"/>
        <v>0</v>
      </c>
      <c r="Q17" s="30">
        <v>34587</v>
      </c>
      <c r="R17" s="30">
        <v>35910</v>
      </c>
      <c r="S17" s="30">
        <v>37422</v>
      </c>
    </row>
    <row r="18" spans="1:19" ht="27" hidden="1" customHeight="1">
      <c r="A18" s="96"/>
      <c r="B18" s="226" t="s">
        <v>632</v>
      </c>
      <c r="C18" s="135" t="s">
        <v>633</v>
      </c>
      <c r="D18" s="46"/>
      <c r="E18" s="30">
        <f>4966+3068.9</f>
        <v>8034.9</v>
      </c>
      <c r="F18" s="46"/>
      <c r="G18" s="30">
        <f>4966+3068.9</f>
        <v>8034.9</v>
      </c>
      <c r="H18" s="31">
        <v>8035</v>
      </c>
      <c r="I18" s="30"/>
      <c r="J18" s="30">
        <v>0</v>
      </c>
      <c r="K18" s="64">
        <v>0</v>
      </c>
      <c r="L18" s="30">
        <v>0</v>
      </c>
      <c r="M18" s="30">
        <v>0</v>
      </c>
      <c r="N18" s="30">
        <v>0</v>
      </c>
      <c r="O18" s="30">
        <f t="shared" si="3"/>
        <v>0</v>
      </c>
      <c r="P18" s="100">
        <f t="shared" si="5"/>
        <v>0</v>
      </c>
      <c r="Q18" s="30">
        <v>0</v>
      </c>
      <c r="R18" s="30">
        <v>0</v>
      </c>
      <c r="S18" s="30">
        <v>0</v>
      </c>
    </row>
    <row r="19" spans="1:19" ht="14.25">
      <c r="A19" s="96" t="s">
        <v>14</v>
      </c>
      <c r="B19" s="129" t="s">
        <v>568</v>
      </c>
      <c r="C19" s="135" t="s">
        <v>16</v>
      </c>
      <c r="D19" s="101">
        <f t="shared" ref="D19:S19" si="12">D20+D37+D38+D39</f>
        <v>152695.53999999998</v>
      </c>
      <c r="E19" s="101">
        <f t="shared" si="12"/>
        <v>158938</v>
      </c>
      <c r="F19" s="101">
        <f t="shared" si="12"/>
        <v>134460</v>
      </c>
      <c r="G19" s="101">
        <f t="shared" si="12"/>
        <v>158938</v>
      </c>
      <c r="H19" s="109">
        <f t="shared" ref="H19" si="13">H20+H37+H38+H39</f>
        <v>152322</v>
      </c>
      <c r="I19" s="101">
        <f t="shared" si="12"/>
        <v>15925</v>
      </c>
      <c r="J19" s="101">
        <f t="shared" si="12"/>
        <v>188241</v>
      </c>
      <c r="K19" s="195">
        <f t="shared" ref="K19:N19" si="14">K20+K37+K38+K39</f>
        <v>45350</v>
      </c>
      <c r="L19" s="101">
        <f t="shared" si="14"/>
        <v>45783</v>
      </c>
      <c r="M19" s="101">
        <f t="shared" si="14"/>
        <v>49836</v>
      </c>
      <c r="N19" s="101">
        <f t="shared" si="14"/>
        <v>47272</v>
      </c>
      <c r="O19" s="30">
        <f t="shared" si="3"/>
        <v>188241</v>
      </c>
      <c r="P19" s="100">
        <f t="shared" si="5"/>
        <v>0</v>
      </c>
      <c r="Q19" s="101">
        <f t="shared" si="12"/>
        <v>150413</v>
      </c>
      <c r="R19" s="101">
        <f t="shared" si="12"/>
        <v>118187</v>
      </c>
      <c r="S19" s="101">
        <f t="shared" si="12"/>
        <v>118239</v>
      </c>
    </row>
    <row r="20" spans="1:19" ht="26.25" customHeight="1">
      <c r="A20" s="175">
        <v>1</v>
      </c>
      <c r="B20" s="33" t="s">
        <v>426</v>
      </c>
      <c r="C20" s="135" t="s">
        <v>17</v>
      </c>
      <c r="D20" s="100">
        <f t="shared" ref="D20:S20" si="15">D21+D22+D24+D25+D26+D32+D35+D36+D23</f>
        <v>74453.539999999994</v>
      </c>
      <c r="E20" s="100">
        <f t="shared" si="15"/>
        <v>82164</v>
      </c>
      <c r="F20" s="100">
        <f t="shared" si="15"/>
        <v>84359</v>
      </c>
      <c r="G20" s="100">
        <f t="shared" si="15"/>
        <v>82164</v>
      </c>
      <c r="H20" s="115">
        <v>75548</v>
      </c>
      <c r="I20" s="100">
        <f t="shared" si="15"/>
        <v>15925</v>
      </c>
      <c r="J20" s="100">
        <f t="shared" si="15"/>
        <v>95718</v>
      </c>
      <c r="K20" s="194">
        <f t="shared" ref="K20:N20" si="16">K21+K22+K24+K25+K26+K32+K35+K36+K23</f>
        <v>20350</v>
      </c>
      <c r="L20" s="100">
        <f t="shared" si="16"/>
        <v>22950</v>
      </c>
      <c r="M20" s="100">
        <f t="shared" si="16"/>
        <v>28000</v>
      </c>
      <c r="N20" s="100">
        <f t="shared" si="16"/>
        <v>24418</v>
      </c>
      <c r="O20" s="30">
        <f t="shared" si="3"/>
        <v>95718</v>
      </c>
      <c r="P20" s="100">
        <f t="shared" si="5"/>
        <v>0</v>
      </c>
      <c r="Q20" s="100">
        <f t="shared" si="15"/>
        <v>101005</v>
      </c>
      <c r="R20" s="100">
        <f t="shared" si="15"/>
        <v>85721</v>
      </c>
      <c r="S20" s="100">
        <f t="shared" si="15"/>
        <v>85773</v>
      </c>
    </row>
    <row r="21" spans="1:19" ht="15" customHeight="1">
      <c r="A21" s="175"/>
      <c r="B21" s="35" t="s">
        <v>18</v>
      </c>
      <c r="C21" s="135" t="s">
        <v>17</v>
      </c>
      <c r="D21" s="46"/>
      <c r="E21" s="30">
        <v>32094</v>
      </c>
      <c r="F21" s="46">
        <v>32094</v>
      </c>
      <c r="G21" s="30">
        <v>32094</v>
      </c>
      <c r="H21" s="31"/>
      <c r="I21" s="30"/>
      <c r="J21" s="30">
        <v>28040</v>
      </c>
      <c r="K21" s="64">
        <f>8000-2000-1000+1000-2070</f>
        <v>3930</v>
      </c>
      <c r="L21" s="30">
        <f>8000-172-1</f>
        <v>7827</v>
      </c>
      <c r="M21" s="30">
        <f>6500+2000+172-700+1000</f>
        <v>8972</v>
      </c>
      <c r="N21" s="30">
        <f>5540+700+1071</f>
        <v>7311</v>
      </c>
      <c r="O21" s="30">
        <f t="shared" si="3"/>
        <v>28040</v>
      </c>
      <c r="P21" s="100">
        <f t="shared" si="5"/>
        <v>0</v>
      </c>
      <c r="Q21" s="30">
        <v>28040</v>
      </c>
      <c r="R21" s="30">
        <v>28040</v>
      </c>
      <c r="S21" s="30">
        <v>28040</v>
      </c>
    </row>
    <row r="22" spans="1:19" ht="14.25">
      <c r="A22" s="175"/>
      <c r="B22" s="116" t="s">
        <v>451</v>
      </c>
      <c r="C22" s="135" t="s">
        <v>17</v>
      </c>
      <c r="D22" s="46"/>
      <c r="E22" s="30">
        <v>22836</v>
      </c>
      <c r="F22" s="46">
        <v>22836</v>
      </c>
      <c r="G22" s="30">
        <v>22836</v>
      </c>
      <c r="H22" s="31"/>
      <c r="I22" s="30"/>
      <c r="J22" s="30">
        <v>40070</v>
      </c>
      <c r="K22" s="64">
        <v>8900</v>
      </c>
      <c r="L22" s="30">
        <v>9000</v>
      </c>
      <c r="M22" s="30">
        <f>11000+1169-1000+1</f>
        <v>11170</v>
      </c>
      <c r="N22" s="30">
        <v>11000</v>
      </c>
      <c r="O22" s="30">
        <f t="shared" si="3"/>
        <v>40070</v>
      </c>
      <c r="P22" s="100">
        <f t="shared" si="5"/>
        <v>0</v>
      </c>
      <c r="Q22" s="30">
        <v>40070</v>
      </c>
      <c r="R22" s="30">
        <v>40070</v>
      </c>
      <c r="S22" s="30">
        <v>40070</v>
      </c>
    </row>
    <row r="23" spans="1:19" ht="14.25">
      <c r="A23" s="175"/>
      <c r="B23" s="116" t="s">
        <v>19</v>
      </c>
      <c r="C23" s="135" t="s">
        <v>17</v>
      </c>
      <c r="D23" s="46"/>
      <c r="E23" s="30">
        <v>361</v>
      </c>
      <c r="F23" s="46">
        <v>120</v>
      </c>
      <c r="G23" s="30">
        <v>361</v>
      </c>
      <c r="H23" s="31"/>
      <c r="I23" s="30"/>
      <c r="J23" s="30">
        <v>361</v>
      </c>
      <c r="K23" s="64">
        <v>90</v>
      </c>
      <c r="L23" s="30">
        <v>90</v>
      </c>
      <c r="M23" s="30">
        <v>90</v>
      </c>
      <c r="N23" s="30">
        <v>91</v>
      </c>
      <c r="O23" s="30">
        <f t="shared" si="3"/>
        <v>361</v>
      </c>
      <c r="P23" s="100">
        <f t="shared" si="5"/>
        <v>0</v>
      </c>
      <c r="Q23" s="30">
        <v>361</v>
      </c>
      <c r="R23" s="30">
        <v>361</v>
      </c>
      <c r="S23" s="30">
        <v>361</v>
      </c>
    </row>
    <row r="24" spans="1:19" ht="17.25" customHeight="1">
      <c r="A24" s="175"/>
      <c r="B24" s="116" t="s">
        <v>452</v>
      </c>
      <c r="C24" s="135" t="s">
        <v>17</v>
      </c>
      <c r="D24" s="102">
        <f>D558</f>
        <v>5230.54</v>
      </c>
      <c r="E24" s="102">
        <f t="shared" ref="E24:S24" si="17">E558</f>
        <v>9466</v>
      </c>
      <c r="F24" s="102">
        <f>F558</f>
        <v>11902</v>
      </c>
      <c r="G24" s="102">
        <f t="shared" si="17"/>
        <v>9466</v>
      </c>
      <c r="H24" s="103"/>
      <c r="I24" s="102">
        <f t="shared" si="17"/>
        <v>13500</v>
      </c>
      <c r="J24" s="104">
        <f t="shared" si="17"/>
        <v>10123</v>
      </c>
      <c r="K24" s="196">
        <f t="shared" si="17"/>
        <v>3150</v>
      </c>
      <c r="L24" s="104">
        <f t="shared" si="17"/>
        <v>1750</v>
      </c>
      <c r="M24" s="104">
        <f t="shared" si="17"/>
        <v>3487</v>
      </c>
      <c r="N24" s="104">
        <f t="shared" si="17"/>
        <v>1736</v>
      </c>
      <c r="O24" s="30">
        <f t="shared" si="3"/>
        <v>10123</v>
      </c>
      <c r="P24" s="100">
        <f t="shared" si="5"/>
        <v>0</v>
      </c>
      <c r="Q24" s="104">
        <f t="shared" si="17"/>
        <v>15341</v>
      </c>
      <c r="R24" s="104">
        <f t="shared" si="17"/>
        <v>0</v>
      </c>
      <c r="S24" s="104">
        <f t="shared" si="17"/>
        <v>0</v>
      </c>
    </row>
    <row r="25" spans="1:19" ht="17.25" hidden="1" customHeight="1">
      <c r="A25" s="175"/>
      <c r="B25" s="116" t="s">
        <v>20</v>
      </c>
      <c r="C25" s="135"/>
      <c r="D25" s="46"/>
      <c r="E25" s="30"/>
      <c r="F25" s="46"/>
      <c r="G25" s="30"/>
      <c r="H25" s="31"/>
      <c r="I25" s="30"/>
      <c r="J25" s="30"/>
      <c r="K25" s="64"/>
      <c r="L25" s="30"/>
      <c r="M25" s="30"/>
      <c r="N25" s="30"/>
      <c r="O25" s="30">
        <f t="shared" si="3"/>
        <v>0</v>
      </c>
      <c r="P25" s="100">
        <f t="shared" si="5"/>
        <v>0</v>
      </c>
      <c r="Q25" s="30"/>
      <c r="R25" s="30"/>
      <c r="S25" s="30"/>
    </row>
    <row r="26" spans="1:19" ht="17.25" customHeight="1">
      <c r="A26" s="175"/>
      <c r="B26" s="116" t="s">
        <v>465</v>
      </c>
      <c r="C26" s="135" t="s">
        <v>17</v>
      </c>
      <c r="D26" s="105">
        <v>69223</v>
      </c>
      <c r="E26" s="105">
        <f t="shared" ref="E26:S26" si="18">E27+E28+E29+E30+E31</f>
        <v>3447</v>
      </c>
      <c r="F26" s="105">
        <f t="shared" si="18"/>
        <v>3447</v>
      </c>
      <c r="G26" s="105">
        <f t="shared" si="18"/>
        <v>3447</v>
      </c>
      <c r="H26" s="105"/>
      <c r="I26" s="105">
        <f t="shared" si="18"/>
        <v>2425</v>
      </c>
      <c r="J26" s="105">
        <f t="shared" si="18"/>
        <v>3649</v>
      </c>
      <c r="K26" s="197">
        <f t="shared" si="18"/>
        <v>910</v>
      </c>
      <c r="L26" s="105">
        <f t="shared" si="18"/>
        <v>913</v>
      </c>
      <c r="M26" s="105">
        <f t="shared" si="18"/>
        <v>913</v>
      </c>
      <c r="N26" s="105">
        <f t="shared" si="18"/>
        <v>913</v>
      </c>
      <c r="O26" s="30">
        <f t="shared" si="3"/>
        <v>3649</v>
      </c>
      <c r="P26" s="100">
        <f t="shared" si="5"/>
        <v>0</v>
      </c>
      <c r="Q26" s="105">
        <f t="shared" si="18"/>
        <v>3718</v>
      </c>
      <c r="R26" s="105">
        <f t="shared" si="18"/>
        <v>3775</v>
      </c>
      <c r="S26" s="105">
        <f t="shared" si="18"/>
        <v>3827</v>
      </c>
    </row>
    <row r="27" spans="1:19" ht="17.25" hidden="1" customHeight="1">
      <c r="A27" s="175"/>
      <c r="B27" s="116" t="s">
        <v>21</v>
      </c>
      <c r="C27" s="135"/>
      <c r="D27" s="46"/>
      <c r="E27" s="30"/>
      <c r="F27" s="46"/>
      <c r="G27" s="30"/>
      <c r="H27" s="31"/>
      <c r="I27" s="30"/>
      <c r="J27" s="30"/>
      <c r="K27" s="64"/>
      <c r="L27" s="30"/>
      <c r="M27" s="30"/>
      <c r="N27" s="30"/>
      <c r="O27" s="30">
        <f t="shared" si="3"/>
        <v>0</v>
      </c>
      <c r="P27" s="100">
        <f t="shared" si="5"/>
        <v>0</v>
      </c>
      <c r="Q27" s="30"/>
      <c r="R27" s="30"/>
      <c r="S27" s="30"/>
    </row>
    <row r="28" spans="1:19" ht="14.25" customHeight="1">
      <c r="A28" s="175"/>
      <c r="B28" s="116" t="s">
        <v>464</v>
      </c>
      <c r="C28" s="135" t="s">
        <v>17</v>
      </c>
      <c r="D28" s="42"/>
      <c r="E28" s="30">
        <v>1763</v>
      </c>
      <c r="F28" s="42">
        <v>1763</v>
      </c>
      <c r="G28" s="30">
        <v>1763</v>
      </c>
      <c r="H28" s="31"/>
      <c r="I28" s="30"/>
      <c r="J28" s="30">
        <v>1878</v>
      </c>
      <c r="K28" s="64">
        <v>470</v>
      </c>
      <c r="L28" s="30">
        <v>470</v>
      </c>
      <c r="M28" s="30">
        <v>470</v>
      </c>
      <c r="N28" s="30">
        <v>468</v>
      </c>
      <c r="O28" s="30">
        <f t="shared" si="3"/>
        <v>1878</v>
      </c>
      <c r="P28" s="100">
        <f t="shared" si="5"/>
        <v>0</v>
      </c>
      <c r="Q28" s="30">
        <v>1947</v>
      </c>
      <c r="R28" s="30">
        <v>2004</v>
      </c>
      <c r="S28" s="30">
        <v>2056</v>
      </c>
    </row>
    <row r="29" spans="1:19" ht="2.25" hidden="1" customHeight="1">
      <c r="A29" s="175"/>
      <c r="B29" s="116" t="s">
        <v>427</v>
      </c>
      <c r="C29" s="135"/>
      <c r="D29" s="42"/>
      <c r="E29" s="30"/>
      <c r="F29" s="42"/>
      <c r="G29" s="30"/>
      <c r="H29" s="31"/>
      <c r="I29" s="30"/>
      <c r="J29" s="30"/>
      <c r="K29" s="64"/>
      <c r="L29" s="30"/>
      <c r="M29" s="30"/>
      <c r="N29" s="30"/>
      <c r="O29" s="30">
        <f t="shared" si="3"/>
        <v>0</v>
      </c>
      <c r="P29" s="100">
        <f t="shared" si="5"/>
        <v>0</v>
      </c>
      <c r="Q29" s="30"/>
      <c r="R29" s="30"/>
      <c r="S29" s="30"/>
    </row>
    <row r="30" spans="1:19" ht="30" customHeight="1">
      <c r="A30" s="175"/>
      <c r="B30" s="35" t="s">
        <v>428</v>
      </c>
      <c r="C30" s="135" t="s">
        <v>17</v>
      </c>
      <c r="D30" s="42">
        <f t="shared" ref="D30:S31" si="19">D493</f>
        <v>1020.27</v>
      </c>
      <c r="E30" s="42">
        <f>E493-8</f>
        <v>1533</v>
      </c>
      <c r="F30" s="42">
        <f t="shared" ref="F30:F31" si="20">F493</f>
        <v>1533</v>
      </c>
      <c r="G30" s="42">
        <f>G493-8</f>
        <v>1533</v>
      </c>
      <c r="H30" s="106"/>
      <c r="I30" s="42">
        <f t="shared" si="19"/>
        <v>2005</v>
      </c>
      <c r="J30" s="107">
        <f t="shared" si="19"/>
        <v>1771</v>
      </c>
      <c r="K30" s="198">
        <v>440</v>
      </c>
      <c r="L30" s="107">
        <v>443</v>
      </c>
      <c r="M30" s="107">
        <v>443</v>
      </c>
      <c r="N30" s="107">
        <v>445</v>
      </c>
      <c r="O30" s="30">
        <f t="shared" si="3"/>
        <v>1771</v>
      </c>
      <c r="P30" s="100">
        <f t="shared" si="5"/>
        <v>0</v>
      </c>
      <c r="Q30" s="107">
        <f t="shared" si="19"/>
        <v>1771</v>
      </c>
      <c r="R30" s="107">
        <f t="shared" si="19"/>
        <v>1771</v>
      </c>
      <c r="S30" s="107">
        <f t="shared" si="19"/>
        <v>1771</v>
      </c>
    </row>
    <row r="31" spans="1:19" ht="15" hidden="1" customHeight="1">
      <c r="A31" s="175"/>
      <c r="B31" s="35" t="s">
        <v>619</v>
      </c>
      <c r="C31" s="135" t="s">
        <v>17</v>
      </c>
      <c r="D31" s="42">
        <f t="shared" si="19"/>
        <v>0</v>
      </c>
      <c r="E31" s="42">
        <f t="shared" si="19"/>
        <v>151</v>
      </c>
      <c r="F31" s="42">
        <f t="shared" si="20"/>
        <v>151</v>
      </c>
      <c r="G31" s="42">
        <f t="shared" si="19"/>
        <v>151</v>
      </c>
      <c r="H31" s="106"/>
      <c r="I31" s="42">
        <f t="shared" si="19"/>
        <v>420</v>
      </c>
      <c r="J31" s="107">
        <v>0</v>
      </c>
      <c r="K31" s="198">
        <v>0</v>
      </c>
      <c r="L31" s="107">
        <v>0</v>
      </c>
      <c r="M31" s="107">
        <v>0</v>
      </c>
      <c r="N31" s="107">
        <v>0</v>
      </c>
      <c r="O31" s="30">
        <f t="shared" si="3"/>
        <v>0</v>
      </c>
      <c r="P31" s="100">
        <f t="shared" si="5"/>
        <v>0</v>
      </c>
      <c r="Q31" s="42">
        <f t="shared" si="19"/>
        <v>0</v>
      </c>
      <c r="R31" s="42">
        <f t="shared" si="19"/>
        <v>0</v>
      </c>
      <c r="S31" s="42">
        <f t="shared" si="19"/>
        <v>0</v>
      </c>
    </row>
    <row r="32" spans="1:19" ht="14.25">
      <c r="A32" s="175"/>
      <c r="B32" s="116" t="s">
        <v>576</v>
      </c>
      <c r="C32" s="135" t="s">
        <v>17</v>
      </c>
      <c r="D32" s="105">
        <f t="shared" ref="D32:S32" si="21">D33+D34</f>
        <v>0</v>
      </c>
      <c r="E32" s="105">
        <f t="shared" si="21"/>
        <v>13677</v>
      </c>
      <c r="F32" s="105">
        <f t="shared" si="21"/>
        <v>13677</v>
      </c>
      <c r="G32" s="105">
        <f t="shared" si="21"/>
        <v>13677</v>
      </c>
      <c r="H32" s="108">
        <f t="shared" ref="H32" si="22">H33+H34</f>
        <v>0</v>
      </c>
      <c r="I32" s="105">
        <f t="shared" si="21"/>
        <v>0</v>
      </c>
      <c r="J32" s="105">
        <f t="shared" si="21"/>
        <v>13475</v>
      </c>
      <c r="K32" s="197">
        <f t="shared" ref="K32:N32" si="23">K33+K34</f>
        <v>3370</v>
      </c>
      <c r="L32" s="105">
        <f t="shared" si="23"/>
        <v>3370</v>
      </c>
      <c r="M32" s="105">
        <f t="shared" si="23"/>
        <v>3368</v>
      </c>
      <c r="N32" s="105">
        <f t="shared" si="23"/>
        <v>3367</v>
      </c>
      <c r="O32" s="30">
        <f t="shared" si="3"/>
        <v>13475</v>
      </c>
      <c r="P32" s="100">
        <f t="shared" si="5"/>
        <v>0</v>
      </c>
      <c r="Q32" s="105">
        <f t="shared" si="21"/>
        <v>13475</v>
      </c>
      <c r="R32" s="105">
        <f t="shared" si="21"/>
        <v>13475</v>
      </c>
      <c r="S32" s="105">
        <f t="shared" si="21"/>
        <v>13475</v>
      </c>
    </row>
    <row r="33" spans="1:19" ht="15.75" customHeight="1">
      <c r="A33" s="175"/>
      <c r="B33" s="116" t="s">
        <v>577</v>
      </c>
      <c r="C33" s="135" t="s">
        <v>17</v>
      </c>
      <c r="D33" s="46"/>
      <c r="E33" s="30">
        <v>13677</v>
      </c>
      <c r="F33" s="46">
        <v>13677</v>
      </c>
      <c r="G33" s="30">
        <v>13677</v>
      </c>
      <c r="H33" s="31"/>
      <c r="I33" s="30"/>
      <c r="J33" s="30">
        <v>13475</v>
      </c>
      <c r="K33" s="64">
        <v>3370</v>
      </c>
      <c r="L33" s="30">
        <v>3370</v>
      </c>
      <c r="M33" s="30">
        <v>3368</v>
      </c>
      <c r="N33" s="30">
        <v>3367</v>
      </c>
      <c r="O33" s="30">
        <f t="shared" si="3"/>
        <v>13475</v>
      </c>
      <c r="P33" s="100">
        <f t="shared" si="5"/>
        <v>0</v>
      </c>
      <c r="Q33" s="30">
        <v>13475</v>
      </c>
      <c r="R33" s="30">
        <v>13475</v>
      </c>
      <c r="S33" s="30">
        <v>13475</v>
      </c>
    </row>
    <row r="34" spans="1:19" ht="12.75" hidden="1" customHeight="1">
      <c r="A34" s="175"/>
      <c r="B34" s="116" t="s">
        <v>22</v>
      </c>
      <c r="C34" s="135" t="s">
        <v>17</v>
      </c>
      <c r="D34" s="104"/>
      <c r="E34" s="30"/>
      <c r="F34" s="104"/>
      <c r="G34" s="30"/>
      <c r="H34" s="31"/>
      <c r="I34" s="30"/>
      <c r="J34" s="30"/>
      <c r="K34" s="64"/>
      <c r="L34" s="30"/>
      <c r="M34" s="30"/>
      <c r="N34" s="30"/>
      <c r="O34" s="30">
        <f t="shared" si="3"/>
        <v>0</v>
      </c>
      <c r="P34" s="100">
        <f t="shared" si="5"/>
        <v>0</v>
      </c>
      <c r="Q34" s="30"/>
      <c r="R34" s="30"/>
      <c r="S34" s="30"/>
    </row>
    <row r="35" spans="1:19" ht="0.75" customHeight="1">
      <c r="A35" s="175"/>
      <c r="B35" s="116" t="s">
        <v>23</v>
      </c>
      <c r="C35" s="135" t="s">
        <v>17</v>
      </c>
      <c r="D35" s="46"/>
      <c r="E35" s="30">
        <v>283</v>
      </c>
      <c r="F35" s="46">
        <v>283</v>
      </c>
      <c r="G35" s="30">
        <v>283</v>
      </c>
      <c r="H35" s="31"/>
      <c r="I35" s="30"/>
      <c r="J35" s="30">
        <v>0</v>
      </c>
      <c r="K35" s="64">
        <v>0</v>
      </c>
      <c r="L35" s="30">
        <v>0</v>
      </c>
      <c r="M35" s="30">
        <v>0</v>
      </c>
      <c r="N35" s="30">
        <v>0</v>
      </c>
      <c r="O35" s="30">
        <f t="shared" si="3"/>
        <v>0</v>
      </c>
      <c r="P35" s="100">
        <f t="shared" si="5"/>
        <v>0</v>
      </c>
      <c r="Q35" s="30"/>
      <c r="R35" s="30"/>
      <c r="S35" s="30"/>
    </row>
    <row r="36" spans="1:19" ht="30" hidden="1" customHeight="1">
      <c r="A36" s="175"/>
      <c r="B36" s="35" t="s">
        <v>24</v>
      </c>
      <c r="C36" s="135"/>
      <c r="D36" s="46"/>
      <c r="E36" s="30"/>
      <c r="F36" s="46"/>
      <c r="G36" s="30"/>
      <c r="H36" s="31"/>
      <c r="I36" s="30"/>
      <c r="J36" s="30"/>
      <c r="K36" s="64"/>
      <c r="L36" s="30"/>
      <c r="M36" s="30"/>
      <c r="N36" s="30"/>
      <c r="O36" s="30">
        <f t="shared" si="3"/>
        <v>0</v>
      </c>
      <c r="P36" s="100">
        <f t="shared" si="5"/>
        <v>0</v>
      </c>
      <c r="Q36" s="30"/>
      <c r="R36" s="30"/>
      <c r="S36" s="30"/>
    </row>
    <row r="37" spans="1:19" ht="18" customHeight="1">
      <c r="A37" s="12">
        <v>2</v>
      </c>
      <c r="B37" s="129" t="s">
        <v>25</v>
      </c>
      <c r="C37" s="135" t="s">
        <v>26</v>
      </c>
      <c r="D37" s="46">
        <v>12832</v>
      </c>
      <c r="E37" s="30">
        <v>30127</v>
      </c>
      <c r="F37" s="46">
        <v>18076</v>
      </c>
      <c r="G37" s="30">
        <v>30127</v>
      </c>
      <c r="H37" s="31">
        <v>30127</v>
      </c>
      <c r="I37" s="30"/>
      <c r="J37" s="30">
        <f>25689-5000+518+519+1000+100-234-234</f>
        <v>22358</v>
      </c>
      <c r="K37" s="64">
        <v>7000</v>
      </c>
      <c r="L37" s="30">
        <f>4500+518+49-234</f>
        <v>4833</v>
      </c>
      <c r="M37" s="30">
        <f>4500+519+51-234</f>
        <v>4836</v>
      </c>
      <c r="N37" s="30">
        <f>4689+1000</f>
        <v>5689</v>
      </c>
      <c r="O37" s="30">
        <f t="shared" si="3"/>
        <v>22358</v>
      </c>
      <c r="P37" s="100">
        <f t="shared" si="5"/>
        <v>0</v>
      </c>
      <c r="Q37" s="30">
        <v>25689</v>
      </c>
      <c r="R37" s="30">
        <v>25689</v>
      </c>
      <c r="S37" s="30">
        <v>25689</v>
      </c>
    </row>
    <row r="38" spans="1:19" ht="13.5" customHeight="1">
      <c r="A38" s="12">
        <v>3</v>
      </c>
      <c r="B38" s="33" t="s">
        <v>578</v>
      </c>
      <c r="C38" s="135" t="s">
        <v>28</v>
      </c>
      <c r="D38" s="46">
        <v>65410</v>
      </c>
      <c r="E38" s="30">
        <f>42647+4000</f>
        <v>46647</v>
      </c>
      <c r="F38" s="46">
        <v>32025</v>
      </c>
      <c r="G38" s="30">
        <f>42647+4000</f>
        <v>46647</v>
      </c>
      <c r="H38" s="31">
        <v>46647</v>
      </c>
      <c r="I38" s="30"/>
      <c r="J38" s="30">
        <v>70165</v>
      </c>
      <c r="K38" s="64">
        <v>18000</v>
      </c>
      <c r="L38" s="30">
        <v>18000</v>
      </c>
      <c r="M38" s="30">
        <v>17000</v>
      </c>
      <c r="N38" s="30">
        <v>17165</v>
      </c>
      <c r="O38" s="30">
        <f t="shared" si="3"/>
        <v>70165</v>
      </c>
      <c r="P38" s="100">
        <f t="shared" si="5"/>
        <v>0</v>
      </c>
      <c r="Q38" s="30">
        <v>23719</v>
      </c>
      <c r="R38" s="30">
        <v>6777</v>
      </c>
      <c r="S38" s="30">
        <v>6777</v>
      </c>
    </row>
    <row r="39" spans="1:19" ht="18" hidden="1" customHeight="1">
      <c r="A39" s="12"/>
      <c r="B39" s="116"/>
      <c r="C39" s="135"/>
      <c r="D39" s="46"/>
      <c r="E39" s="30"/>
      <c r="F39" s="46"/>
      <c r="G39" s="30"/>
      <c r="H39" s="31"/>
      <c r="I39" s="30"/>
      <c r="J39" s="30"/>
      <c r="K39" s="64"/>
      <c r="L39" s="30"/>
      <c r="M39" s="30"/>
      <c r="N39" s="30"/>
      <c r="O39" s="30">
        <f t="shared" si="3"/>
        <v>0</v>
      </c>
      <c r="P39" s="100">
        <f t="shared" si="5"/>
        <v>0</v>
      </c>
      <c r="Q39" s="30"/>
      <c r="R39" s="30"/>
      <c r="S39" s="30"/>
    </row>
    <row r="40" spans="1:19" ht="20.25" customHeight="1">
      <c r="A40" s="96" t="s">
        <v>29</v>
      </c>
      <c r="B40" s="129" t="s">
        <v>569</v>
      </c>
      <c r="C40" s="37"/>
      <c r="D40" s="101">
        <f t="shared" ref="D40:S40" si="24">D41+D45+D52+D59+D63+D68+D57+D72</f>
        <v>8855.3000000000011</v>
      </c>
      <c r="E40" s="101">
        <f t="shared" si="24"/>
        <v>7110</v>
      </c>
      <c r="F40" s="101">
        <f t="shared" si="24"/>
        <v>7100</v>
      </c>
      <c r="G40" s="101">
        <f t="shared" si="24"/>
        <v>7110</v>
      </c>
      <c r="H40" s="109">
        <f t="shared" ref="H40" si="25">H41+H45+H52+H59+H63+H68+H57+H72</f>
        <v>9231</v>
      </c>
      <c r="I40" s="101">
        <f t="shared" si="24"/>
        <v>7781</v>
      </c>
      <c r="J40" s="101">
        <f>J41+J45+J52+J59+J63+J68+J57+J72</f>
        <v>7700</v>
      </c>
      <c r="K40" s="195">
        <f>K41+K45+K52+K59+K63+K68+K57+K72</f>
        <v>1929</v>
      </c>
      <c r="L40" s="101">
        <f>L41+L45+L52+L59+L63+L68+L57+L72</f>
        <v>1928</v>
      </c>
      <c r="M40" s="101">
        <f>M41+M45+M52+M59+M63+M68+M57+M72</f>
        <v>1929</v>
      </c>
      <c r="N40" s="101">
        <f>N41+N45+N52+N59+N63+N68+N57+N72</f>
        <v>1914</v>
      </c>
      <c r="O40" s="30">
        <f t="shared" si="3"/>
        <v>7700</v>
      </c>
      <c r="P40" s="100">
        <f t="shared" si="5"/>
        <v>0</v>
      </c>
      <c r="Q40" s="101">
        <f t="shared" si="24"/>
        <v>8060</v>
      </c>
      <c r="R40" s="101">
        <f t="shared" si="24"/>
        <v>8340</v>
      </c>
      <c r="S40" s="101">
        <f t="shared" si="24"/>
        <v>8506</v>
      </c>
    </row>
    <row r="41" spans="1:19" ht="28.5" customHeight="1">
      <c r="A41" s="12">
        <v>1</v>
      </c>
      <c r="B41" s="33" t="s">
        <v>30</v>
      </c>
      <c r="C41" s="135">
        <v>16.02</v>
      </c>
      <c r="D41" s="110">
        <f t="shared" ref="D41:S41" si="26">D42+D44+D43</f>
        <v>3006</v>
      </c>
      <c r="E41" s="110">
        <f t="shared" si="26"/>
        <v>3240</v>
      </c>
      <c r="F41" s="110">
        <f t="shared" si="26"/>
        <v>3240</v>
      </c>
      <c r="G41" s="110">
        <f t="shared" si="26"/>
        <v>3240</v>
      </c>
      <c r="H41" s="111">
        <f t="shared" ref="H41" si="27">H42+H44+H43</f>
        <v>3292</v>
      </c>
      <c r="I41" s="110">
        <f t="shared" si="26"/>
        <v>3637</v>
      </c>
      <c r="J41" s="110">
        <f>J42+J44+J43</f>
        <v>3528</v>
      </c>
      <c r="K41" s="199">
        <f>K42+K44+K43</f>
        <v>885</v>
      </c>
      <c r="L41" s="110">
        <f>L42+L44+L43</f>
        <v>885</v>
      </c>
      <c r="M41" s="110">
        <f>M42+M44+M43</f>
        <v>885</v>
      </c>
      <c r="N41" s="110">
        <f>N42+N44+N43</f>
        <v>873</v>
      </c>
      <c r="O41" s="30">
        <f t="shared" si="3"/>
        <v>3528</v>
      </c>
      <c r="P41" s="100">
        <f t="shared" si="5"/>
        <v>0</v>
      </c>
      <c r="Q41" s="110">
        <f t="shared" si="26"/>
        <v>3883</v>
      </c>
      <c r="R41" s="110">
        <f t="shared" si="26"/>
        <v>4108</v>
      </c>
      <c r="S41" s="110">
        <f t="shared" si="26"/>
        <v>4219</v>
      </c>
    </row>
    <row r="42" spans="1:19" ht="14.25" customHeight="1">
      <c r="A42" s="12"/>
      <c r="B42" s="116" t="s">
        <v>31</v>
      </c>
      <c r="C42" s="135" t="s">
        <v>32</v>
      </c>
      <c r="D42" s="46">
        <v>166.5</v>
      </c>
      <c r="E42" s="30">
        <v>200</v>
      </c>
      <c r="F42" s="46">
        <v>200</v>
      </c>
      <c r="G42" s="30">
        <v>200</v>
      </c>
      <c r="H42" s="31">
        <v>217</v>
      </c>
      <c r="I42" s="30">
        <v>220</v>
      </c>
      <c r="J42" s="30">
        <v>228</v>
      </c>
      <c r="K42" s="64">
        <v>60</v>
      </c>
      <c r="L42" s="30">
        <v>60</v>
      </c>
      <c r="M42" s="30">
        <v>60</v>
      </c>
      <c r="N42" s="30">
        <v>48</v>
      </c>
      <c r="O42" s="30">
        <f t="shared" si="3"/>
        <v>228</v>
      </c>
      <c r="P42" s="100">
        <f t="shared" si="5"/>
        <v>0</v>
      </c>
      <c r="Q42" s="30">
        <v>243</v>
      </c>
      <c r="R42" s="30">
        <v>260</v>
      </c>
      <c r="S42" s="30">
        <v>280</v>
      </c>
    </row>
    <row r="43" spans="1:19" ht="24.75" customHeight="1">
      <c r="A43" s="12"/>
      <c r="B43" s="35" t="s">
        <v>33</v>
      </c>
      <c r="C43" s="135" t="s">
        <v>34</v>
      </c>
      <c r="D43" s="46">
        <v>2515.5</v>
      </c>
      <c r="E43" s="30">
        <v>2700</v>
      </c>
      <c r="F43" s="46">
        <v>2700</v>
      </c>
      <c r="G43" s="30">
        <v>2700</v>
      </c>
      <c r="H43" s="31">
        <v>3017</v>
      </c>
      <c r="I43" s="30">
        <v>3117</v>
      </c>
      <c r="J43" s="30">
        <v>3000</v>
      </c>
      <c r="K43" s="64">
        <v>750</v>
      </c>
      <c r="L43" s="30">
        <v>750</v>
      </c>
      <c r="M43" s="30">
        <v>750</v>
      </c>
      <c r="N43" s="30">
        <v>750</v>
      </c>
      <c r="O43" s="30">
        <f t="shared" si="3"/>
        <v>3000</v>
      </c>
      <c r="P43" s="100">
        <f t="shared" si="5"/>
        <v>0</v>
      </c>
      <c r="Q43" s="30">
        <v>3340</v>
      </c>
      <c r="R43" s="30">
        <v>3548</v>
      </c>
      <c r="S43" s="30">
        <v>3639</v>
      </c>
    </row>
    <row r="44" spans="1:19" ht="28.5" customHeight="1">
      <c r="A44" s="12"/>
      <c r="B44" s="35" t="s">
        <v>35</v>
      </c>
      <c r="C44" s="135" t="s">
        <v>36</v>
      </c>
      <c r="D44" s="46">
        <v>324</v>
      </c>
      <c r="E44" s="30">
        <v>340</v>
      </c>
      <c r="F44" s="46">
        <v>340</v>
      </c>
      <c r="G44" s="30">
        <v>340</v>
      </c>
      <c r="H44" s="31">
        <v>58</v>
      </c>
      <c r="I44" s="30">
        <v>300</v>
      </c>
      <c r="J44" s="30">
        <v>300</v>
      </c>
      <c r="K44" s="64">
        <v>75</v>
      </c>
      <c r="L44" s="30">
        <v>75</v>
      </c>
      <c r="M44" s="30">
        <v>75</v>
      </c>
      <c r="N44" s="30">
        <v>75</v>
      </c>
      <c r="O44" s="30">
        <f t="shared" si="3"/>
        <v>300</v>
      </c>
      <c r="P44" s="100">
        <f t="shared" si="5"/>
        <v>0</v>
      </c>
      <c r="Q44" s="30">
        <v>300</v>
      </c>
      <c r="R44" s="30">
        <v>300</v>
      </c>
      <c r="S44" s="30">
        <v>300</v>
      </c>
    </row>
    <row r="45" spans="1:19" ht="12" customHeight="1">
      <c r="A45" s="12">
        <v>2</v>
      </c>
      <c r="B45" s="129" t="s">
        <v>596</v>
      </c>
      <c r="C45" s="135" t="s">
        <v>38</v>
      </c>
      <c r="D45" s="110">
        <f t="shared" ref="D45:S45" si="28">D46+D47+D48+D49+D50</f>
        <v>3955.5</v>
      </c>
      <c r="E45" s="110">
        <f t="shared" si="28"/>
        <v>2275</v>
      </c>
      <c r="F45" s="110">
        <f t="shared" si="28"/>
        <v>2275</v>
      </c>
      <c r="G45" s="110">
        <f t="shared" si="28"/>
        <v>2275</v>
      </c>
      <c r="H45" s="111">
        <f t="shared" ref="H45" si="29">H46+H47+H48+H49+H50</f>
        <v>4337</v>
      </c>
      <c r="I45" s="110">
        <f t="shared" si="28"/>
        <v>2622</v>
      </c>
      <c r="J45" s="110">
        <f t="shared" si="28"/>
        <v>2650</v>
      </c>
      <c r="K45" s="199">
        <f t="shared" ref="K45:N45" si="30">K46+K47+K48+K49+K50</f>
        <v>663</v>
      </c>
      <c r="L45" s="110">
        <f t="shared" si="30"/>
        <v>662</v>
      </c>
      <c r="M45" s="110">
        <f t="shared" si="30"/>
        <v>663</v>
      </c>
      <c r="N45" s="110">
        <f t="shared" si="30"/>
        <v>662</v>
      </c>
      <c r="O45" s="30">
        <f t="shared" si="3"/>
        <v>2650</v>
      </c>
      <c r="P45" s="100">
        <f t="shared" si="5"/>
        <v>0</v>
      </c>
      <c r="Q45" s="110">
        <f t="shared" si="28"/>
        <v>2650</v>
      </c>
      <c r="R45" s="110">
        <f t="shared" si="28"/>
        <v>2700</v>
      </c>
      <c r="S45" s="110">
        <f t="shared" si="28"/>
        <v>2750</v>
      </c>
    </row>
    <row r="46" spans="1:19" ht="15.75" hidden="1" customHeight="1">
      <c r="A46" s="12"/>
      <c r="B46" s="116" t="s">
        <v>39</v>
      </c>
      <c r="C46" s="135" t="s">
        <v>40</v>
      </c>
      <c r="D46" s="46"/>
      <c r="E46" s="30"/>
      <c r="F46" s="46"/>
      <c r="G46" s="30"/>
      <c r="H46" s="31"/>
      <c r="I46" s="30"/>
      <c r="J46" s="30"/>
      <c r="K46" s="64"/>
      <c r="L46" s="30"/>
      <c r="M46" s="30"/>
      <c r="N46" s="30"/>
      <c r="O46" s="30">
        <f t="shared" si="3"/>
        <v>0</v>
      </c>
      <c r="P46" s="100">
        <f t="shared" si="5"/>
        <v>0</v>
      </c>
      <c r="Q46" s="30"/>
      <c r="R46" s="30"/>
      <c r="S46" s="30"/>
    </row>
    <row r="47" spans="1:19" ht="16.5" hidden="1" customHeight="1">
      <c r="A47" s="12"/>
      <c r="B47" s="116" t="s">
        <v>41</v>
      </c>
      <c r="C47" s="135" t="s">
        <v>42</v>
      </c>
      <c r="D47" s="46"/>
      <c r="E47" s="30"/>
      <c r="F47" s="46"/>
      <c r="G47" s="30"/>
      <c r="H47" s="31"/>
      <c r="I47" s="30"/>
      <c r="J47" s="30"/>
      <c r="K47" s="64"/>
      <c r="L47" s="30"/>
      <c r="M47" s="30"/>
      <c r="N47" s="30"/>
      <c r="O47" s="30">
        <f t="shared" si="3"/>
        <v>0</v>
      </c>
      <c r="P47" s="100">
        <f t="shared" si="5"/>
        <v>0</v>
      </c>
      <c r="Q47" s="30"/>
      <c r="R47" s="30"/>
      <c r="S47" s="30"/>
    </row>
    <row r="48" spans="1:19" ht="16.5" customHeight="1">
      <c r="A48" s="12"/>
      <c r="B48" s="116" t="s">
        <v>43</v>
      </c>
      <c r="C48" s="135" t="s">
        <v>44</v>
      </c>
      <c r="D48" s="46">
        <v>3885</v>
      </c>
      <c r="E48" s="30">
        <v>2200</v>
      </c>
      <c r="F48" s="46">
        <v>2200</v>
      </c>
      <c r="G48" s="30">
        <v>2200</v>
      </c>
      <c r="H48" s="31">
        <v>4290</v>
      </c>
      <c r="I48" s="30">
        <v>2572</v>
      </c>
      <c r="J48" s="30">
        <v>2600</v>
      </c>
      <c r="K48" s="64">
        <v>650</v>
      </c>
      <c r="L48" s="30">
        <v>650</v>
      </c>
      <c r="M48" s="30">
        <v>650</v>
      </c>
      <c r="N48" s="30">
        <v>650</v>
      </c>
      <c r="O48" s="30">
        <f t="shared" si="3"/>
        <v>2600</v>
      </c>
      <c r="P48" s="100">
        <f t="shared" si="5"/>
        <v>0</v>
      </c>
      <c r="Q48" s="30">
        <v>2600</v>
      </c>
      <c r="R48" s="30">
        <v>2650</v>
      </c>
      <c r="S48" s="30">
        <v>2700</v>
      </c>
    </row>
    <row r="49" spans="1:19" ht="12.75" hidden="1" customHeight="1">
      <c r="A49" s="12"/>
      <c r="B49" s="116" t="s">
        <v>45</v>
      </c>
      <c r="C49" s="135" t="s">
        <v>46</v>
      </c>
      <c r="D49" s="46"/>
      <c r="E49" s="30"/>
      <c r="F49" s="46"/>
      <c r="G49" s="30"/>
      <c r="H49" s="31"/>
      <c r="I49" s="30"/>
      <c r="J49" s="30"/>
      <c r="K49" s="64"/>
      <c r="L49" s="30"/>
      <c r="M49" s="30"/>
      <c r="N49" s="30"/>
      <c r="O49" s="30">
        <f t="shared" si="3"/>
        <v>0</v>
      </c>
      <c r="P49" s="100">
        <f t="shared" si="5"/>
        <v>0</v>
      </c>
      <c r="Q49" s="30"/>
      <c r="R49" s="30"/>
      <c r="S49" s="30"/>
    </row>
    <row r="50" spans="1:19" ht="15" customHeight="1">
      <c r="A50" s="12"/>
      <c r="B50" s="116" t="s">
        <v>47</v>
      </c>
      <c r="C50" s="135" t="s">
        <v>48</v>
      </c>
      <c r="D50" s="110">
        <f t="shared" ref="D50:S50" si="31">D51</f>
        <v>70.5</v>
      </c>
      <c r="E50" s="110">
        <f t="shared" si="31"/>
        <v>75</v>
      </c>
      <c r="F50" s="110">
        <f t="shared" si="31"/>
        <v>75</v>
      </c>
      <c r="G50" s="110">
        <f t="shared" si="31"/>
        <v>75</v>
      </c>
      <c r="H50" s="111">
        <f t="shared" si="31"/>
        <v>47</v>
      </c>
      <c r="I50" s="110">
        <f t="shared" si="31"/>
        <v>50</v>
      </c>
      <c r="J50" s="110">
        <f t="shared" si="31"/>
        <v>50</v>
      </c>
      <c r="K50" s="199">
        <f t="shared" si="31"/>
        <v>13</v>
      </c>
      <c r="L50" s="110">
        <f t="shared" si="31"/>
        <v>12</v>
      </c>
      <c r="M50" s="110">
        <f t="shared" si="31"/>
        <v>13</v>
      </c>
      <c r="N50" s="110">
        <f t="shared" si="31"/>
        <v>12</v>
      </c>
      <c r="O50" s="30">
        <f t="shared" si="3"/>
        <v>50</v>
      </c>
      <c r="P50" s="100">
        <f t="shared" si="5"/>
        <v>0</v>
      </c>
      <c r="Q50" s="110">
        <f t="shared" si="31"/>
        <v>50</v>
      </c>
      <c r="R50" s="110">
        <f t="shared" si="31"/>
        <v>50</v>
      </c>
      <c r="S50" s="110">
        <f t="shared" si="31"/>
        <v>50</v>
      </c>
    </row>
    <row r="51" spans="1:19" ht="12.75" customHeight="1">
      <c r="A51" s="12"/>
      <c r="B51" s="116" t="s">
        <v>49</v>
      </c>
      <c r="C51" s="135" t="s">
        <v>50</v>
      </c>
      <c r="D51" s="46">
        <v>70.5</v>
      </c>
      <c r="E51" s="30">
        <v>75</v>
      </c>
      <c r="F51" s="46">
        <v>75</v>
      </c>
      <c r="G51" s="30">
        <v>75</v>
      </c>
      <c r="H51" s="31">
        <v>47</v>
      </c>
      <c r="I51" s="30">
        <v>50</v>
      </c>
      <c r="J51" s="30">
        <v>50</v>
      </c>
      <c r="K51" s="64">
        <v>13</v>
      </c>
      <c r="L51" s="30">
        <v>12</v>
      </c>
      <c r="M51" s="30">
        <v>13</v>
      </c>
      <c r="N51" s="30">
        <v>12</v>
      </c>
      <c r="O51" s="30">
        <f t="shared" si="3"/>
        <v>50</v>
      </c>
      <c r="P51" s="100">
        <f t="shared" si="5"/>
        <v>0</v>
      </c>
      <c r="Q51" s="30">
        <v>50</v>
      </c>
      <c r="R51" s="30">
        <v>50</v>
      </c>
      <c r="S51" s="30">
        <v>50</v>
      </c>
    </row>
    <row r="52" spans="1:19" ht="14.25">
      <c r="A52" s="12">
        <v>3</v>
      </c>
      <c r="B52" s="129" t="s">
        <v>51</v>
      </c>
      <c r="C52" s="135">
        <v>33.020000000000003</v>
      </c>
      <c r="D52" s="110">
        <f t="shared" ref="D52:S52" si="32">D54+D55+D56+D53</f>
        <v>1345.1</v>
      </c>
      <c r="E52" s="110">
        <f t="shared" si="32"/>
        <v>1495</v>
      </c>
      <c r="F52" s="110">
        <f t="shared" si="32"/>
        <v>1495</v>
      </c>
      <c r="G52" s="110">
        <f t="shared" si="32"/>
        <v>1495</v>
      </c>
      <c r="H52" s="111">
        <f t="shared" ref="H52" si="33">H54+H55+H56+H53</f>
        <v>1247</v>
      </c>
      <c r="I52" s="110">
        <f t="shared" si="32"/>
        <v>1419</v>
      </c>
      <c r="J52" s="110">
        <f t="shared" si="32"/>
        <v>1419</v>
      </c>
      <c r="K52" s="199">
        <f t="shared" ref="K52:N52" si="34">K54+K55+K56+K53</f>
        <v>355</v>
      </c>
      <c r="L52" s="110">
        <f t="shared" si="34"/>
        <v>355</v>
      </c>
      <c r="M52" s="110">
        <f t="shared" si="34"/>
        <v>355</v>
      </c>
      <c r="N52" s="110">
        <f t="shared" si="34"/>
        <v>354</v>
      </c>
      <c r="O52" s="30">
        <f t="shared" si="3"/>
        <v>1419</v>
      </c>
      <c r="P52" s="100">
        <f t="shared" si="5"/>
        <v>0</v>
      </c>
      <c r="Q52" s="110">
        <f t="shared" si="32"/>
        <v>1419</v>
      </c>
      <c r="R52" s="110">
        <f t="shared" si="32"/>
        <v>1419</v>
      </c>
      <c r="S52" s="110">
        <f t="shared" si="32"/>
        <v>1419</v>
      </c>
    </row>
    <row r="53" spans="1:19" ht="14.25">
      <c r="A53" s="12"/>
      <c r="B53" s="116" t="s">
        <v>518</v>
      </c>
      <c r="C53" s="135" t="s">
        <v>415</v>
      </c>
      <c r="D53" s="46">
        <v>1332</v>
      </c>
      <c r="E53" s="30">
        <v>1480</v>
      </c>
      <c r="F53" s="46">
        <v>1480</v>
      </c>
      <c r="G53" s="30">
        <v>1480</v>
      </c>
      <c r="H53" s="31">
        <v>1231</v>
      </c>
      <c r="I53" s="30">
        <v>1400</v>
      </c>
      <c r="J53" s="30">
        <v>1400</v>
      </c>
      <c r="K53" s="64">
        <v>350</v>
      </c>
      <c r="L53" s="30">
        <v>350</v>
      </c>
      <c r="M53" s="30">
        <v>350</v>
      </c>
      <c r="N53" s="30">
        <v>350</v>
      </c>
      <c r="O53" s="30">
        <f t="shared" si="3"/>
        <v>1400</v>
      </c>
      <c r="P53" s="100">
        <f t="shared" si="5"/>
        <v>0</v>
      </c>
      <c r="Q53" s="30">
        <v>1400</v>
      </c>
      <c r="R53" s="30">
        <v>1400</v>
      </c>
      <c r="S53" s="30">
        <v>1400</v>
      </c>
    </row>
    <row r="54" spans="1:19" ht="13.5" customHeight="1">
      <c r="A54" s="12"/>
      <c r="B54" s="116" t="s">
        <v>52</v>
      </c>
      <c r="C54" s="135" t="s">
        <v>53</v>
      </c>
      <c r="D54" s="46">
        <v>10</v>
      </c>
      <c r="E54" s="30">
        <v>11</v>
      </c>
      <c r="F54" s="46">
        <v>11</v>
      </c>
      <c r="G54" s="30">
        <v>11</v>
      </c>
      <c r="H54" s="31">
        <v>14</v>
      </c>
      <c r="I54" s="30">
        <v>15</v>
      </c>
      <c r="J54" s="30">
        <v>15</v>
      </c>
      <c r="K54" s="64">
        <v>4</v>
      </c>
      <c r="L54" s="30">
        <v>4</v>
      </c>
      <c r="M54" s="30">
        <v>4</v>
      </c>
      <c r="N54" s="30">
        <v>3</v>
      </c>
      <c r="O54" s="30">
        <f t="shared" si="3"/>
        <v>15</v>
      </c>
      <c r="P54" s="100">
        <f t="shared" si="5"/>
        <v>0</v>
      </c>
      <c r="Q54" s="30">
        <v>15</v>
      </c>
      <c r="R54" s="30">
        <v>15</v>
      </c>
      <c r="S54" s="30">
        <v>15</v>
      </c>
    </row>
    <row r="55" spans="1:19" ht="15" hidden="1" customHeight="1">
      <c r="A55" s="12"/>
      <c r="B55" s="116" t="s">
        <v>54</v>
      </c>
      <c r="C55" s="135" t="s">
        <v>55</v>
      </c>
      <c r="D55" s="46"/>
      <c r="E55" s="30"/>
      <c r="F55" s="46"/>
      <c r="G55" s="30"/>
      <c r="H55" s="31"/>
      <c r="I55" s="30"/>
      <c r="J55" s="30"/>
      <c r="K55" s="64"/>
      <c r="L55" s="30"/>
      <c r="M55" s="30"/>
      <c r="N55" s="30"/>
      <c r="O55" s="30">
        <f t="shared" si="3"/>
        <v>0</v>
      </c>
      <c r="P55" s="100">
        <f t="shared" si="5"/>
        <v>0</v>
      </c>
      <c r="Q55" s="30"/>
      <c r="R55" s="30"/>
      <c r="S55" s="30"/>
    </row>
    <row r="56" spans="1:19" ht="15.75" customHeight="1">
      <c r="A56" s="12"/>
      <c r="B56" s="116" t="s">
        <v>51</v>
      </c>
      <c r="C56" s="135" t="s">
        <v>56</v>
      </c>
      <c r="D56" s="46">
        <v>3.1</v>
      </c>
      <c r="E56" s="30">
        <v>4</v>
      </c>
      <c r="F56" s="46">
        <v>4</v>
      </c>
      <c r="G56" s="30">
        <v>4</v>
      </c>
      <c r="H56" s="31">
        <v>2</v>
      </c>
      <c r="I56" s="30">
        <v>4</v>
      </c>
      <c r="J56" s="30">
        <v>4</v>
      </c>
      <c r="K56" s="64">
        <v>1</v>
      </c>
      <c r="L56" s="30">
        <v>1</v>
      </c>
      <c r="M56" s="30">
        <v>1</v>
      </c>
      <c r="N56" s="30">
        <v>1</v>
      </c>
      <c r="O56" s="30">
        <f t="shared" si="3"/>
        <v>4</v>
      </c>
      <c r="P56" s="100">
        <f t="shared" si="5"/>
        <v>0</v>
      </c>
      <c r="Q56" s="30">
        <v>4</v>
      </c>
      <c r="R56" s="30">
        <v>4</v>
      </c>
      <c r="S56" s="30">
        <v>4</v>
      </c>
    </row>
    <row r="57" spans="1:19" ht="14.25" customHeight="1">
      <c r="A57" s="12">
        <v>4</v>
      </c>
      <c r="B57" s="129" t="s">
        <v>57</v>
      </c>
      <c r="C57" s="135">
        <v>35.020000000000003</v>
      </c>
      <c r="D57" s="112">
        <f t="shared" ref="D57:S57" si="35">D58</f>
        <v>51.6</v>
      </c>
      <c r="E57" s="112">
        <f t="shared" si="35"/>
        <v>55</v>
      </c>
      <c r="F57" s="112">
        <f t="shared" si="35"/>
        <v>55</v>
      </c>
      <c r="G57" s="112">
        <f t="shared" si="35"/>
        <v>55</v>
      </c>
      <c r="H57" s="113">
        <f t="shared" si="35"/>
        <v>96</v>
      </c>
      <c r="I57" s="112">
        <f t="shared" si="35"/>
        <v>100</v>
      </c>
      <c r="J57" s="112">
        <f t="shared" si="35"/>
        <v>100</v>
      </c>
      <c r="K57" s="200">
        <f t="shared" si="35"/>
        <v>25</v>
      </c>
      <c r="L57" s="112">
        <f t="shared" si="35"/>
        <v>25</v>
      </c>
      <c r="M57" s="112">
        <f t="shared" si="35"/>
        <v>25</v>
      </c>
      <c r="N57" s="112">
        <f t="shared" si="35"/>
        <v>25</v>
      </c>
      <c r="O57" s="30">
        <f t="shared" si="3"/>
        <v>100</v>
      </c>
      <c r="P57" s="100">
        <f t="shared" si="5"/>
        <v>0</v>
      </c>
      <c r="Q57" s="112">
        <f t="shared" si="35"/>
        <v>105</v>
      </c>
      <c r="R57" s="112">
        <f t="shared" si="35"/>
        <v>110</v>
      </c>
      <c r="S57" s="112">
        <f t="shared" si="35"/>
        <v>115</v>
      </c>
    </row>
    <row r="58" spans="1:19" ht="15" customHeight="1">
      <c r="A58" s="12"/>
      <c r="B58" s="116" t="s">
        <v>58</v>
      </c>
      <c r="C58" s="135" t="s">
        <v>59</v>
      </c>
      <c r="D58" s="46">
        <v>51.6</v>
      </c>
      <c r="E58" s="30">
        <v>55</v>
      </c>
      <c r="F58" s="46">
        <v>55</v>
      </c>
      <c r="G58" s="30">
        <v>55</v>
      </c>
      <c r="H58" s="31">
        <v>96</v>
      </c>
      <c r="I58" s="30">
        <v>100</v>
      </c>
      <c r="J58" s="30">
        <v>100</v>
      </c>
      <c r="K58" s="64">
        <v>25</v>
      </c>
      <c r="L58" s="30">
        <v>25</v>
      </c>
      <c r="M58" s="30">
        <v>25</v>
      </c>
      <c r="N58" s="30">
        <v>25</v>
      </c>
      <c r="O58" s="30">
        <f t="shared" si="3"/>
        <v>100</v>
      </c>
      <c r="P58" s="100">
        <f t="shared" si="5"/>
        <v>0</v>
      </c>
      <c r="Q58" s="30">
        <v>105</v>
      </c>
      <c r="R58" s="30">
        <v>110</v>
      </c>
      <c r="S58" s="30">
        <v>115</v>
      </c>
    </row>
    <row r="59" spans="1:19" ht="13.5" customHeight="1">
      <c r="A59" s="12">
        <v>5</v>
      </c>
      <c r="B59" s="129" t="s">
        <v>60</v>
      </c>
      <c r="C59" s="135">
        <v>36.020000000000003</v>
      </c>
      <c r="D59" s="112">
        <f t="shared" ref="D59:S59" si="36">D60++D61+D62</f>
        <v>184.4</v>
      </c>
      <c r="E59" s="112">
        <f t="shared" si="36"/>
        <v>35</v>
      </c>
      <c r="F59" s="112">
        <f t="shared" si="36"/>
        <v>35</v>
      </c>
      <c r="G59" s="112">
        <f t="shared" si="36"/>
        <v>35</v>
      </c>
      <c r="H59" s="113">
        <f t="shared" ref="H59" si="37">H60++H61+H62</f>
        <v>249</v>
      </c>
      <c r="I59" s="112">
        <f t="shared" si="36"/>
        <v>3</v>
      </c>
      <c r="J59" s="112">
        <f t="shared" si="36"/>
        <v>3</v>
      </c>
      <c r="K59" s="200">
        <f t="shared" ref="K59:N59" si="38">K60++K61+K62</f>
        <v>1</v>
      </c>
      <c r="L59" s="112">
        <f t="shared" si="38"/>
        <v>1</v>
      </c>
      <c r="M59" s="112">
        <f t="shared" si="38"/>
        <v>1</v>
      </c>
      <c r="N59" s="112">
        <f t="shared" si="38"/>
        <v>0</v>
      </c>
      <c r="O59" s="30">
        <f t="shared" si="3"/>
        <v>3</v>
      </c>
      <c r="P59" s="100">
        <f t="shared" si="5"/>
        <v>0</v>
      </c>
      <c r="Q59" s="112">
        <f t="shared" si="36"/>
        <v>3</v>
      </c>
      <c r="R59" s="112">
        <f t="shared" si="36"/>
        <v>3</v>
      </c>
      <c r="S59" s="112">
        <f t="shared" si="36"/>
        <v>3</v>
      </c>
    </row>
    <row r="60" spans="1:19" ht="14.25" hidden="1" customHeight="1">
      <c r="A60" s="12"/>
      <c r="B60" s="116" t="s">
        <v>61</v>
      </c>
      <c r="C60" s="135" t="s">
        <v>62</v>
      </c>
      <c r="D60" s="46"/>
      <c r="E60" s="30"/>
      <c r="F60" s="46"/>
      <c r="G60" s="30"/>
      <c r="H60" s="31"/>
      <c r="I60" s="30"/>
      <c r="J60" s="30"/>
      <c r="K60" s="64"/>
      <c r="L60" s="30"/>
      <c r="M60" s="30"/>
      <c r="N60" s="30"/>
      <c r="O60" s="30">
        <f t="shared" si="3"/>
        <v>0</v>
      </c>
      <c r="P60" s="100">
        <f t="shared" si="5"/>
        <v>0</v>
      </c>
      <c r="Q60" s="30"/>
      <c r="R60" s="30"/>
      <c r="S60" s="30"/>
    </row>
    <row r="61" spans="1:19" ht="14.25" hidden="1" customHeight="1">
      <c r="A61" s="12"/>
      <c r="B61" s="116" t="s">
        <v>609</v>
      </c>
      <c r="C61" s="135" t="s">
        <v>610</v>
      </c>
      <c r="D61" s="46">
        <v>153.80000000000001</v>
      </c>
      <c r="E61" s="30"/>
      <c r="F61" s="46"/>
      <c r="G61" s="30"/>
      <c r="H61" s="31"/>
      <c r="I61" s="30"/>
      <c r="J61" s="30"/>
      <c r="K61" s="64"/>
      <c r="L61" s="30"/>
      <c r="M61" s="30"/>
      <c r="N61" s="30"/>
      <c r="O61" s="30">
        <f t="shared" si="3"/>
        <v>0</v>
      </c>
      <c r="P61" s="100">
        <f t="shared" si="5"/>
        <v>0</v>
      </c>
      <c r="Q61" s="30"/>
      <c r="R61" s="30"/>
      <c r="S61" s="30"/>
    </row>
    <row r="62" spans="1:19" ht="16.5" customHeight="1">
      <c r="A62" s="12"/>
      <c r="B62" s="116" t="s">
        <v>63</v>
      </c>
      <c r="C62" s="135" t="s">
        <v>64</v>
      </c>
      <c r="D62" s="46">
        <v>30.6</v>
      </c>
      <c r="E62" s="30">
        <v>35</v>
      </c>
      <c r="F62" s="46">
        <v>35</v>
      </c>
      <c r="G62" s="30">
        <v>35</v>
      </c>
      <c r="H62" s="31">
        <v>249</v>
      </c>
      <c r="I62" s="30">
        <v>3</v>
      </c>
      <c r="J62" s="30">
        <v>3</v>
      </c>
      <c r="K62" s="64">
        <v>1</v>
      </c>
      <c r="L62" s="30">
        <v>1</v>
      </c>
      <c r="M62" s="30">
        <v>1</v>
      </c>
      <c r="N62" s="30">
        <v>0</v>
      </c>
      <c r="O62" s="30">
        <f t="shared" si="3"/>
        <v>3</v>
      </c>
      <c r="P62" s="100">
        <f t="shared" si="5"/>
        <v>0</v>
      </c>
      <c r="Q62" s="30">
        <v>3</v>
      </c>
      <c r="R62" s="30">
        <v>3</v>
      </c>
      <c r="S62" s="30">
        <v>3</v>
      </c>
    </row>
    <row r="63" spans="1:19" ht="24.75" customHeight="1">
      <c r="A63" s="12">
        <v>6</v>
      </c>
      <c r="B63" s="129" t="s">
        <v>65</v>
      </c>
      <c r="C63" s="135">
        <v>37.020000000000003</v>
      </c>
      <c r="D63" s="112">
        <f t="shared" ref="D63:S63" si="39">D64+D67</f>
        <v>0</v>
      </c>
      <c r="E63" s="112">
        <f t="shared" si="39"/>
        <v>10</v>
      </c>
      <c r="F63" s="112">
        <f t="shared" si="39"/>
        <v>0</v>
      </c>
      <c r="G63" s="112">
        <f t="shared" si="39"/>
        <v>10</v>
      </c>
      <c r="H63" s="113">
        <f t="shared" ref="H63" si="40">H64+H67</f>
        <v>10</v>
      </c>
      <c r="I63" s="112">
        <f t="shared" si="39"/>
        <v>0</v>
      </c>
      <c r="J63" s="112">
        <f t="shared" si="39"/>
        <v>0</v>
      </c>
      <c r="K63" s="200">
        <f t="shared" ref="K63:N63" si="41">K64+K67</f>
        <v>0</v>
      </c>
      <c r="L63" s="112">
        <f t="shared" si="41"/>
        <v>0</v>
      </c>
      <c r="M63" s="112">
        <f t="shared" si="41"/>
        <v>0</v>
      </c>
      <c r="N63" s="112">
        <f t="shared" si="41"/>
        <v>0</v>
      </c>
      <c r="O63" s="30">
        <f t="shared" si="3"/>
        <v>0</v>
      </c>
      <c r="P63" s="100">
        <f t="shared" si="5"/>
        <v>0</v>
      </c>
      <c r="Q63" s="112">
        <f t="shared" si="39"/>
        <v>0</v>
      </c>
      <c r="R63" s="112">
        <f t="shared" si="39"/>
        <v>0</v>
      </c>
      <c r="S63" s="112">
        <f t="shared" si="39"/>
        <v>0</v>
      </c>
    </row>
    <row r="64" spans="1:19" ht="24.75" customHeight="1">
      <c r="A64" s="12"/>
      <c r="B64" s="116" t="s">
        <v>66</v>
      </c>
      <c r="C64" s="135" t="s">
        <v>67</v>
      </c>
      <c r="D64" s="46"/>
      <c r="E64" s="30">
        <v>10</v>
      </c>
      <c r="F64" s="46"/>
      <c r="G64" s="30">
        <v>10</v>
      </c>
      <c r="H64" s="31">
        <v>10</v>
      </c>
      <c r="I64" s="30"/>
      <c r="J64" s="30"/>
      <c r="K64" s="64"/>
      <c r="L64" s="30"/>
      <c r="M64" s="30"/>
      <c r="N64" s="30"/>
      <c r="O64" s="30">
        <f t="shared" si="3"/>
        <v>0</v>
      </c>
      <c r="P64" s="100">
        <f t="shared" si="5"/>
        <v>0</v>
      </c>
      <c r="Q64" s="30"/>
      <c r="R64" s="30"/>
      <c r="S64" s="30"/>
    </row>
    <row r="65" spans="1:19" ht="28.5" customHeight="1">
      <c r="A65" s="12"/>
      <c r="B65" s="35" t="s">
        <v>623</v>
      </c>
      <c r="C65" s="135" t="s">
        <v>68</v>
      </c>
      <c r="D65" s="46">
        <v>0</v>
      </c>
      <c r="E65" s="30">
        <f>-9674.69-7068.9</f>
        <v>-16743.59</v>
      </c>
      <c r="F65" s="46">
        <v>0</v>
      </c>
      <c r="G65" s="30">
        <f>-9674.69-7068.9</f>
        <v>-16743.59</v>
      </c>
      <c r="H65" s="31"/>
      <c r="I65" s="30"/>
      <c r="J65" s="46">
        <v>-40376</v>
      </c>
      <c r="K65" s="201">
        <f>9932+11915-28593</f>
        <v>-6746</v>
      </c>
      <c r="L65" s="30">
        <f>54444-63839</f>
        <v>-9395</v>
      </c>
      <c r="M65" s="30">
        <f>99926-112763</f>
        <v>-12837</v>
      </c>
      <c r="N65" s="30">
        <f>96436-107834</f>
        <v>-11398</v>
      </c>
      <c r="O65" s="30">
        <f t="shared" si="3"/>
        <v>-40376</v>
      </c>
      <c r="P65" s="100">
        <f t="shared" si="5"/>
        <v>0</v>
      </c>
      <c r="Q65" s="279">
        <v>-24075</v>
      </c>
      <c r="R65" s="279">
        <v>-13010</v>
      </c>
      <c r="S65" s="279">
        <v>-16042</v>
      </c>
    </row>
    <row r="66" spans="1:19" ht="12.75" customHeight="1">
      <c r="A66" s="12"/>
      <c r="B66" s="116" t="s">
        <v>624</v>
      </c>
      <c r="C66" s="135" t="s">
        <v>69</v>
      </c>
      <c r="D66" s="102">
        <f t="shared" ref="D66:S66" si="42">-D65</f>
        <v>0</v>
      </c>
      <c r="E66" s="102">
        <f t="shared" si="42"/>
        <v>16743.59</v>
      </c>
      <c r="F66" s="102">
        <f t="shared" si="42"/>
        <v>0</v>
      </c>
      <c r="G66" s="102">
        <f t="shared" si="42"/>
        <v>16743.59</v>
      </c>
      <c r="H66" s="103">
        <f t="shared" ref="H66" si="43">-H65</f>
        <v>0</v>
      </c>
      <c r="I66" s="102">
        <f t="shared" si="42"/>
        <v>0</v>
      </c>
      <c r="J66" s="114">
        <f t="shared" si="42"/>
        <v>40376</v>
      </c>
      <c r="K66" s="202">
        <f t="shared" ref="K66:N66" si="44">-K65</f>
        <v>6746</v>
      </c>
      <c r="L66" s="114">
        <f t="shared" si="44"/>
        <v>9395</v>
      </c>
      <c r="M66" s="114">
        <f t="shared" si="44"/>
        <v>12837</v>
      </c>
      <c r="N66" s="114">
        <f t="shared" si="44"/>
        <v>11398</v>
      </c>
      <c r="O66" s="30">
        <f t="shared" si="3"/>
        <v>40376</v>
      </c>
      <c r="P66" s="100">
        <f t="shared" si="5"/>
        <v>0</v>
      </c>
      <c r="Q66" s="104">
        <f t="shared" si="42"/>
        <v>24075</v>
      </c>
      <c r="R66" s="104">
        <f t="shared" si="42"/>
        <v>13010</v>
      </c>
      <c r="S66" s="104">
        <f t="shared" si="42"/>
        <v>16042</v>
      </c>
    </row>
    <row r="67" spans="1:19" ht="15.75" hidden="1" customHeight="1">
      <c r="A67" s="12"/>
      <c r="B67" s="116" t="s">
        <v>70</v>
      </c>
      <c r="C67" s="135" t="s">
        <v>71</v>
      </c>
      <c r="D67" s="46"/>
      <c r="E67" s="30"/>
      <c r="F67" s="46"/>
      <c r="G67" s="30"/>
      <c r="H67" s="31"/>
      <c r="I67" s="30"/>
      <c r="J67" s="30"/>
      <c r="K67" s="64"/>
      <c r="L67" s="30"/>
      <c r="M67" s="30"/>
      <c r="N67" s="30"/>
      <c r="O67" s="30">
        <f t="shared" si="3"/>
        <v>0</v>
      </c>
      <c r="P67" s="100">
        <f t="shared" si="5"/>
        <v>0</v>
      </c>
      <c r="Q67" s="30"/>
      <c r="R67" s="30"/>
      <c r="S67" s="30"/>
    </row>
    <row r="68" spans="1:19" ht="15.75" hidden="1" customHeight="1">
      <c r="A68" s="12">
        <v>7</v>
      </c>
      <c r="B68" s="129" t="s">
        <v>72</v>
      </c>
      <c r="C68" s="135">
        <v>39</v>
      </c>
      <c r="D68" s="104">
        <f t="shared" ref="D68" si="45">D69+D70</f>
        <v>312.7</v>
      </c>
      <c r="E68" s="30"/>
      <c r="F68" s="104">
        <f t="shared" ref="F68" si="46">F69+F70</f>
        <v>0</v>
      </c>
      <c r="G68" s="30"/>
      <c r="H68" s="31"/>
      <c r="I68" s="30"/>
      <c r="J68" s="30"/>
      <c r="K68" s="64"/>
      <c r="L68" s="30"/>
      <c r="M68" s="30"/>
      <c r="N68" s="30"/>
      <c r="O68" s="30">
        <f t="shared" si="3"/>
        <v>0</v>
      </c>
      <c r="P68" s="100">
        <f t="shared" si="5"/>
        <v>0</v>
      </c>
      <c r="Q68" s="30"/>
      <c r="R68" s="30"/>
      <c r="S68" s="30"/>
    </row>
    <row r="69" spans="1:19" ht="15.75" hidden="1" customHeight="1">
      <c r="A69" s="12"/>
      <c r="B69" s="116" t="s">
        <v>73</v>
      </c>
      <c r="C69" s="135" t="s">
        <v>74</v>
      </c>
      <c r="D69" s="46">
        <v>9.6999999999999993</v>
      </c>
      <c r="E69" s="30"/>
      <c r="F69" s="46">
        <v>0</v>
      </c>
      <c r="G69" s="30"/>
      <c r="H69" s="31">
        <v>7</v>
      </c>
      <c r="I69" s="30"/>
      <c r="J69" s="30"/>
      <c r="K69" s="64"/>
      <c r="L69" s="30"/>
      <c r="M69" s="30"/>
      <c r="N69" s="30"/>
      <c r="O69" s="30">
        <f t="shared" si="3"/>
        <v>0</v>
      </c>
      <c r="P69" s="100">
        <f t="shared" si="5"/>
        <v>0</v>
      </c>
      <c r="Q69" s="30"/>
      <c r="R69" s="30"/>
      <c r="S69" s="30"/>
    </row>
    <row r="70" spans="1:19" ht="15" hidden="1" customHeight="1">
      <c r="A70" s="12"/>
      <c r="B70" s="116" t="s">
        <v>75</v>
      </c>
      <c r="C70" s="135" t="s">
        <v>76</v>
      </c>
      <c r="D70" s="46">
        <v>303</v>
      </c>
      <c r="E70" s="30"/>
      <c r="F70" s="46">
        <v>0</v>
      </c>
      <c r="G70" s="30"/>
      <c r="H70" s="31">
        <v>367</v>
      </c>
      <c r="I70" s="30"/>
      <c r="J70" s="30"/>
      <c r="K70" s="64"/>
      <c r="L70" s="30"/>
      <c r="M70" s="30"/>
      <c r="N70" s="30"/>
      <c r="O70" s="30">
        <f t="shared" si="3"/>
        <v>0</v>
      </c>
      <c r="P70" s="100">
        <f t="shared" si="5"/>
        <v>0</v>
      </c>
      <c r="Q70" s="30"/>
      <c r="R70" s="30"/>
      <c r="S70" s="30"/>
    </row>
    <row r="71" spans="1:19" ht="15" hidden="1" customHeight="1">
      <c r="A71" s="12"/>
      <c r="B71" s="129" t="s">
        <v>611</v>
      </c>
      <c r="C71" s="135"/>
      <c r="D71" s="46"/>
      <c r="E71" s="30"/>
      <c r="F71" s="46"/>
      <c r="G71" s="30"/>
      <c r="H71" s="31"/>
      <c r="I71" s="30"/>
      <c r="J71" s="30"/>
      <c r="K71" s="64"/>
      <c r="L71" s="30"/>
      <c r="M71" s="30"/>
      <c r="N71" s="30"/>
      <c r="O71" s="30">
        <f t="shared" si="3"/>
        <v>0</v>
      </c>
      <c r="P71" s="100">
        <f t="shared" si="5"/>
        <v>0</v>
      </c>
      <c r="Q71" s="30"/>
      <c r="R71" s="30"/>
      <c r="S71" s="30"/>
    </row>
    <row r="72" spans="1:19" ht="15.75" hidden="1" customHeight="1">
      <c r="A72" s="12">
        <v>8</v>
      </c>
      <c r="B72" s="116" t="s">
        <v>77</v>
      </c>
      <c r="C72" s="135">
        <v>40</v>
      </c>
      <c r="D72" s="46"/>
      <c r="E72" s="30"/>
      <c r="F72" s="46"/>
      <c r="G72" s="30"/>
      <c r="H72" s="31"/>
      <c r="I72" s="30"/>
      <c r="J72" s="30"/>
      <c r="K72" s="64"/>
      <c r="L72" s="30"/>
      <c r="M72" s="30"/>
      <c r="N72" s="30"/>
      <c r="O72" s="30">
        <f t="shared" si="3"/>
        <v>0</v>
      </c>
      <c r="P72" s="100">
        <f t="shared" si="5"/>
        <v>0</v>
      </c>
      <c r="Q72" s="30"/>
      <c r="R72" s="30"/>
      <c r="S72" s="30"/>
    </row>
    <row r="73" spans="1:19" ht="16.5" hidden="1" customHeight="1">
      <c r="A73" s="12"/>
      <c r="B73" s="116" t="s">
        <v>78</v>
      </c>
      <c r="C73" s="135">
        <v>4014</v>
      </c>
      <c r="D73" s="46"/>
      <c r="E73" s="30"/>
      <c r="F73" s="46"/>
      <c r="G73" s="30"/>
      <c r="H73" s="31"/>
      <c r="I73" s="30"/>
      <c r="J73" s="30"/>
      <c r="K73" s="64"/>
      <c r="L73" s="30"/>
      <c r="M73" s="30"/>
      <c r="N73" s="30"/>
      <c r="O73" s="30">
        <f t="shared" si="3"/>
        <v>0</v>
      </c>
      <c r="P73" s="100">
        <f t="shared" si="5"/>
        <v>0</v>
      </c>
      <c r="Q73" s="30"/>
      <c r="R73" s="30"/>
      <c r="S73" s="30"/>
    </row>
    <row r="74" spans="1:19" ht="14.25" hidden="1" customHeight="1">
      <c r="A74" s="12"/>
      <c r="B74" s="116"/>
      <c r="C74" s="135"/>
      <c r="D74" s="46"/>
      <c r="E74" s="30"/>
      <c r="F74" s="46"/>
      <c r="G74" s="30"/>
      <c r="H74" s="31"/>
      <c r="I74" s="30"/>
      <c r="J74" s="30"/>
      <c r="K74" s="64"/>
      <c r="L74" s="30"/>
      <c r="M74" s="30"/>
      <c r="N74" s="30"/>
      <c r="O74" s="30">
        <f t="shared" si="3"/>
        <v>0</v>
      </c>
      <c r="P74" s="100">
        <f t="shared" si="5"/>
        <v>0</v>
      </c>
      <c r="Q74" s="30"/>
      <c r="R74" s="30"/>
      <c r="S74" s="30"/>
    </row>
    <row r="75" spans="1:19" ht="18.75" customHeight="1">
      <c r="A75" s="96" t="s">
        <v>79</v>
      </c>
      <c r="B75" s="129" t="s">
        <v>80</v>
      </c>
      <c r="C75" s="135" t="s">
        <v>81</v>
      </c>
      <c r="D75" s="101">
        <f t="shared" ref="D75:S75" si="47">D76</f>
        <v>33068.200000000004</v>
      </c>
      <c r="E75" s="101">
        <f t="shared" si="47"/>
        <v>56095</v>
      </c>
      <c r="F75" s="101">
        <f t="shared" si="47"/>
        <v>54183</v>
      </c>
      <c r="G75" s="101">
        <f t="shared" si="47"/>
        <v>56095</v>
      </c>
      <c r="H75" s="109">
        <f t="shared" si="47"/>
        <v>31535</v>
      </c>
      <c r="I75" s="101">
        <f t="shared" si="47"/>
        <v>27711</v>
      </c>
      <c r="J75" s="101">
        <f t="shared" si="47"/>
        <v>126524</v>
      </c>
      <c r="K75" s="195">
        <f t="shared" si="47"/>
        <v>4403</v>
      </c>
      <c r="L75" s="101">
        <f t="shared" si="47"/>
        <v>10672</v>
      </c>
      <c r="M75" s="101">
        <f t="shared" si="47"/>
        <v>50186</v>
      </c>
      <c r="N75" s="101">
        <f t="shared" si="47"/>
        <v>61263</v>
      </c>
      <c r="O75" s="30">
        <f t="shared" si="3"/>
        <v>126524</v>
      </c>
      <c r="P75" s="100">
        <f t="shared" si="5"/>
        <v>0</v>
      </c>
      <c r="Q75" s="101">
        <f t="shared" si="47"/>
        <v>20710</v>
      </c>
      <c r="R75" s="101">
        <f t="shared" si="47"/>
        <v>6450</v>
      </c>
      <c r="S75" s="101">
        <f t="shared" si="47"/>
        <v>6450</v>
      </c>
    </row>
    <row r="76" spans="1:19" ht="14.25" customHeight="1">
      <c r="A76" s="12"/>
      <c r="B76" s="116" t="s">
        <v>82</v>
      </c>
      <c r="C76" s="135">
        <v>42.02</v>
      </c>
      <c r="D76" s="100">
        <f t="shared" ref="D76:S76" si="48">D77+D78+D82+D83+D84+D85+D87+D88+D89+D90+D93+D94+D86+D96+D97+D98+D92</f>
        <v>33068.200000000004</v>
      </c>
      <c r="E76" s="100">
        <f t="shared" si="48"/>
        <v>56095</v>
      </c>
      <c r="F76" s="100">
        <f t="shared" si="48"/>
        <v>54183</v>
      </c>
      <c r="G76" s="100">
        <f t="shared" si="48"/>
        <v>56095</v>
      </c>
      <c r="H76" s="115">
        <f t="shared" ref="H76" si="49">H77+H78+H82+H83+H84+H85+H87+H88+H89+H90+H93+H94+H86+H96+H97+H98+H92</f>
        <v>31535</v>
      </c>
      <c r="I76" s="100">
        <f t="shared" si="48"/>
        <v>27711</v>
      </c>
      <c r="J76" s="100">
        <f t="shared" si="48"/>
        <v>126524</v>
      </c>
      <c r="K76" s="194">
        <f t="shared" ref="K76:N76" si="50">K77+K78+K82+K83+K84+K85+K87+K88+K89+K90+K93+K94+K86+K96+K97+K98+K92</f>
        <v>4403</v>
      </c>
      <c r="L76" s="100">
        <f t="shared" si="50"/>
        <v>10672</v>
      </c>
      <c r="M76" s="100">
        <f t="shared" si="50"/>
        <v>50186</v>
      </c>
      <c r="N76" s="100">
        <f t="shared" si="50"/>
        <v>61263</v>
      </c>
      <c r="O76" s="30">
        <f t="shared" ref="O76:O139" si="51">K76+L76+M76+N76</f>
        <v>126524</v>
      </c>
      <c r="P76" s="100">
        <f t="shared" si="5"/>
        <v>0</v>
      </c>
      <c r="Q76" s="100">
        <f t="shared" si="48"/>
        <v>20710</v>
      </c>
      <c r="R76" s="100">
        <f t="shared" si="48"/>
        <v>6450</v>
      </c>
      <c r="S76" s="100">
        <f t="shared" si="48"/>
        <v>6450</v>
      </c>
    </row>
    <row r="77" spans="1:19" ht="29.25" hidden="1" customHeight="1">
      <c r="A77" s="12"/>
      <c r="B77" s="116" t="s">
        <v>83</v>
      </c>
      <c r="C77" s="135" t="s">
        <v>84</v>
      </c>
      <c r="D77" s="46"/>
      <c r="E77" s="30"/>
      <c r="F77" s="46"/>
      <c r="G77" s="30"/>
      <c r="H77" s="31"/>
      <c r="I77" s="30"/>
      <c r="J77" s="30"/>
      <c r="K77" s="64"/>
      <c r="L77" s="30"/>
      <c r="M77" s="30"/>
      <c r="N77" s="30"/>
      <c r="O77" s="30">
        <f t="shared" si="51"/>
        <v>0</v>
      </c>
      <c r="P77" s="100">
        <f t="shared" ref="P77:P140" si="52">J77-O77</f>
        <v>0</v>
      </c>
      <c r="Q77" s="30"/>
      <c r="R77" s="30"/>
      <c r="S77" s="30"/>
    </row>
    <row r="78" spans="1:19" ht="18.75" customHeight="1">
      <c r="A78" s="12"/>
      <c r="B78" s="116" t="s">
        <v>85</v>
      </c>
      <c r="C78" s="37" t="s">
        <v>86</v>
      </c>
      <c r="D78" s="105">
        <f t="shared" ref="D78:S78" si="53">D79+D80+D81</f>
        <v>2857</v>
      </c>
      <c r="E78" s="105">
        <f t="shared" si="53"/>
        <v>875</v>
      </c>
      <c r="F78" s="105">
        <f t="shared" si="53"/>
        <v>0</v>
      </c>
      <c r="G78" s="105">
        <f t="shared" si="53"/>
        <v>875</v>
      </c>
      <c r="H78" s="108">
        <f t="shared" ref="H78" si="54">H79+H80+H81</f>
        <v>83</v>
      </c>
      <c r="I78" s="105">
        <f t="shared" si="53"/>
        <v>0</v>
      </c>
      <c r="J78" s="105">
        <f t="shared" si="53"/>
        <v>0</v>
      </c>
      <c r="K78" s="197">
        <f t="shared" ref="K78:N78" si="55">K79+K80+K81</f>
        <v>0</v>
      </c>
      <c r="L78" s="105">
        <f t="shared" si="55"/>
        <v>0</v>
      </c>
      <c r="M78" s="105">
        <f t="shared" si="55"/>
        <v>0</v>
      </c>
      <c r="N78" s="105">
        <f t="shared" si="55"/>
        <v>0</v>
      </c>
      <c r="O78" s="30">
        <f t="shared" si="51"/>
        <v>0</v>
      </c>
      <c r="P78" s="100">
        <f t="shared" si="52"/>
        <v>0</v>
      </c>
      <c r="Q78" s="105">
        <f t="shared" si="53"/>
        <v>0</v>
      </c>
      <c r="R78" s="105">
        <f t="shared" si="53"/>
        <v>0</v>
      </c>
      <c r="S78" s="105">
        <f t="shared" si="53"/>
        <v>0</v>
      </c>
    </row>
    <row r="79" spans="1:19" ht="29.25" hidden="1" customHeight="1">
      <c r="A79" s="12"/>
      <c r="B79" s="35" t="s">
        <v>87</v>
      </c>
      <c r="C79" s="135" t="s">
        <v>88</v>
      </c>
      <c r="D79" s="46">
        <v>2857</v>
      </c>
      <c r="E79" s="30">
        <v>875</v>
      </c>
      <c r="F79" s="46"/>
      <c r="G79" s="30">
        <v>875</v>
      </c>
      <c r="H79" s="31">
        <v>83</v>
      </c>
      <c r="I79" s="30"/>
      <c r="J79" s="30"/>
      <c r="K79" s="64"/>
      <c r="L79" s="30"/>
      <c r="M79" s="30"/>
      <c r="N79" s="30"/>
      <c r="O79" s="30">
        <f t="shared" si="51"/>
        <v>0</v>
      </c>
      <c r="P79" s="100">
        <f t="shared" si="52"/>
        <v>0</v>
      </c>
      <c r="Q79" s="30"/>
      <c r="R79" s="30"/>
      <c r="S79" s="30"/>
    </row>
    <row r="80" spans="1:19" ht="15" hidden="1" customHeight="1">
      <c r="A80" s="12"/>
      <c r="B80" s="116" t="s">
        <v>89</v>
      </c>
      <c r="C80" s="135" t="s">
        <v>90</v>
      </c>
      <c r="D80" s="46"/>
      <c r="E80" s="30"/>
      <c r="F80" s="46"/>
      <c r="G80" s="30"/>
      <c r="H80" s="31"/>
      <c r="I80" s="30"/>
      <c r="J80" s="30"/>
      <c r="K80" s="64"/>
      <c r="L80" s="30"/>
      <c r="M80" s="30"/>
      <c r="N80" s="30"/>
      <c r="O80" s="30">
        <f t="shared" si="51"/>
        <v>0</v>
      </c>
      <c r="P80" s="100">
        <f t="shared" si="52"/>
        <v>0</v>
      </c>
      <c r="Q80" s="30"/>
      <c r="R80" s="30"/>
      <c r="S80" s="30"/>
    </row>
    <row r="81" spans="1:19" ht="18.75" hidden="1" customHeight="1">
      <c r="A81" s="12"/>
      <c r="B81" s="116" t="s">
        <v>91</v>
      </c>
      <c r="C81" s="135" t="s">
        <v>92</v>
      </c>
      <c r="D81" s="46"/>
      <c r="E81" s="30"/>
      <c r="F81" s="46"/>
      <c r="G81" s="30"/>
      <c r="H81" s="31"/>
      <c r="I81" s="30"/>
      <c r="J81" s="30"/>
      <c r="K81" s="64"/>
      <c r="L81" s="30"/>
      <c r="M81" s="30"/>
      <c r="N81" s="30"/>
      <c r="O81" s="30">
        <f t="shared" si="51"/>
        <v>0</v>
      </c>
      <c r="P81" s="100">
        <f t="shared" si="52"/>
        <v>0</v>
      </c>
      <c r="Q81" s="30"/>
      <c r="R81" s="30"/>
      <c r="S81" s="30"/>
    </row>
    <row r="82" spans="1:19" ht="25.5" hidden="1" customHeight="1">
      <c r="A82" s="12"/>
      <c r="B82" s="35" t="s">
        <v>93</v>
      </c>
      <c r="C82" s="135" t="s">
        <v>94</v>
      </c>
      <c r="D82" s="46"/>
      <c r="E82" s="30"/>
      <c r="F82" s="46"/>
      <c r="G82" s="30"/>
      <c r="H82" s="31"/>
      <c r="I82" s="30"/>
      <c r="J82" s="30"/>
      <c r="K82" s="64"/>
      <c r="L82" s="30"/>
      <c r="M82" s="30"/>
      <c r="N82" s="30"/>
      <c r="O82" s="30">
        <f t="shared" si="51"/>
        <v>0</v>
      </c>
      <c r="P82" s="100">
        <f t="shared" si="52"/>
        <v>0</v>
      </c>
      <c r="Q82" s="30"/>
      <c r="R82" s="30"/>
      <c r="S82" s="30"/>
    </row>
    <row r="83" spans="1:19" ht="25.5" hidden="1" customHeight="1">
      <c r="A83" s="12"/>
      <c r="B83" s="35" t="s">
        <v>95</v>
      </c>
      <c r="C83" s="135" t="s">
        <v>96</v>
      </c>
      <c r="D83" s="46"/>
      <c r="E83" s="30"/>
      <c r="F83" s="46"/>
      <c r="G83" s="30"/>
      <c r="H83" s="31"/>
      <c r="I83" s="30"/>
      <c r="J83" s="30"/>
      <c r="K83" s="64"/>
      <c r="L83" s="30"/>
      <c r="M83" s="30"/>
      <c r="N83" s="30"/>
      <c r="O83" s="30">
        <f t="shared" si="51"/>
        <v>0</v>
      </c>
      <c r="P83" s="100">
        <f t="shared" si="52"/>
        <v>0</v>
      </c>
      <c r="Q83" s="30"/>
      <c r="R83" s="30"/>
      <c r="S83" s="30"/>
    </row>
    <row r="84" spans="1:19" ht="15" customHeight="1">
      <c r="A84" s="12"/>
      <c r="B84" s="116" t="s">
        <v>97</v>
      </c>
      <c r="C84" s="135" t="s">
        <v>98</v>
      </c>
      <c r="D84" s="46"/>
      <c r="E84" s="30"/>
      <c r="F84" s="46"/>
      <c r="G84" s="30"/>
      <c r="H84" s="31"/>
      <c r="I84" s="30"/>
      <c r="J84" s="30"/>
      <c r="K84" s="64"/>
      <c r="L84" s="30"/>
      <c r="M84" s="30"/>
      <c r="N84" s="30"/>
      <c r="O84" s="30">
        <f t="shared" si="51"/>
        <v>0</v>
      </c>
      <c r="P84" s="100">
        <f t="shared" si="52"/>
        <v>0</v>
      </c>
      <c r="Q84" s="30"/>
      <c r="R84" s="30"/>
      <c r="S84" s="30"/>
    </row>
    <row r="85" spans="1:19" ht="14.25" customHeight="1">
      <c r="A85" s="12"/>
      <c r="B85" s="116" t="s">
        <v>99</v>
      </c>
      <c r="C85" s="135" t="s">
        <v>100</v>
      </c>
      <c r="D85" s="104">
        <v>735.7</v>
      </c>
      <c r="E85" s="104">
        <f t="shared" ref="E85:S85" si="56">E766</f>
        <v>1598</v>
      </c>
      <c r="F85" s="104">
        <f t="shared" si="56"/>
        <v>1610</v>
      </c>
      <c r="G85" s="104">
        <f t="shared" si="56"/>
        <v>1598</v>
      </c>
      <c r="H85" s="117">
        <f t="shared" ref="H85" si="57">H766</f>
        <v>1011</v>
      </c>
      <c r="I85" s="104">
        <f t="shared" si="56"/>
        <v>1450</v>
      </c>
      <c r="J85" s="104">
        <f t="shared" si="56"/>
        <v>1450</v>
      </c>
      <c r="K85" s="196">
        <f t="shared" ref="K85:N85" si="58">K766</f>
        <v>550</v>
      </c>
      <c r="L85" s="104">
        <f t="shared" si="58"/>
        <v>450</v>
      </c>
      <c r="M85" s="104">
        <f t="shared" si="58"/>
        <v>450</v>
      </c>
      <c r="N85" s="104">
        <f t="shared" si="58"/>
        <v>0</v>
      </c>
      <c r="O85" s="30">
        <f t="shared" si="51"/>
        <v>1450</v>
      </c>
      <c r="P85" s="100">
        <f t="shared" si="52"/>
        <v>0</v>
      </c>
      <c r="Q85" s="104">
        <f t="shared" si="56"/>
        <v>1450</v>
      </c>
      <c r="R85" s="104">
        <f t="shared" si="56"/>
        <v>1450</v>
      </c>
      <c r="S85" s="104">
        <f t="shared" si="56"/>
        <v>1450</v>
      </c>
    </row>
    <row r="86" spans="1:19" ht="15" hidden="1" customHeight="1">
      <c r="A86" s="12"/>
      <c r="B86" s="116" t="s">
        <v>101</v>
      </c>
      <c r="C86" s="135" t="s">
        <v>102</v>
      </c>
      <c r="D86" s="46">
        <v>2558</v>
      </c>
      <c r="E86" s="30"/>
      <c r="F86" s="46"/>
      <c r="G86" s="30"/>
      <c r="H86" s="31"/>
      <c r="I86" s="30"/>
      <c r="J86" s="30"/>
      <c r="K86" s="64"/>
      <c r="L86" s="30"/>
      <c r="M86" s="30"/>
      <c r="N86" s="30"/>
      <c r="O86" s="30">
        <f t="shared" si="51"/>
        <v>0</v>
      </c>
      <c r="P86" s="100">
        <f t="shared" si="52"/>
        <v>0</v>
      </c>
      <c r="Q86" s="30"/>
      <c r="R86" s="30"/>
      <c r="S86" s="30"/>
    </row>
    <row r="87" spans="1:19" ht="13.5" hidden="1" customHeight="1">
      <c r="A87" s="12"/>
      <c r="B87" s="116" t="s">
        <v>103</v>
      </c>
      <c r="C87" s="135" t="s">
        <v>104</v>
      </c>
      <c r="D87" s="46"/>
      <c r="E87" s="30"/>
      <c r="F87" s="46"/>
      <c r="G87" s="30"/>
      <c r="H87" s="31"/>
      <c r="I87" s="30"/>
      <c r="J87" s="30"/>
      <c r="K87" s="64"/>
      <c r="L87" s="30"/>
      <c r="M87" s="30"/>
      <c r="N87" s="30"/>
      <c r="O87" s="30">
        <f t="shared" si="51"/>
        <v>0</v>
      </c>
      <c r="P87" s="100">
        <f t="shared" si="52"/>
        <v>0</v>
      </c>
      <c r="Q87" s="30"/>
      <c r="R87" s="30"/>
      <c r="S87" s="30"/>
    </row>
    <row r="88" spans="1:19" ht="15" hidden="1" customHeight="1">
      <c r="A88" s="12"/>
      <c r="B88" s="116" t="s">
        <v>105</v>
      </c>
      <c r="C88" s="135" t="s">
        <v>106</v>
      </c>
      <c r="D88" s="46"/>
      <c r="E88" s="30"/>
      <c r="F88" s="46"/>
      <c r="G88" s="30"/>
      <c r="H88" s="31"/>
      <c r="I88" s="30"/>
      <c r="J88" s="30"/>
      <c r="K88" s="64"/>
      <c r="L88" s="30"/>
      <c r="M88" s="30"/>
      <c r="N88" s="30"/>
      <c r="O88" s="30">
        <f t="shared" si="51"/>
        <v>0</v>
      </c>
      <c r="P88" s="100">
        <f t="shared" si="52"/>
        <v>0</v>
      </c>
      <c r="Q88" s="30"/>
      <c r="R88" s="30"/>
      <c r="S88" s="30"/>
    </row>
    <row r="89" spans="1:19" ht="16.5" customHeight="1">
      <c r="A89" s="12"/>
      <c r="B89" s="116" t="s">
        <v>107</v>
      </c>
      <c r="C89" s="135" t="s">
        <v>108</v>
      </c>
      <c r="D89" s="46">
        <v>5147.8</v>
      </c>
      <c r="E89" s="30">
        <v>5008</v>
      </c>
      <c r="F89" s="46">
        <f>5288-1264</f>
        <v>4024</v>
      </c>
      <c r="G89" s="30">
        <v>5008</v>
      </c>
      <c r="H89" s="31">
        <v>4978</v>
      </c>
      <c r="I89" s="30"/>
      <c r="J89" s="30">
        <v>5000</v>
      </c>
      <c r="K89" s="64">
        <v>1250</v>
      </c>
      <c r="L89" s="30">
        <v>1250</v>
      </c>
      <c r="M89" s="30">
        <v>1250</v>
      </c>
      <c r="N89" s="30">
        <v>1250</v>
      </c>
      <c r="O89" s="30">
        <f t="shared" si="51"/>
        <v>5000</v>
      </c>
      <c r="P89" s="100">
        <f t="shared" si="52"/>
        <v>0</v>
      </c>
      <c r="Q89" s="30">
        <v>5000</v>
      </c>
      <c r="R89" s="30">
        <v>5000</v>
      </c>
      <c r="S89" s="30">
        <v>5000</v>
      </c>
    </row>
    <row r="90" spans="1:19" ht="0.75" customHeight="1">
      <c r="A90" s="12"/>
      <c r="B90" s="116" t="s">
        <v>109</v>
      </c>
      <c r="C90" s="135" t="s">
        <v>110</v>
      </c>
      <c r="D90" s="46"/>
      <c r="E90" s="30"/>
      <c r="F90" s="46"/>
      <c r="G90" s="30"/>
      <c r="H90" s="31"/>
      <c r="I90" s="30"/>
      <c r="J90" s="30"/>
      <c r="K90" s="64"/>
      <c r="L90" s="30"/>
      <c r="M90" s="30"/>
      <c r="N90" s="30"/>
      <c r="O90" s="30">
        <f t="shared" si="51"/>
        <v>0</v>
      </c>
      <c r="P90" s="100">
        <f t="shared" si="52"/>
        <v>0</v>
      </c>
      <c r="Q90" s="30"/>
      <c r="R90" s="30"/>
      <c r="S90" s="30"/>
    </row>
    <row r="91" spans="1:19" ht="17.25" hidden="1" customHeight="1">
      <c r="A91" s="12"/>
      <c r="B91" s="116" t="s">
        <v>111</v>
      </c>
      <c r="C91" s="135" t="s">
        <v>112</v>
      </c>
      <c r="D91" s="46"/>
      <c r="E91" s="30"/>
      <c r="F91" s="46"/>
      <c r="G91" s="30"/>
      <c r="H91" s="31"/>
      <c r="I91" s="30"/>
      <c r="J91" s="30"/>
      <c r="K91" s="64"/>
      <c r="L91" s="30"/>
      <c r="M91" s="30"/>
      <c r="N91" s="30"/>
      <c r="O91" s="30">
        <f t="shared" si="51"/>
        <v>0</v>
      </c>
      <c r="P91" s="100">
        <f t="shared" si="52"/>
        <v>0</v>
      </c>
      <c r="Q91" s="30"/>
      <c r="R91" s="30"/>
      <c r="S91" s="30"/>
    </row>
    <row r="92" spans="1:19" ht="27.75" hidden="1" customHeight="1">
      <c r="A92" s="12"/>
      <c r="B92" s="35" t="s">
        <v>113</v>
      </c>
      <c r="C92" s="135" t="s">
        <v>114</v>
      </c>
      <c r="D92" s="46"/>
      <c r="E92" s="30"/>
      <c r="F92" s="46"/>
      <c r="G92" s="30"/>
      <c r="H92" s="31"/>
      <c r="I92" s="30"/>
      <c r="J92" s="30"/>
      <c r="K92" s="64"/>
      <c r="L92" s="30"/>
      <c r="M92" s="30"/>
      <c r="N92" s="30"/>
      <c r="O92" s="30">
        <f t="shared" si="51"/>
        <v>0</v>
      </c>
      <c r="P92" s="100">
        <f t="shared" si="52"/>
        <v>0</v>
      </c>
      <c r="Q92" s="30"/>
      <c r="R92" s="30"/>
      <c r="S92" s="30"/>
    </row>
    <row r="93" spans="1:19" ht="31.5" hidden="1" customHeight="1">
      <c r="A93" s="12"/>
      <c r="B93" s="35" t="s">
        <v>115</v>
      </c>
      <c r="C93" s="135" t="s">
        <v>116</v>
      </c>
      <c r="D93" s="46"/>
      <c r="E93" s="30"/>
      <c r="F93" s="46"/>
      <c r="G93" s="30"/>
      <c r="H93" s="31"/>
      <c r="I93" s="30"/>
      <c r="J93" s="30"/>
      <c r="K93" s="64"/>
      <c r="L93" s="30"/>
      <c r="M93" s="30"/>
      <c r="N93" s="30"/>
      <c r="O93" s="30">
        <f t="shared" si="51"/>
        <v>0</v>
      </c>
      <c r="P93" s="100">
        <f t="shared" si="52"/>
        <v>0</v>
      </c>
      <c r="Q93" s="30"/>
      <c r="R93" s="30"/>
      <c r="S93" s="30"/>
    </row>
    <row r="94" spans="1:19" ht="26.25" hidden="1" customHeight="1">
      <c r="A94" s="12"/>
      <c r="B94" s="35" t="s">
        <v>117</v>
      </c>
      <c r="C94" s="135" t="s">
        <v>118</v>
      </c>
      <c r="D94" s="46"/>
      <c r="E94" s="30"/>
      <c r="F94" s="46"/>
      <c r="G94" s="30"/>
      <c r="H94" s="31"/>
      <c r="I94" s="30"/>
      <c r="J94" s="30"/>
      <c r="K94" s="64"/>
      <c r="L94" s="30"/>
      <c r="M94" s="30"/>
      <c r="N94" s="30"/>
      <c r="O94" s="30">
        <f t="shared" si="51"/>
        <v>0</v>
      </c>
      <c r="P94" s="100">
        <f t="shared" si="52"/>
        <v>0</v>
      </c>
      <c r="Q94" s="30"/>
      <c r="R94" s="30"/>
      <c r="S94" s="30"/>
    </row>
    <row r="95" spans="1:19" ht="29.25" hidden="1" customHeight="1">
      <c r="A95" s="12"/>
      <c r="B95" s="118" t="s">
        <v>119</v>
      </c>
      <c r="C95" s="119" t="s">
        <v>120</v>
      </c>
      <c r="D95" s="46"/>
      <c r="E95" s="30"/>
      <c r="F95" s="46"/>
      <c r="G95" s="30"/>
      <c r="H95" s="31"/>
      <c r="I95" s="30"/>
      <c r="J95" s="30"/>
      <c r="K95" s="64"/>
      <c r="L95" s="30"/>
      <c r="M95" s="30"/>
      <c r="N95" s="30"/>
      <c r="O95" s="30">
        <f t="shared" si="51"/>
        <v>0</v>
      </c>
      <c r="P95" s="100">
        <f t="shared" si="52"/>
        <v>0</v>
      </c>
      <c r="Q95" s="30"/>
      <c r="R95" s="30"/>
      <c r="S95" s="30"/>
    </row>
    <row r="96" spans="1:19" ht="27" customHeight="1">
      <c r="A96" s="12"/>
      <c r="B96" s="120" t="s">
        <v>121</v>
      </c>
      <c r="C96" s="121" t="s">
        <v>122</v>
      </c>
      <c r="D96" s="46">
        <v>20801.900000000001</v>
      </c>
      <c r="E96" s="30">
        <v>33974</v>
      </c>
      <c r="F96" s="46">
        <v>33974</v>
      </c>
      <c r="G96" s="30">
        <v>33974</v>
      </c>
      <c r="H96" s="31">
        <v>19583</v>
      </c>
      <c r="I96" s="30"/>
      <c r="J96" s="30">
        <v>93813</v>
      </c>
      <c r="K96" s="64">
        <v>550</v>
      </c>
      <c r="L96" s="30">
        <v>1140</v>
      </c>
      <c r="M96" s="30">
        <v>38396</v>
      </c>
      <c r="N96" s="30">
        <v>53727</v>
      </c>
      <c r="O96" s="30">
        <f t="shared" si="51"/>
        <v>93813</v>
      </c>
      <c r="P96" s="100">
        <f t="shared" si="52"/>
        <v>0</v>
      </c>
      <c r="Q96" s="30">
        <v>0</v>
      </c>
      <c r="R96" s="30">
        <v>0</v>
      </c>
      <c r="S96" s="30">
        <v>0</v>
      </c>
    </row>
    <row r="97" spans="1:21" ht="27.75" customHeight="1">
      <c r="A97" s="12"/>
      <c r="B97" s="35" t="s">
        <v>579</v>
      </c>
      <c r="C97" s="121" t="s">
        <v>483</v>
      </c>
      <c r="D97" s="114">
        <v>967.8</v>
      </c>
      <c r="E97" s="114">
        <f t="shared" ref="E97:S97" si="59">E285+E1147+E786+E289+E797+E802+E807+E812+E1153+E818+E824+E830+E836+E1159</f>
        <v>14640</v>
      </c>
      <c r="F97" s="114">
        <f t="shared" si="59"/>
        <v>14575</v>
      </c>
      <c r="G97" s="114">
        <f t="shared" si="59"/>
        <v>14640</v>
      </c>
      <c r="H97" s="122">
        <v>5880</v>
      </c>
      <c r="I97" s="114">
        <f t="shared" si="59"/>
        <v>26261</v>
      </c>
      <c r="J97" s="114">
        <f t="shared" si="59"/>
        <v>26261</v>
      </c>
      <c r="K97" s="202">
        <f t="shared" ref="K97:N97" si="60">K285+K1147+K786+K289+K797+K802+K807+K812+K1153+K818+K824+K830+K836+K1159</f>
        <v>2053</v>
      </c>
      <c r="L97" s="114">
        <f t="shared" si="60"/>
        <v>7832</v>
      </c>
      <c r="M97" s="114">
        <f t="shared" si="60"/>
        <v>10090</v>
      </c>
      <c r="N97" s="114">
        <f t="shared" si="60"/>
        <v>6286</v>
      </c>
      <c r="O97" s="30">
        <f t="shared" si="51"/>
        <v>26261</v>
      </c>
      <c r="P97" s="100">
        <f t="shared" si="52"/>
        <v>0</v>
      </c>
      <c r="Q97" s="114">
        <f t="shared" si="59"/>
        <v>14260</v>
      </c>
      <c r="R97" s="114">
        <f t="shared" si="59"/>
        <v>0</v>
      </c>
      <c r="S97" s="114">
        <f t="shared" si="59"/>
        <v>0</v>
      </c>
      <c r="U97" s="40"/>
    </row>
    <row r="98" spans="1:21" ht="27" hidden="1" customHeight="1">
      <c r="A98" s="12"/>
      <c r="B98" s="35" t="s">
        <v>487</v>
      </c>
      <c r="C98" s="121" t="s">
        <v>488</v>
      </c>
      <c r="D98" s="114">
        <v>0</v>
      </c>
      <c r="E98" s="30"/>
      <c r="F98" s="114">
        <v>0</v>
      </c>
      <c r="G98" s="30"/>
      <c r="H98" s="31"/>
      <c r="I98" s="30"/>
      <c r="J98" s="30"/>
      <c r="K98" s="64"/>
      <c r="L98" s="30"/>
      <c r="M98" s="30"/>
      <c r="N98" s="30"/>
      <c r="O98" s="30">
        <f t="shared" si="51"/>
        <v>0</v>
      </c>
      <c r="P98" s="100">
        <f t="shared" si="52"/>
        <v>0</v>
      </c>
      <c r="Q98" s="30"/>
      <c r="R98" s="30"/>
      <c r="S98" s="30"/>
    </row>
    <row r="99" spans="1:21" ht="17.25" customHeight="1">
      <c r="A99" s="12"/>
      <c r="B99" s="33" t="s">
        <v>489</v>
      </c>
      <c r="C99" s="227" t="s">
        <v>490</v>
      </c>
      <c r="D99" s="123">
        <f t="shared" ref="D99:S99" si="61">D100</f>
        <v>100</v>
      </c>
      <c r="E99" s="123">
        <f t="shared" si="61"/>
        <v>0</v>
      </c>
      <c r="F99" s="123">
        <f t="shared" si="61"/>
        <v>0</v>
      </c>
      <c r="G99" s="123">
        <f t="shared" si="61"/>
        <v>0</v>
      </c>
      <c r="H99" s="124">
        <f t="shared" si="61"/>
        <v>0</v>
      </c>
      <c r="I99" s="123">
        <f t="shared" si="61"/>
        <v>0</v>
      </c>
      <c r="J99" s="123">
        <f t="shared" si="61"/>
        <v>0</v>
      </c>
      <c r="K99" s="203">
        <f t="shared" si="61"/>
        <v>0</v>
      </c>
      <c r="L99" s="123">
        <f t="shared" si="61"/>
        <v>0</v>
      </c>
      <c r="M99" s="123">
        <f t="shared" si="61"/>
        <v>0</v>
      </c>
      <c r="N99" s="123">
        <f t="shared" si="61"/>
        <v>0</v>
      </c>
      <c r="O99" s="30">
        <f t="shared" si="51"/>
        <v>0</v>
      </c>
      <c r="P99" s="100">
        <f t="shared" si="52"/>
        <v>0</v>
      </c>
      <c r="Q99" s="123">
        <f t="shared" si="61"/>
        <v>0</v>
      </c>
      <c r="R99" s="123">
        <f t="shared" si="61"/>
        <v>0</v>
      </c>
      <c r="S99" s="123">
        <f t="shared" si="61"/>
        <v>0</v>
      </c>
    </row>
    <row r="100" spans="1:21" ht="37.5" customHeight="1">
      <c r="A100" s="12"/>
      <c r="B100" s="35" t="s">
        <v>549</v>
      </c>
      <c r="C100" s="121" t="s">
        <v>550</v>
      </c>
      <c r="D100" s="46">
        <v>100</v>
      </c>
      <c r="E100" s="30"/>
      <c r="F100" s="46"/>
      <c r="G100" s="30"/>
      <c r="H100" s="31"/>
      <c r="I100" s="30"/>
      <c r="J100" s="30"/>
      <c r="K100" s="64"/>
      <c r="L100" s="30"/>
      <c r="M100" s="30"/>
      <c r="N100" s="30"/>
      <c r="O100" s="30">
        <f t="shared" si="51"/>
        <v>0</v>
      </c>
      <c r="P100" s="100">
        <f t="shared" si="52"/>
        <v>0</v>
      </c>
      <c r="Q100" s="30"/>
      <c r="R100" s="30"/>
      <c r="S100" s="30"/>
    </row>
    <row r="101" spans="1:21" ht="57" customHeight="1">
      <c r="A101" s="97" t="s">
        <v>123</v>
      </c>
      <c r="B101" s="125" t="s">
        <v>436</v>
      </c>
      <c r="C101" s="228">
        <v>48.02</v>
      </c>
      <c r="D101" s="100">
        <f t="shared" ref="D101:S101" si="62">D102+D106+D110</f>
        <v>5831.3</v>
      </c>
      <c r="E101" s="100">
        <f t="shared" si="62"/>
        <v>87420</v>
      </c>
      <c r="F101" s="100">
        <f t="shared" si="62"/>
        <v>86995</v>
      </c>
      <c r="G101" s="100">
        <f t="shared" si="62"/>
        <v>87420</v>
      </c>
      <c r="H101" s="115">
        <f t="shared" ref="H101" si="63">H102+H106+H110</f>
        <v>58368.51</v>
      </c>
      <c r="I101" s="100">
        <f t="shared" si="62"/>
        <v>140667</v>
      </c>
      <c r="J101" s="100">
        <f t="shared" si="62"/>
        <v>140664</v>
      </c>
      <c r="K101" s="194">
        <f t="shared" ref="K101:N101" si="64">K102+K106+K110</f>
        <v>7329</v>
      </c>
      <c r="L101" s="100">
        <f t="shared" si="64"/>
        <v>45472</v>
      </c>
      <c r="M101" s="100">
        <f t="shared" si="64"/>
        <v>51440</v>
      </c>
      <c r="N101" s="100">
        <f t="shared" si="64"/>
        <v>36423</v>
      </c>
      <c r="O101" s="30">
        <f t="shared" si="51"/>
        <v>140664</v>
      </c>
      <c r="P101" s="100">
        <f t="shared" si="52"/>
        <v>0</v>
      </c>
      <c r="Q101" s="100">
        <f t="shared" si="62"/>
        <v>71923</v>
      </c>
      <c r="R101" s="100">
        <f t="shared" si="62"/>
        <v>0</v>
      </c>
      <c r="S101" s="100">
        <f t="shared" si="62"/>
        <v>0</v>
      </c>
    </row>
    <row r="102" spans="1:21" ht="15.75" customHeight="1">
      <c r="A102" s="176"/>
      <c r="B102" s="126" t="s">
        <v>524</v>
      </c>
      <c r="C102" s="228" t="s">
        <v>440</v>
      </c>
      <c r="D102" s="100">
        <f t="shared" ref="D102:S102" si="65">D103+D104+D105</f>
        <v>4997.3</v>
      </c>
      <c r="E102" s="100">
        <f t="shared" si="65"/>
        <v>83455</v>
      </c>
      <c r="F102" s="100">
        <f t="shared" si="65"/>
        <v>83030</v>
      </c>
      <c r="G102" s="100">
        <f t="shared" si="65"/>
        <v>83455</v>
      </c>
      <c r="H102" s="115">
        <f t="shared" ref="H102" si="66">H103+H104+H105</f>
        <v>56900.51</v>
      </c>
      <c r="I102" s="100">
        <f t="shared" si="65"/>
        <v>137105</v>
      </c>
      <c r="J102" s="100">
        <f t="shared" si="65"/>
        <v>134337</v>
      </c>
      <c r="K102" s="194">
        <f t="shared" ref="K102:N102" si="67">K103+K104+K105</f>
        <v>5985</v>
      </c>
      <c r="L102" s="100">
        <f t="shared" si="67"/>
        <v>42940</v>
      </c>
      <c r="M102" s="100">
        <f t="shared" si="67"/>
        <v>49703</v>
      </c>
      <c r="N102" s="100">
        <f t="shared" si="67"/>
        <v>35709</v>
      </c>
      <c r="O102" s="30">
        <f t="shared" si="51"/>
        <v>134337</v>
      </c>
      <c r="P102" s="100">
        <f t="shared" si="52"/>
        <v>0</v>
      </c>
      <c r="Q102" s="100">
        <f t="shared" si="65"/>
        <v>68875</v>
      </c>
      <c r="R102" s="100">
        <f t="shared" si="65"/>
        <v>0</v>
      </c>
      <c r="S102" s="100">
        <f t="shared" si="65"/>
        <v>0</v>
      </c>
    </row>
    <row r="103" spans="1:21" ht="17.25" customHeight="1">
      <c r="A103" s="12"/>
      <c r="B103" s="116" t="s">
        <v>124</v>
      </c>
      <c r="C103" s="135" t="s">
        <v>437</v>
      </c>
      <c r="D103" s="104">
        <v>4692.8</v>
      </c>
      <c r="E103" s="104">
        <f t="shared" ref="E103" si="68">E286+E1148+E798+E803+E808+E813+E1154+E825+E831+E837</f>
        <v>83455</v>
      </c>
      <c r="F103" s="127">
        <f t="shared" ref="F103:I103" si="69">F286+F1148+F798+F803+F808+F813+F1154+F825+F831+F837+F1160</f>
        <v>83030</v>
      </c>
      <c r="G103" s="127">
        <f t="shared" si="69"/>
        <v>83455</v>
      </c>
      <c r="H103" s="127">
        <f t="shared" si="69"/>
        <v>46887.51</v>
      </c>
      <c r="I103" s="127">
        <f t="shared" si="69"/>
        <v>137105</v>
      </c>
      <c r="J103" s="104">
        <f>J286+J1148+J798+J803+J808+J813+J1154+J825+J831+J837</f>
        <v>134337</v>
      </c>
      <c r="K103" s="196">
        <f t="shared" ref="K103:N103" si="70">K286+K1148+K798+K803+K808+K813+K1154+K825+K831+K837</f>
        <v>5985</v>
      </c>
      <c r="L103" s="104">
        <f t="shared" si="70"/>
        <v>42940</v>
      </c>
      <c r="M103" s="104">
        <f t="shared" si="70"/>
        <v>49703</v>
      </c>
      <c r="N103" s="104">
        <f t="shared" si="70"/>
        <v>35709</v>
      </c>
      <c r="O103" s="30">
        <f t="shared" si="51"/>
        <v>134337</v>
      </c>
      <c r="P103" s="100">
        <f t="shared" si="52"/>
        <v>0</v>
      </c>
      <c r="Q103" s="104">
        <f>Q286+Q1148+Q798+Q803+Q808+Q813+Q1154+Q825+Q831+Q837</f>
        <v>68875</v>
      </c>
      <c r="R103" s="104">
        <f t="shared" ref="R103:S103" si="71">R286+R1148+R798+R803+R808+R813+R1154+R825+R831+R837</f>
        <v>0</v>
      </c>
      <c r="S103" s="104">
        <f t="shared" si="71"/>
        <v>0</v>
      </c>
      <c r="U103" s="40"/>
    </row>
    <row r="104" spans="1:21" ht="17.25" customHeight="1">
      <c r="A104" s="12"/>
      <c r="B104" s="116" t="s">
        <v>125</v>
      </c>
      <c r="C104" s="135" t="s">
        <v>438</v>
      </c>
      <c r="D104" s="46">
        <v>304.5</v>
      </c>
      <c r="E104" s="30"/>
      <c r="F104" s="46"/>
      <c r="G104" s="30"/>
      <c r="H104" s="31">
        <v>10013</v>
      </c>
      <c r="I104" s="30"/>
      <c r="J104" s="30"/>
      <c r="K104" s="64"/>
      <c r="L104" s="30"/>
      <c r="M104" s="30"/>
      <c r="N104" s="30"/>
      <c r="O104" s="30">
        <f t="shared" si="51"/>
        <v>0</v>
      </c>
      <c r="P104" s="100">
        <f t="shared" si="52"/>
        <v>0</v>
      </c>
      <c r="Q104" s="30"/>
      <c r="R104" s="30"/>
      <c r="S104" s="30"/>
    </row>
    <row r="105" spans="1:21" ht="17.25" customHeight="1">
      <c r="A105" s="12"/>
      <c r="B105" s="116" t="s">
        <v>126</v>
      </c>
      <c r="C105" s="135" t="s">
        <v>439</v>
      </c>
      <c r="D105" s="46"/>
      <c r="E105" s="30"/>
      <c r="F105" s="46"/>
      <c r="G105" s="30"/>
      <c r="H105" s="31"/>
      <c r="I105" s="30"/>
      <c r="J105" s="30"/>
      <c r="K105" s="64"/>
      <c r="L105" s="30"/>
      <c r="M105" s="30"/>
      <c r="N105" s="30"/>
      <c r="O105" s="30">
        <f t="shared" si="51"/>
        <v>0</v>
      </c>
      <c r="P105" s="100">
        <f t="shared" si="52"/>
        <v>0</v>
      </c>
      <c r="Q105" s="30"/>
      <c r="R105" s="30"/>
      <c r="S105" s="30"/>
    </row>
    <row r="106" spans="1:21" ht="17.25" customHeight="1">
      <c r="A106" s="176"/>
      <c r="B106" s="229" t="s">
        <v>525</v>
      </c>
      <c r="C106" s="128" t="s">
        <v>491</v>
      </c>
      <c r="D106" s="110">
        <f t="shared" ref="D106:S106" si="72">D107+D108+D109</f>
        <v>834</v>
      </c>
      <c r="E106" s="110">
        <f t="shared" si="72"/>
        <v>3965</v>
      </c>
      <c r="F106" s="110">
        <f t="shared" si="72"/>
        <v>3965</v>
      </c>
      <c r="G106" s="110">
        <f t="shared" si="72"/>
        <v>3965</v>
      </c>
      <c r="H106" s="111">
        <f t="shared" ref="H106" si="73">H107+H108+H109</f>
        <v>1468</v>
      </c>
      <c r="I106" s="110">
        <f t="shared" si="72"/>
        <v>3562</v>
      </c>
      <c r="J106" s="110">
        <f t="shared" si="72"/>
        <v>3562</v>
      </c>
      <c r="K106" s="199">
        <f t="shared" ref="K106:N106" si="74">K107+K108+K109</f>
        <v>1344</v>
      </c>
      <c r="L106" s="110">
        <f t="shared" si="74"/>
        <v>767</v>
      </c>
      <c r="M106" s="110">
        <f t="shared" si="74"/>
        <v>737</v>
      </c>
      <c r="N106" s="110">
        <f t="shared" si="74"/>
        <v>714</v>
      </c>
      <c r="O106" s="30">
        <f t="shared" si="51"/>
        <v>3562</v>
      </c>
      <c r="P106" s="100">
        <f t="shared" si="52"/>
        <v>0</v>
      </c>
      <c r="Q106" s="110">
        <f t="shared" si="72"/>
        <v>3048</v>
      </c>
      <c r="R106" s="110">
        <f t="shared" si="72"/>
        <v>0</v>
      </c>
      <c r="S106" s="110">
        <f t="shared" si="72"/>
        <v>0</v>
      </c>
    </row>
    <row r="107" spans="1:21" ht="17.25" customHeight="1">
      <c r="A107" s="12"/>
      <c r="B107" s="116" t="s">
        <v>124</v>
      </c>
      <c r="C107" s="135" t="s">
        <v>492</v>
      </c>
      <c r="D107" s="104">
        <v>495</v>
      </c>
      <c r="E107" s="104">
        <f t="shared" ref="E107:S107" si="75">E787+E290+E819</f>
        <v>3965</v>
      </c>
      <c r="F107" s="104">
        <f t="shared" si="75"/>
        <v>3965</v>
      </c>
      <c r="G107" s="104">
        <f t="shared" si="75"/>
        <v>3965</v>
      </c>
      <c r="H107" s="117">
        <v>515</v>
      </c>
      <c r="I107" s="104">
        <f t="shared" si="75"/>
        <v>3562</v>
      </c>
      <c r="J107" s="104">
        <f t="shared" si="75"/>
        <v>3562</v>
      </c>
      <c r="K107" s="196">
        <f t="shared" ref="K107:N107" si="76">K787+K290+K819</f>
        <v>1344</v>
      </c>
      <c r="L107" s="104">
        <f t="shared" si="76"/>
        <v>767</v>
      </c>
      <c r="M107" s="104">
        <f t="shared" si="76"/>
        <v>737</v>
      </c>
      <c r="N107" s="104">
        <f t="shared" si="76"/>
        <v>714</v>
      </c>
      <c r="O107" s="30">
        <f t="shared" si="51"/>
        <v>3562</v>
      </c>
      <c r="P107" s="100">
        <f t="shared" si="52"/>
        <v>0</v>
      </c>
      <c r="Q107" s="104">
        <f t="shared" si="75"/>
        <v>3048</v>
      </c>
      <c r="R107" s="104">
        <f t="shared" si="75"/>
        <v>0</v>
      </c>
      <c r="S107" s="104">
        <f t="shared" si="75"/>
        <v>0</v>
      </c>
    </row>
    <row r="108" spans="1:21" ht="28.5" customHeight="1">
      <c r="A108" s="12"/>
      <c r="B108" s="35" t="s">
        <v>125</v>
      </c>
      <c r="C108" s="135" t="s">
        <v>493</v>
      </c>
      <c r="D108" s="46">
        <v>339</v>
      </c>
      <c r="E108" s="30"/>
      <c r="F108" s="46"/>
      <c r="G108" s="30"/>
      <c r="H108" s="31">
        <v>953</v>
      </c>
      <c r="I108" s="30"/>
      <c r="J108" s="30"/>
      <c r="K108" s="64"/>
      <c r="L108" s="30"/>
      <c r="M108" s="30"/>
      <c r="N108" s="30"/>
      <c r="O108" s="30">
        <f t="shared" si="51"/>
        <v>0</v>
      </c>
      <c r="P108" s="100">
        <f t="shared" si="52"/>
        <v>0</v>
      </c>
      <c r="Q108" s="30"/>
      <c r="R108" s="30"/>
      <c r="S108" s="30"/>
    </row>
    <row r="109" spans="1:21" ht="14.25" customHeight="1">
      <c r="A109" s="12"/>
      <c r="B109" s="116" t="s">
        <v>126</v>
      </c>
      <c r="C109" s="135" t="s">
        <v>494</v>
      </c>
      <c r="D109" s="46"/>
      <c r="E109" s="30"/>
      <c r="F109" s="46"/>
      <c r="G109" s="30"/>
      <c r="H109" s="31"/>
      <c r="I109" s="30"/>
      <c r="J109" s="30"/>
      <c r="K109" s="64"/>
      <c r="L109" s="30"/>
      <c r="M109" s="30"/>
      <c r="N109" s="30"/>
      <c r="O109" s="30">
        <f t="shared" si="51"/>
        <v>0</v>
      </c>
      <c r="P109" s="100">
        <f t="shared" si="52"/>
        <v>0</v>
      </c>
      <c r="Q109" s="30"/>
      <c r="R109" s="30"/>
      <c r="S109" s="30"/>
    </row>
    <row r="110" spans="1:21" ht="30" customHeight="1">
      <c r="A110" s="176"/>
      <c r="B110" s="230" t="s">
        <v>526</v>
      </c>
      <c r="C110" s="231" t="s">
        <v>495</v>
      </c>
      <c r="D110" s="110">
        <f t="shared" ref="D110" si="77">D111+D112+D113</f>
        <v>0</v>
      </c>
      <c r="E110" s="30"/>
      <c r="F110" s="110">
        <f t="shared" ref="F110:S110" si="78">F111+F112+F113</f>
        <v>0</v>
      </c>
      <c r="G110" s="110">
        <f t="shared" si="78"/>
        <v>0</v>
      </c>
      <c r="H110" s="110">
        <f t="shared" si="78"/>
        <v>0</v>
      </c>
      <c r="I110" s="110">
        <f t="shared" si="78"/>
        <v>0</v>
      </c>
      <c r="J110" s="110">
        <f t="shared" si="78"/>
        <v>2765</v>
      </c>
      <c r="K110" s="199">
        <f t="shared" ref="K110:N110" si="79">K111+K112+K113</f>
        <v>0</v>
      </c>
      <c r="L110" s="110">
        <f t="shared" si="79"/>
        <v>1765</v>
      </c>
      <c r="M110" s="110">
        <f t="shared" si="79"/>
        <v>1000</v>
      </c>
      <c r="N110" s="110">
        <f t="shared" si="79"/>
        <v>0</v>
      </c>
      <c r="O110" s="30">
        <f t="shared" si="51"/>
        <v>2765</v>
      </c>
      <c r="P110" s="100">
        <f t="shared" si="52"/>
        <v>0</v>
      </c>
      <c r="Q110" s="110">
        <f t="shared" si="78"/>
        <v>0</v>
      </c>
      <c r="R110" s="110">
        <f t="shared" si="78"/>
        <v>0</v>
      </c>
      <c r="S110" s="110">
        <f t="shared" si="78"/>
        <v>0</v>
      </c>
    </row>
    <row r="111" spans="1:21" ht="14.25" customHeight="1">
      <c r="A111" s="12"/>
      <c r="B111" s="116" t="s">
        <v>129</v>
      </c>
      <c r="C111" s="135" t="s">
        <v>496</v>
      </c>
      <c r="D111" s="104">
        <f>D793+D1160</f>
        <v>0</v>
      </c>
      <c r="E111" s="30"/>
      <c r="F111" s="104">
        <f>F793+F1160</f>
        <v>0</v>
      </c>
      <c r="G111" s="104">
        <f t="shared" ref="G111:S111" si="80">G793</f>
        <v>0</v>
      </c>
      <c r="H111" s="104">
        <f t="shared" si="80"/>
        <v>0</v>
      </c>
      <c r="I111" s="104">
        <f t="shared" si="80"/>
        <v>0</v>
      </c>
      <c r="J111" s="104">
        <f>J793</f>
        <v>0</v>
      </c>
      <c r="K111" s="196">
        <f>K793</f>
        <v>0</v>
      </c>
      <c r="L111" s="104">
        <f>L793</f>
        <v>0</v>
      </c>
      <c r="M111" s="104">
        <f>M793</f>
        <v>0</v>
      </c>
      <c r="N111" s="104">
        <f>N793</f>
        <v>0</v>
      </c>
      <c r="O111" s="30">
        <f t="shared" si="51"/>
        <v>0</v>
      </c>
      <c r="P111" s="100">
        <f t="shared" si="52"/>
        <v>0</v>
      </c>
      <c r="Q111" s="104">
        <f t="shared" si="80"/>
        <v>0</v>
      </c>
      <c r="R111" s="104">
        <f t="shared" si="80"/>
        <v>0</v>
      </c>
      <c r="S111" s="104">
        <f t="shared" si="80"/>
        <v>0</v>
      </c>
    </row>
    <row r="112" spans="1:21" ht="14.25" customHeight="1">
      <c r="A112" s="12"/>
      <c r="B112" s="116" t="s">
        <v>125</v>
      </c>
      <c r="C112" s="135" t="s">
        <v>497</v>
      </c>
      <c r="D112" s="46"/>
      <c r="E112" s="30"/>
      <c r="F112" s="46"/>
      <c r="G112" s="30"/>
      <c r="H112" s="31"/>
      <c r="I112" s="30"/>
      <c r="J112" s="30">
        <f>J1160</f>
        <v>2765</v>
      </c>
      <c r="K112" s="64">
        <f t="shared" ref="K112:N112" si="81">K1160</f>
        <v>0</v>
      </c>
      <c r="L112" s="30">
        <f t="shared" si="81"/>
        <v>1765</v>
      </c>
      <c r="M112" s="30">
        <f t="shared" si="81"/>
        <v>1000</v>
      </c>
      <c r="N112" s="30">
        <f t="shared" si="81"/>
        <v>0</v>
      </c>
      <c r="O112" s="30">
        <f t="shared" si="51"/>
        <v>2765</v>
      </c>
      <c r="P112" s="100">
        <f t="shared" si="52"/>
        <v>0</v>
      </c>
      <c r="Q112" s="30">
        <f>Q1160</f>
        <v>0</v>
      </c>
      <c r="R112" s="30">
        <f t="shared" ref="R112:S112" si="82">R1160</f>
        <v>0</v>
      </c>
      <c r="S112" s="30">
        <f t="shared" si="82"/>
        <v>0</v>
      </c>
    </row>
    <row r="113" spans="1:19" ht="14.25" customHeight="1">
      <c r="A113" s="12"/>
      <c r="B113" s="116" t="s">
        <v>126</v>
      </c>
      <c r="C113" s="135" t="s">
        <v>498</v>
      </c>
      <c r="D113" s="46"/>
      <c r="E113" s="30"/>
      <c r="F113" s="46"/>
      <c r="G113" s="30"/>
      <c r="H113" s="31"/>
      <c r="I113" s="30"/>
      <c r="J113" s="30"/>
      <c r="K113" s="64"/>
      <c r="L113" s="30"/>
      <c r="M113" s="30"/>
      <c r="N113" s="30"/>
      <c r="O113" s="30">
        <f t="shared" si="51"/>
        <v>0</v>
      </c>
      <c r="P113" s="100">
        <f t="shared" si="52"/>
        <v>0</v>
      </c>
      <c r="Q113" s="30"/>
      <c r="R113" s="30"/>
      <c r="S113" s="30"/>
    </row>
    <row r="114" spans="1:19" ht="14.25" customHeight="1">
      <c r="A114" s="12"/>
      <c r="B114" s="129" t="s">
        <v>128</v>
      </c>
      <c r="C114" s="135" t="s">
        <v>498</v>
      </c>
      <c r="D114" s="104">
        <v>0</v>
      </c>
      <c r="E114" s="30"/>
      <c r="F114" s="104">
        <v>0</v>
      </c>
      <c r="G114" s="30"/>
      <c r="H114" s="31"/>
      <c r="I114" s="30"/>
      <c r="J114" s="30"/>
      <c r="K114" s="64"/>
      <c r="L114" s="30"/>
      <c r="M114" s="30"/>
      <c r="N114" s="30"/>
      <c r="O114" s="30">
        <f t="shared" si="51"/>
        <v>0</v>
      </c>
      <c r="P114" s="100">
        <f t="shared" si="52"/>
        <v>0</v>
      </c>
      <c r="Q114" s="30"/>
      <c r="R114" s="30"/>
      <c r="S114" s="30"/>
    </row>
    <row r="115" spans="1:19" ht="14.25" hidden="1" customHeight="1">
      <c r="A115" s="12"/>
      <c r="B115" s="116" t="s">
        <v>129</v>
      </c>
      <c r="C115" s="135"/>
      <c r="D115" s="46"/>
      <c r="E115" s="30"/>
      <c r="F115" s="46"/>
      <c r="G115" s="30"/>
      <c r="H115" s="31"/>
      <c r="I115" s="30"/>
      <c r="J115" s="30"/>
      <c r="K115" s="64"/>
      <c r="L115" s="30"/>
      <c r="M115" s="30"/>
      <c r="N115" s="30"/>
      <c r="O115" s="30">
        <f t="shared" si="51"/>
        <v>0</v>
      </c>
      <c r="P115" s="100">
        <f t="shared" si="52"/>
        <v>0</v>
      </c>
      <c r="Q115" s="30"/>
      <c r="R115" s="30"/>
      <c r="S115" s="30"/>
    </row>
    <row r="116" spans="1:19" ht="14.25" hidden="1" customHeight="1">
      <c r="A116" s="12"/>
      <c r="B116" s="116" t="s">
        <v>125</v>
      </c>
      <c r="C116" s="135"/>
      <c r="D116" s="46"/>
      <c r="E116" s="30"/>
      <c r="F116" s="46"/>
      <c r="G116" s="30"/>
      <c r="H116" s="31"/>
      <c r="I116" s="30"/>
      <c r="J116" s="30"/>
      <c r="K116" s="64"/>
      <c r="L116" s="30"/>
      <c r="M116" s="30"/>
      <c r="N116" s="30"/>
      <c r="O116" s="30">
        <f t="shared" si="51"/>
        <v>0</v>
      </c>
      <c r="P116" s="100">
        <f t="shared" si="52"/>
        <v>0</v>
      </c>
      <c r="Q116" s="30"/>
      <c r="R116" s="30"/>
      <c r="S116" s="30"/>
    </row>
    <row r="117" spans="1:19" ht="14.25" hidden="1" customHeight="1">
      <c r="A117" s="12"/>
      <c r="B117" s="116" t="s">
        <v>126</v>
      </c>
      <c r="C117" s="135"/>
      <c r="D117" s="46"/>
      <c r="E117" s="30"/>
      <c r="F117" s="46"/>
      <c r="G117" s="30"/>
      <c r="H117" s="31"/>
      <c r="I117" s="30"/>
      <c r="J117" s="30"/>
      <c r="K117" s="64"/>
      <c r="L117" s="30"/>
      <c r="M117" s="30"/>
      <c r="N117" s="30"/>
      <c r="O117" s="30">
        <f t="shared" si="51"/>
        <v>0</v>
      </c>
      <c r="P117" s="100">
        <f t="shared" si="52"/>
        <v>0</v>
      </c>
      <c r="Q117" s="30"/>
      <c r="R117" s="30"/>
      <c r="S117" s="30"/>
    </row>
    <row r="118" spans="1:19" ht="14.25" hidden="1" customHeight="1">
      <c r="A118" s="12"/>
      <c r="B118" s="129" t="s">
        <v>130</v>
      </c>
      <c r="C118" s="135" t="s">
        <v>131</v>
      </c>
      <c r="D118" s="110">
        <f t="shared" ref="D118" si="83">D119+D120+D121</f>
        <v>0</v>
      </c>
      <c r="E118" s="30"/>
      <c r="F118" s="110">
        <f t="shared" ref="F118" si="84">F119+F120+F121</f>
        <v>0</v>
      </c>
      <c r="G118" s="30"/>
      <c r="H118" s="31"/>
      <c r="I118" s="30"/>
      <c r="J118" s="30"/>
      <c r="K118" s="64"/>
      <c r="L118" s="30"/>
      <c r="M118" s="30"/>
      <c r="N118" s="30"/>
      <c r="O118" s="30">
        <f t="shared" si="51"/>
        <v>0</v>
      </c>
      <c r="P118" s="100">
        <f t="shared" si="52"/>
        <v>0</v>
      </c>
      <c r="Q118" s="30"/>
      <c r="R118" s="30"/>
      <c r="S118" s="30"/>
    </row>
    <row r="119" spans="1:19" ht="14.25" hidden="1" customHeight="1">
      <c r="A119" s="12"/>
      <c r="B119" s="116" t="s">
        <v>129</v>
      </c>
      <c r="C119" s="135"/>
      <c r="D119" s="46"/>
      <c r="E119" s="30"/>
      <c r="F119" s="46"/>
      <c r="G119" s="30"/>
      <c r="H119" s="31"/>
      <c r="I119" s="30"/>
      <c r="J119" s="30"/>
      <c r="K119" s="64"/>
      <c r="L119" s="30"/>
      <c r="M119" s="30"/>
      <c r="N119" s="30"/>
      <c r="O119" s="30">
        <f t="shared" si="51"/>
        <v>0</v>
      </c>
      <c r="P119" s="100">
        <f t="shared" si="52"/>
        <v>0</v>
      </c>
      <c r="Q119" s="30"/>
      <c r="R119" s="30"/>
      <c r="S119" s="30"/>
    </row>
    <row r="120" spans="1:19" ht="14.25" hidden="1" customHeight="1">
      <c r="A120" s="12"/>
      <c r="B120" s="116" t="s">
        <v>125</v>
      </c>
      <c r="C120" s="135"/>
      <c r="D120" s="46"/>
      <c r="E120" s="30"/>
      <c r="F120" s="46"/>
      <c r="G120" s="30"/>
      <c r="H120" s="31"/>
      <c r="I120" s="30"/>
      <c r="J120" s="30"/>
      <c r="K120" s="64"/>
      <c r="L120" s="30"/>
      <c r="M120" s="30"/>
      <c r="N120" s="30"/>
      <c r="O120" s="30">
        <f t="shared" si="51"/>
        <v>0</v>
      </c>
      <c r="P120" s="100">
        <f t="shared" si="52"/>
        <v>0</v>
      </c>
      <c r="Q120" s="30"/>
      <c r="R120" s="30"/>
      <c r="S120" s="30"/>
    </row>
    <row r="121" spans="1:19" ht="14.25" hidden="1" customHeight="1">
      <c r="A121" s="12"/>
      <c r="B121" s="116" t="s">
        <v>126</v>
      </c>
      <c r="C121" s="135"/>
      <c r="D121" s="46"/>
      <c r="E121" s="30"/>
      <c r="F121" s="46"/>
      <c r="G121" s="30"/>
      <c r="H121" s="31"/>
      <c r="I121" s="30"/>
      <c r="J121" s="30"/>
      <c r="K121" s="64"/>
      <c r="L121" s="30"/>
      <c r="M121" s="30"/>
      <c r="N121" s="30"/>
      <c r="O121" s="30">
        <f t="shared" si="51"/>
        <v>0</v>
      </c>
      <c r="P121" s="100">
        <f t="shared" si="52"/>
        <v>0</v>
      </c>
      <c r="Q121" s="30"/>
      <c r="R121" s="30"/>
      <c r="S121" s="30"/>
    </row>
    <row r="122" spans="1:19" ht="14.25" customHeight="1">
      <c r="A122" s="177"/>
      <c r="B122" s="232" t="s">
        <v>132</v>
      </c>
      <c r="C122" s="233"/>
      <c r="D122" s="130">
        <f t="shared" ref="D122:S122" si="85">D123+D125+D129+D144+D173</f>
        <v>282086.53999999998</v>
      </c>
      <c r="E122" s="130">
        <f t="shared" si="85"/>
        <v>286340.40999999997</v>
      </c>
      <c r="F122" s="130">
        <f t="shared" si="85"/>
        <v>273600</v>
      </c>
      <c r="G122" s="130">
        <f t="shared" si="85"/>
        <v>294375.31</v>
      </c>
      <c r="H122" s="131">
        <f t="shared" ref="H122" si="86">H123+H125+H129+H144+H173</f>
        <v>222085</v>
      </c>
      <c r="I122" s="130">
        <f t="shared" si="85"/>
        <v>25576</v>
      </c>
      <c r="J122" s="130">
        <f t="shared" si="85"/>
        <v>311416</v>
      </c>
      <c r="K122" s="204">
        <f t="shared" ref="K122:N122" si="87">K123+K125+K129+K144+K173</f>
        <v>79833</v>
      </c>
      <c r="L122" s="130">
        <f t="shared" si="87"/>
        <v>77916</v>
      </c>
      <c r="M122" s="130">
        <f t="shared" si="87"/>
        <v>78228</v>
      </c>
      <c r="N122" s="130">
        <f t="shared" si="87"/>
        <v>75439</v>
      </c>
      <c r="O122" s="30">
        <f t="shared" si="51"/>
        <v>311416</v>
      </c>
      <c r="P122" s="100">
        <f t="shared" si="52"/>
        <v>0</v>
      </c>
      <c r="Q122" s="130">
        <f t="shared" si="85"/>
        <v>312985</v>
      </c>
      <c r="R122" s="130">
        <f t="shared" si="85"/>
        <v>298677</v>
      </c>
      <c r="S122" s="130">
        <f t="shared" si="85"/>
        <v>303375</v>
      </c>
    </row>
    <row r="123" spans="1:19" ht="15.75" customHeight="1">
      <c r="A123" s="96" t="s">
        <v>6</v>
      </c>
      <c r="B123" s="129" t="s">
        <v>7</v>
      </c>
      <c r="C123" s="37">
        <v>1.02</v>
      </c>
      <c r="D123" s="100">
        <f t="shared" ref="D123:S123" si="88">D124</f>
        <v>332</v>
      </c>
      <c r="E123" s="100">
        <f t="shared" si="88"/>
        <v>400</v>
      </c>
      <c r="F123" s="100">
        <f t="shared" si="88"/>
        <v>400</v>
      </c>
      <c r="G123" s="100">
        <f t="shared" si="88"/>
        <v>400</v>
      </c>
      <c r="H123" s="115">
        <f t="shared" si="88"/>
        <v>444</v>
      </c>
      <c r="I123" s="100">
        <f t="shared" si="88"/>
        <v>420</v>
      </c>
      <c r="J123" s="100">
        <f t="shared" si="88"/>
        <v>300</v>
      </c>
      <c r="K123" s="194">
        <f t="shared" si="88"/>
        <v>0</v>
      </c>
      <c r="L123" s="100">
        <f t="shared" si="88"/>
        <v>300</v>
      </c>
      <c r="M123" s="100">
        <f t="shared" si="88"/>
        <v>0</v>
      </c>
      <c r="N123" s="100">
        <f t="shared" si="88"/>
        <v>0</v>
      </c>
      <c r="O123" s="30">
        <f t="shared" si="51"/>
        <v>300</v>
      </c>
      <c r="P123" s="100">
        <f t="shared" si="52"/>
        <v>0</v>
      </c>
      <c r="Q123" s="100">
        <f t="shared" si="88"/>
        <v>300</v>
      </c>
      <c r="R123" s="100">
        <f t="shared" si="88"/>
        <v>300</v>
      </c>
      <c r="S123" s="100">
        <f t="shared" si="88"/>
        <v>300</v>
      </c>
    </row>
    <row r="124" spans="1:19" ht="16.5" customHeight="1">
      <c r="A124" s="96"/>
      <c r="B124" s="116" t="s">
        <v>8</v>
      </c>
      <c r="C124" s="135" t="s">
        <v>9</v>
      </c>
      <c r="D124" s="104">
        <f t="shared" ref="D124:S124" si="89">D13</f>
        <v>332</v>
      </c>
      <c r="E124" s="104">
        <f t="shared" si="89"/>
        <v>400</v>
      </c>
      <c r="F124" s="104">
        <f t="shared" si="89"/>
        <v>400</v>
      </c>
      <c r="G124" s="104">
        <f t="shared" si="89"/>
        <v>400</v>
      </c>
      <c r="H124" s="117">
        <f t="shared" ref="H124" si="90">H13</f>
        <v>444</v>
      </c>
      <c r="I124" s="104">
        <f t="shared" si="89"/>
        <v>420</v>
      </c>
      <c r="J124" s="104">
        <f t="shared" si="89"/>
        <v>300</v>
      </c>
      <c r="K124" s="196">
        <f t="shared" ref="K124:N124" si="91">K13</f>
        <v>0</v>
      </c>
      <c r="L124" s="104">
        <f t="shared" si="91"/>
        <v>300</v>
      </c>
      <c r="M124" s="104">
        <f t="shared" si="91"/>
        <v>0</v>
      </c>
      <c r="N124" s="104">
        <f t="shared" si="91"/>
        <v>0</v>
      </c>
      <c r="O124" s="30">
        <f t="shared" si="51"/>
        <v>300</v>
      </c>
      <c r="P124" s="100">
        <f t="shared" si="52"/>
        <v>0</v>
      </c>
      <c r="Q124" s="104">
        <f t="shared" si="89"/>
        <v>300</v>
      </c>
      <c r="R124" s="104">
        <f t="shared" si="89"/>
        <v>300</v>
      </c>
      <c r="S124" s="104">
        <f t="shared" si="89"/>
        <v>300</v>
      </c>
    </row>
    <row r="125" spans="1:19" ht="16.5" customHeight="1">
      <c r="A125" s="96" t="s">
        <v>10</v>
      </c>
      <c r="B125" s="129" t="s">
        <v>11</v>
      </c>
      <c r="C125" s="37">
        <v>4.0199999999999996</v>
      </c>
      <c r="D125" s="101">
        <f t="shared" ref="D125:S125" si="92">D126+D127</f>
        <v>112228.7</v>
      </c>
      <c r="E125" s="101">
        <f t="shared" si="92"/>
        <v>130030</v>
      </c>
      <c r="F125" s="101">
        <f t="shared" si="92"/>
        <v>126006</v>
      </c>
      <c r="G125" s="101">
        <f>G126+G127+G128</f>
        <v>138064.9</v>
      </c>
      <c r="H125" s="109">
        <f>H126+H127+H128</f>
        <v>129647</v>
      </c>
      <c r="I125" s="101">
        <f t="shared" si="92"/>
        <v>0</v>
      </c>
      <c r="J125" s="101">
        <f t="shared" si="92"/>
        <v>149101</v>
      </c>
      <c r="K125" s="195">
        <f t="shared" ref="K125:N125" si="93">K126+K127</f>
        <v>37500</v>
      </c>
      <c r="L125" s="101">
        <f t="shared" si="93"/>
        <v>37600</v>
      </c>
      <c r="M125" s="101">
        <f t="shared" si="93"/>
        <v>37600</v>
      </c>
      <c r="N125" s="101">
        <f t="shared" si="93"/>
        <v>36401</v>
      </c>
      <c r="O125" s="30">
        <f t="shared" si="51"/>
        <v>149101</v>
      </c>
      <c r="P125" s="100">
        <f t="shared" si="52"/>
        <v>0</v>
      </c>
      <c r="Q125" s="101">
        <f t="shared" si="92"/>
        <v>171837</v>
      </c>
      <c r="R125" s="101">
        <f t="shared" si="92"/>
        <v>178410</v>
      </c>
      <c r="S125" s="101">
        <f t="shared" si="92"/>
        <v>185922</v>
      </c>
    </row>
    <row r="126" spans="1:19" ht="18" customHeight="1">
      <c r="A126" s="96"/>
      <c r="B126" s="116" t="s">
        <v>133</v>
      </c>
      <c r="C126" s="135" t="s">
        <v>12</v>
      </c>
      <c r="D126" s="104">
        <f t="shared" ref="D126:S127" si="94">D16</f>
        <v>98321</v>
      </c>
      <c r="E126" s="104">
        <f t="shared" si="94"/>
        <v>114061</v>
      </c>
      <c r="F126" s="104">
        <f t="shared" si="94"/>
        <v>110532</v>
      </c>
      <c r="G126" s="104">
        <f t="shared" si="94"/>
        <v>114061</v>
      </c>
      <c r="H126" s="117">
        <f t="shared" ref="H126" si="95">H16</f>
        <v>113725</v>
      </c>
      <c r="I126" s="104">
        <f t="shared" si="94"/>
        <v>0</v>
      </c>
      <c r="J126" s="104">
        <f t="shared" si="94"/>
        <v>130791</v>
      </c>
      <c r="K126" s="196">
        <f t="shared" ref="K126:N126" si="96">K16</f>
        <v>32800</v>
      </c>
      <c r="L126" s="104">
        <f t="shared" si="96"/>
        <v>32900</v>
      </c>
      <c r="M126" s="104">
        <f t="shared" si="96"/>
        <v>32900</v>
      </c>
      <c r="N126" s="104">
        <f t="shared" si="96"/>
        <v>32191</v>
      </c>
      <c r="O126" s="30">
        <f t="shared" si="51"/>
        <v>130791</v>
      </c>
      <c r="P126" s="100">
        <f t="shared" si="52"/>
        <v>0</v>
      </c>
      <c r="Q126" s="104">
        <f t="shared" si="94"/>
        <v>137250</v>
      </c>
      <c r="R126" s="104">
        <f t="shared" si="94"/>
        <v>142500</v>
      </c>
      <c r="S126" s="104">
        <f t="shared" si="94"/>
        <v>148500</v>
      </c>
    </row>
    <row r="127" spans="1:19" ht="15" customHeight="1">
      <c r="A127" s="96"/>
      <c r="B127" s="116" t="s">
        <v>134</v>
      </c>
      <c r="C127" s="135" t="s">
        <v>13</v>
      </c>
      <c r="D127" s="104">
        <f t="shared" si="94"/>
        <v>13907.7</v>
      </c>
      <c r="E127" s="104">
        <f t="shared" si="94"/>
        <v>15969</v>
      </c>
      <c r="F127" s="104">
        <f t="shared" si="94"/>
        <v>15474</v>
      </c>
      <c r="G127" s="104">
        <f t="shared" si="94"/>
        <v>15969</v>
      </c>
      <c r="H127" s="117">
        <f t="shared" ref="H127" si="97">H17</f>
        <v>15922</v>
      </c>
      <c r="I127" s="104">
        <f t="shared" si="94"/>
        <v>0</v>
      </c>
      <c r="J127" s="104">
        <f t="shared" si="94"/>
        <v>18310</v>
      </c>
      <c r="K127" s="196">
        <f t="shared" ref="K127:N127" si="98">K17</f>
        <v>4700</v>
      </c>
      <c r="L127" s="104">
        <f t="shared" si="98"/>
        <v>4700</v>
      </c>
      <c r="M127" s="104">
        <f t="shared" si="98"/>
        <v>4700</v>
      </c>
      <c r="N127" s="104">
        <f t="shared" si="98"/>
        <v>4210</v>
      </c>
      <c r="O127" s="30">
        <f t="shared" si="51"/>
        <v>18310</v>
      </c>
      <c r="P127" s="100">
        <f t="shared" si="52"/>
        <v>0</v>
      </c>
      <c r="Q127" s="104">
        <f t="shared" si="94"/>
        <v>34587</v>
      </c>
      <c r="R127" s="104">
        <f t="shared" si="94"/>
        <v>35910</v>
      </c>
      <c r="S127" s="104">
        <f t="shared" si="94"/>
        <v>37422</v>
      </c>
    </row>
    <row r="128" spans="1:19" ht="33" hidden="1" customHeight="1">
      <c r="A128" s="96"/>
      <c r="B128" s="120" t="s">
        <v>632</v>
      </c>
      <c r="C128" s="135" t="s">
        <v>633</v>
      </c>
      <c r="D128" s="104"/>
      <c r="E128" s="104"/>
      <c r="F128" s="104"/>
      <c r="G128" s="104">
        <v>8034.9</v>
      </c>
      <c r="H128" s="117"/>
      <c r="I128" s="104"/>
      <c r="J128" s="104"/>
      <c r="K128" s="196"/>
      <c r="L128" s="104"/>
      <c r="M128" s="104"/>
      <c r="N128" s="104"/>
      <c r="O128" s="30">
        <f t="shared" si="51"/>
        <v>0</v>
      </c>
      <c r="P128" s="100">
        <f t="shared" si="52"/>
        <v>0</v>
      </c>
      <c r="Q128" s="104"/>
      <c r="R128" s="104"/>
      <c r="S128" s="104"/>
    </row>
    <row r="129" spans="1:19" ht="18" customHeight="1">
      <c r="A129" s="96" t="s">
        <v>14</v>
      </c>
      <c r="B129" s="129" t="s">
        <v>15</v>
      </c>
      <c r="C129" s="135" t="s">
        <v>16</v>
      </c>
      <c r="D129" s="101">
        <f t="shared" ref="D129:S129" si="99">D130+D142+D143</f>
        <v>152695.53999999998</v>
      </c>
      <c r="E129" s="101">
        <f t="shared" si="99"/>
        <v>158938</v>
      </c>
      <c r="F129" s="101">
        <f t="shared" si="99"/>
        <v>134460</v>
      </c>
      <c r="G129" s="101">
        <f t="shared" si="99"/>
        <v>158938</v>
      </c>
      <c r="H129" s="109">
        <f t="shared" ref="H129" si="100">H130+H142+H143</f>
        <v>76774</v>
      </c>
      <c r="I129" s="101">
        <f t="shared" si="99"/>
        <v>15925</v>
      </c>
      <c r="J129" s="101">
        <f t="shared" si="99"/>
        <v>188241</v>
      </c>
      <c r="K129" s="195">
        <f t="shared" ref="K129:N129" si="101">K130+K142+K143</f>
        <v>45350</v>
      </c>
      <c r="L129" s="101">
        <f t="shared" si="101"/>
        <v>45783</v>
      </c>
      <c r="M129" s="101">
        <f t="shared" si="101"/>
        <v>49836</v>
      </c>
      <c r="N129" s="101">
        <f t="shared" si="101"/>
        <v>47272</v>
      </c>
      <c r="O129" s="30">
        <f t="shared" si="51"/>
        <v>188241</v>
      </c>
      <c r="P129" s="100">
        <f t="shared" si="52"/>
        <v>0</v>
      </c>
      <c r="Q129" s="101">
        <f t="shared" si="99"/>
        <v>150413</v>
      </c>
      <c r="R129" s="101">
        <f t="shared" si="99"/>
        <v>118187</v>
      </c>
      <c r="S129" s="101">
        <f t="shared" si="99"/>
        <v>118239</v>
      </c>
    </row>
    <row r="130" spans="1:19" ht="18" customHeight="1">
      <c r="A130" s="12">
        <v>1</v>
      </c>
      <c r="B130" s="129" t="s">
        <v>135</v>
      </c>
      <c r="C130" s="135" t="s">
        <v>17</v>
      </c>
      <c r="D130" s="100">
        <f t="shared" ref="D130:S130" si="102">D131+D132+D134+D135+D136+D137+D140+D141+D133</f>
        <v>74453.539999999994</v>
      </c>
      <c r="E130" s="100">
        <f t="shared" si="102"/>
        <v>82164</v>
      </c>
      <c r="F130" s="100">
        <f t="shared" si="102"/>
        <v>84359</v>
      </c>
      <c r="G130" s="100">
        <f t="shared" si="102"/>
        <v>82164</v>
      </c>
      <c r="H130" s="115">
        <f t="shared" ref="H130" si="103">H131+H132+H134+H135+H136+H137+H140+H141+H133</f>
        <v>0</v>
      </c>
      <c r="I130" s="100">
        <f t="shared" si="102"/>
        <v>15925</v>
      </c>
      <c r="J130" s="100">
        <f t="shared" si="102"/>
        <v>95718</v>
      </c>
      <c r="K130" s="194">
        <f t="shared" ref="K130:N130" si="104">K131+K132+K134+K135+K136+K137+K140+K141+K133</f>
        <v>20350</v>
      </c>
      <c r="L130" s="100">
        <f t="shared" si="104"/>
        <v>22950</v>
      </c>
      <c r="M130" s="100">
        <f t="shared" si="104"/>
        <v>28000</v>
      </c>
      <c r="N130" s="100">
        <f t="shared" si="104"/>
        <v>24418</v>
      </c>
      <c r="O130" s="30">
        <f t="shared" si="51"/>
        <v>95718</v>
      </c>
      <c r="P130" s="100">
        <f t="shared" si="52"/>
        <v>0</v>
      </c>
      <c r="Q130" s="100">
        <f t="shared" si="102"/>
        <v>101005</v>
      </c>
      <c r="R130" s="100">
        <f t="shared" si="102"/>
        <v>85721</v>
      </c>
      <c r="S130" s="100">
        <f t="shared" si="102"/>
        <v>85773</v>
      </c>
    </row>
    <row r="131" spans="1:19" ht="16.5" customHeight="1">
      <c r="A131" s="12"/>
      <c r="B131" s="116" t="s">
        <v>18</v>
      </c>
      <c r="C131" s="135" t="s">
        <v>17</v>
      </c>
      <c r="D131" s="104">
        <f t="shared" ref="D131:S134" si="105">D21</f>
        <v>0</v>
      </c>
      <c r="E131" s="104">
        <f t="shared" si="105"/>
        <v>32094</v>
      </c>
      <c r="F131" s="104">
        <f t="shared" si="105"/>
        <v>32094</v>
      </c>
      <c r="G131" s="104">
        <f t="shared" si="105"/>
        <v>32094</v>
      </c>
      <c r="H131" s="117">
        <f t="shared" ref="H131" si="106">H21</f>
        <v>0</v>
      </c>
      <c r="I131" s="104">
        <f t="shared" si="105"/>
        <v>0</v>
      </c>
      <c r="J131" s="104">
        <f t="shared" si="105"/>
        <v>28040</v>
      </c>
      <c r="K131" s="196">
        <f t="shared" ref="K131:N131" si="107">K21</f>
        <v>3930</v>
      </c>
      <c r="L131" s="104">
        <f t="shared" si="107"/>
        <v>7827</v>
      </c>
      <c r="M131" s="104">
        <f t="shared" si="107"/>
        <v>8972</v>
      </c>
      <c r="N131" s="104">
        <f t="shared" si="107"/>
        <v>7311</v>
      </c>
      <c r="O131" s="30">
        <f t="shared" si="51"/>
        <v>28040</v>
      </c>
      <c r="P131" s="100">
        <f t="shared" si="52"/>
        <v>0</v>
      </c>
      <c r="Q131" s="104">
        <f t="shared" si="105"/>
        <v>28040</v>
      </c>
      <c r="R131" s="104">
        <f t="shared" si="105"/>
        <v>28040</v>
      </c>
      <c r="S131" s="104">
        <f t="shared" si="105"/>
        <v>28040</v>
      </c>
    </row>
    <row r="132" spans="1:19" ht="12.75" customHeight="1">
      <c r="A132" s="12"/>
      <c r="B132" s="116" t="s">
        <v>451</v>
      </c>
      <c r="C132" s="135" t="s">
        <v>17</v>
      </c>
      <c r="D132" s="104">
        <f t="shared" si="105"/>
        <v>0</v>
      </c>
      <c r="E132" s="104">
        <f t="shared" si="105"/>
        <v>22836</v>
      </c>
      <c r="F132" s="104">
        <f t="shared" si="105"/>
        <v>22836</v>
      </c>
      <c r="G132" s="104">
        <f t="shared" si="105"/>
        <v>22836</v>
      </c>
      <c r="H132" s="117">
        <f t="shared" ref="H132" si="108">H22</f>
        <v>0</v>
      </c>
      <c r="I132" s="104">
        <f t="shared" si="105"/>
        <v>0</v>
      </c>
      <c r="J132" s="104">
        <f t="shared" si="105"/>
        <v>40070</v>
      </c>
      <c r="K132" s="196">
        <f t="shared" ref="K132:N132" si="109">K22</f>
        <v>8900</v>
      </c>
      <c r="L132" s="104">
        <f t="shared" si="109"/>
        <v>9000</v>
      </c>
      <c r="M132" s="104">
        <f t="shared" si="109"/>
        <v>11170</v>
      </c>
      <c r="N132" s="104">
        <f t="shared" si="109"/>
        <v>11000</v>
      </c>
      <c r="O132" s="30">
        <f t="shared" si="51"/>
        <v>40070</v>
      </c>
      <c r="P132" s="100">
        <f t="shared" si="52"/>
        <v>0</v>
      </c>
      <c r="Q132" s="104">
        <f t="shared" si="105"/>
        <v>40070</v>
      </c>
      <c r="R132" s="104">
        <f t="shared" si="105"/>
        <v>40070</v>
      </c>
      <c r="S132" s="104">
        <f t="shared" si="105"/>
        <v>40070</v>
      </c>
    </row>
    <row r="133" spans="1:19" ht="12.75" customHeight="1">
      <c r="A133" s="12"/>
      <c r="B133" s="116" t="s">
        <v>19</v>
      </c>
      <c r="C133" s="135" t="s">
        <v>17</v>
      </c>
      <c r="D133" s="104">
        <f t="shared" si="105"/>
        <v>0</v>
      </c>
      <c r="E133" s="104">
        <f t="shared" si="105"/>
        <v>361</v>
      </c>
      <c r="F133" s="104">
        <f t="shared" si="105"/>
        <v>120</v>
      </c>
      <c r="G133" s="104">
        <f t="shared" si="105"/>
        <v>361</v>
      </c>
      <c r="H133" s="117">
        <f t="shared" ref="H133" si="110">H23</f>
        <v>0</v>
      </c>
      <c r="I133" s="104">
        <f t="shared" si="105"/>
        <v>0</v>
      </c>
      <c r="J133" s="104">
        <f t="shared" si="105"/>
        <v>361</v>
      </c>
      <c r="K133" s="196">
        <f t="shared" ref="K133:N133" si="111">K23</f>
        <v>90</v>
      </c>
      <c r="L133" s="104">
        <f t="shared" si="111"/>
        <v>90</v>
      </c>
      <c r="M133" s="104">
        <f t="shared" si="111"/>
        <v>90</v>
      </c>
      <c r="N133" s="104">
        <f t="shared" si="111"/>
        <v>91</v>
      </c>
      <c r="O133" s="30">
        <f t="shared" si="51"/>
        <v>361</v>
      </c>
      <c r="P133" s="100">
        <f t="shared" si="52"/>
        <v>0</v>
      </c>
      <c r="Q133" s="104">
        <f t="shared" si="105"/>
        <v>361</v>
      </c>
      <c r="R133" s="104">
        <f t="shared" si="105"/>
        <v>361</v>
      </c>
      <c r="S133" s="104">
        <f t="shared" si="105"/>
        <v>361</v>
      </c>
    </row>
    <row r="134" spans="1:19" ht="15" customHeight="1">
      <c r="A134" s="12"/>
      <c r="B134" s="116" t="s">
        <v>452</v>
      </c>
      <c r="C134" s="135" t="s">
        <v>17</v>
      </c>
      <c r="D134" s="104">
        <f t="shared" si="105"/>
        <v>5230.54</v>
      </c>
      <c r="E134" s="104">
        <f t="shared" si="105"/>
        <v>9466</v>
      </c>
      <c r="F134" s="104">
        <f t="shared" si="105"/>
        <v>11902</v>
      </c>
      <c r="G134" s="104">
        <f t="shared" si="105"/>
        <v>9466</v>
      </c>
      <c r="H134" s="117">
        <f t="shared" ref="H134" si="112">H24</f>
        <v>0</v>
      </c>
      <c r="I134" s="104">
        <f t="shared" si="105"/>
        <v>13500</v>
      </c>
      <c r="J134" s="104">
        <f t="shared" si="105"/>
        <v>10123</v>
      </c>
      <c r="K134" s="196">
        <f t="shared" ref="K134:N134" si="113">K24</f>
        <v>3150</v>
      </c>
      <c r="L134" s="104">
        <f t="shared" si="113"/>
        <v>1750</v>
      </c>
      <c r="M134" s="104">
        <f t="shared" si="113"/>
        <v>3487</v>
      </c>
      <c r="N134" s="104">
        <f t="shared" si="113"/>
        <v>1736</v>
      </c>
      <c r="O134" s="30">
        <f t="shared" si="51"/>
        <v>10123</v>
      </c>
      <c r="P134" s="100">
        <f t="shared" si="52"/>
        <v>0</v>
      </c>
      <c r="Q134" s="104">
        <f t="shared" si="105"/>
        <v>15341</v>
      </c>
      <c r="R134" s="104">
        <f t="shared" si="105"/>
        <v>0</v>
      </c>
      <c r="S134" s="104">
        <f t="shared" si="105"/>
        <v>0</v>
      </c>
    </row>
    <row r="135" spans="1:19" ht="15.75" hidden="1" customHeight="1">
      <c r="A135" s="12"/>
      <c r="B135" s="116" t="s">
        <v>20</v>
      </c>
      <c r="C135" s="135"/>
      <c r="D135" s="46"/>
      <c r="E135" s="30"/>
      <c r="F135" s="46"/>
      <c r="G135" s="30"/>
      <c r="H135" s="31"/>
      <c r="I135" s="30"/>
      <c r="J135" s="30"/>
      <c r="K135" s="64"/>
      <c r="L135" s="30"/>
      <c r="M135" s="30"/>
      <c r="N135" s="30"/>
      <c r="O135" s="30">
        <f t="shared" si="51"/>
        <v>0</v>
      </c>
      <c r="P135" s="100">
        <f t="shared" si="52"/>
        <v>0</v>
      </c>
      <c r="Q135" s="30"/>
      <c r="R135" s="30"/>
      <c r="S135" s="30"/>
    </row>
    <row r="136" spans="1:19" ht="14.25">
      <c r="A136" s="12"/>
      <c r="B136" s="116" t="s">
        <v>136</v>
      </c>
      <c r="C136" s="135" t="s">
        <v>17</v>
      </c>
      <c r="D136" s="104">
        <f t="shared" ref="D136:S136" si="114">D26</f>
        <v>69223</v>
      </c>
      <c r="E136" s="104">
        <f t="shared" si="114"/>
        <v>3447</v>
      </c>
      <c r="F136" s="104">
        <f t="shared" si="114"/>
        <v>3447</v>
      </c>
      <c r="G136" s="104">
        <f t="shared" si="114"/>
        <v>3447</v>
      </c>
      <c r="H136" s="117">
        <f t="shared" ref="H136" si="115">H26</f>
        <v>0</v>
      </c>
      <c r="I136" s="104">
        <f t="shared" si="114"/>
        <v>2425</v>
      </c>
      <c r="J136" s="104">
        <f t="shared" si="114"/>
        <v>3649</v>
      </c>
      <c r="K136" s="196">
        <f t="shared" ref="K136:N136" si="116">K26</f>
        <v>910</v>
      </c>
      <c r="L136" s="104">
        <f t="shared" si="116"/>
        <v>913</v>
      </c>
      <c r="M136" s="104">
        <f t="shared" si="116"/>
        <v>913</v>
      </c>
      <c r="N136" s="104">
        <f t="shared" si="116"/>
        <v>913</v>
      </c>
      <c r="O136" s="30">
        <f t="shared" si="51"/>
        <v>3649</v>
      </c>
      <c r="P136" s="100">
        <f t="shared" si="52"/>
        <v>0</v>
      </c>
      <c r="Q136" s="104">
        <f t="shared" si="114"/>
        <v>3718</v>
      </c>
      <c r="R136" s="104">
        <f t="shared" si="114"/>
        <v>3775</v>
      </c>
      <c r="S136" s="104">
        <f t="shared" si="114"/>
        <v>3827</v>
      </c>
    </row>
    <row r="137" spans="1:19" ht="16.5" customHeight="1">
      <c r="A137" s="12"/>
      <c r="B137" s="116" t="s">
        <v>137</v>
      </c>
      <c r="C137" s="135" t="s">
        <v>17</v>
      </c>
      <c r="D137" s="104">
        <f t="shared" ref="D137:S138" si="117">D32</f>
        <v>0</v>
      </c>
      <c r="E137" s="104">
        <f t="shared" si="117"/>
        <v>13677</v>
      </c>
      <c r="F137" s="104">
        <f t="shared" si="117"/>
        <v>13677</v>
      </c>
      <c r="G137" s="104">
        <f t="shared" si="117"/>
        <v>13677</v>
      </c>
      <c r="H137" s="117">
        <f t="shared" ref="H137" si="118">H32</f>
        <v>0</v>
      </c>
      <c r="I137" s="104">
        <f t="shared" si="117"/>
        <v>0</v>
      </c>
      <c r="J137" s="104">
        <f t="shared" si="117"/>
        <v>13475</v>
      </c>
      <c r="K137" s="196">
        <f t="shared" ref="K137:N137" si="119">K32</f>
        <v>3370</v>
      </c>
      <c r="L137" s="104">
        <f t="shared" si="119"/>
        <v>3370</v>
      </c>
      <c r="M137" s="104">
        <f t="shared" si="119"/>
        <v>3368</v>
      </c>
      <c r="N137" s="104">
        <f t="shared" si="119"/>
        <v>3367</v>
      </c>
      <c r="O137" s="30">
        <f t="shared" si="51"/>
        <v>13475</v>
      </c>
      <c r="P137" s="100">
        <f t="shared" si="52"/>
        <v>0</v>
      </c>
      <c r="Q137" s="104">
        <f t="shared" si="117"/>
        <v>13475</v>
      </c>
      <c r="R137" s="104">
        <f t="shared" si="117"/>
        <v>13475</v>
      </c>
      <c r="S137" s="104">
        <f t="shared" si="117"/>
        <v>13475</v>
      </c>
    </row>
    <row r="138" spans="1:19" ht="14.25" customHeight="1">
      <c r="A138" s="12"/>
      <c r="B138" s="116" t="s">
        <v>138</v>
      </c>
      <c r="C138" s="135" t="s">
        <v>17</v>
      </c>
      <c r="D138" s="104">
        <f t="shared" si="117"/>
        <v>0</v>
      </c>
      <c r="E138" s="104">
        <f t="shared" si="117"/>
        <v>13677</v>
      </c>
      <c r="F138" s="104">
        <f t="shared" si="117"/>
        <v>13677</v>
      </c>
      <c r="G138" s="104">
        <f t="shared" si="117"/>
        <v>13677</v>
      </c>
      <c r="H138" s="117">
        <f t="shared" ref="H138" si="120">H33</f>
        <v>0</v>
      </c>
      <c r="I138" s="104">
        <f t="shared" si="117"/>
        <v>0</v>
      </c>
      <c r="J138" s="104">
        <f t="shared" si="117"/>
        <v>13475</v>
      </c>
      <c r="K138" s="196">
        <f t="shared" ref="K138:N138" si="121">K33</f>
        <v>3370</v>
      </c>
      <c r="L138" s="104">
        <f t="shared" si="121"/>
        <v>3370</v>
      </c>
      <c r="M138" s="104">
        <f t="shared" si="121"/>
        <v>3368</v>
      </c>
      <c r="N138" s="104">
        <f t="shared" si="121"/>
        <v>3367</v>
      </c>
      <c r="O138" s="30">
        <f t="shared" si="51"/>
        <v>13475</v>
      </c>
      <c r="P138" s="100">
        <f t="shared" si="52"/>
        <v>0</v>
      </c>
      <c r="Q138" s="104">
        <f t="shared" si="117"/>
        <v>13475</v>
      </c>
      <c r="R138" s="104">
        <f t="shared" si="117"/>
        <v>13475</v>
      </c>
      <c r="S138" s="104">
        <f t="shared" si="117"/>
        <v>13475</v>
      </c>
    </row>
    <row r="139" spans="1:19" ht="0.75" customHeight="1">
      <c r="A139" s="12"/>
      <c r="B139" s="116" t="s">
        <v>139</v>
      </c>
      <c r="C139" s="135" t="s">
        <v>17</v>
      </c>
      <c r="D139" s="46"/>
      <c r="E139" s="30"/>
      <c r="F139" s="46"/>
      <c r="G139" s="30"/>
      <c r="H139" s="31"/>
      <c r="I139" s="30"/>
      <c r="J139" s="30"/>
      <c r="K139" s="64"/>
      <c r="L139" s="30"/>
      <c r="M139" s="30"/>
      <c r="N139" s="30"/>
      <c r="O139" s="30">
        <f t="shared" si="51"/>
        <v>0</v>
      </c>
      <c r="P139" s="100">
        <f t="shared" si="52"/>
        <v>0</v>
      </c>
      <c r="Q139" s="30"/>
      <c r="R139" s="30"/>
      <c r="S139" s="30"/>
    </row>
    <row r="140" spans="1:19" ht="18.75" hidden="1" customHeight="1">
      <c r="A140" s="12"/>
      <c r="B140" s="116" t="s">
        <v>23</v>
      </c>
      <c r="C140" s="135" t="s">
        <v>17</v>
      </c>
      <c r="D140" s="104">
        <f t="shared" ref="D140:S140" si="122">D35</f>
        <v>0</v>
      </c>
      <c r="E140" s="104">
        <f t="shared" si="122"/>
        <v>283</v>
      </c>
      <c r="F140" s="104">
        <f t="shared" si="122"/>
        <v>283</v>
      </c>
      <c r="G140" s="104">
        <f t="shared" si="122"/>
        <v>283</v>
      </c>
      <c r="H140" s="117">
        <f t="shared" ref="H140" si="123">H35</f>
        <v>0</v>
      </c>
      <c r="I140" s="104">
        <f t="shared" si="122"/>
        <v>0</v>
      </c>
      <c r="J140" s="104">
        <f t="shared" si="122"/>
        <v>0</v>
      </c>
      <c r="K140" s="196">
        <f t="shared" ref="K140:N140" si="124">K35</f>
        <v>0</v>
      </c>
      <c r="L140" s="104">
        <f t="shared" si="124"/>
        <v>0</v>
      </c>
      <c r="M140" s="104">
        <f t="shared" si="124"/>
        <v>0</v>
      </c>
      <c r="N140" s="104">
        <f t="shared" si="124"/>
        <v>0</v>
      </c>
      <c r="O140" s="30">
        <f t="shared" ref="O140:O203" si="125">K140+L140+M140+N140</f>
        <v>0</v>
      </c>
      <c r="P140" s="100">
        <f t="shared" si="52"/>
        <v>0</v>
      </c>
      <c r="Q140" s="104">
        <f t="shared" si="122"/>
        <v>0</v>
      </c>
      <c r="R140" s="104">
        <f t="shared" si="122"/>
        <v>0</v>
      </c>
      <c r="S140" s="104">
        <f t="shared" si="122"/>
        <v>0</v>
      </c>
    </row>
    <row r="141" spans="1:19" ht="0.75" customHeight="1">
      <c r="A141" s="12"/>
      <c r="B141" s="35" t="s">
        <v>24</v>
      </c>
      <c r="C141" s="135"/>
      <c r="D141" s="46"/>
      <c r="E141" s="30"/>
      <c r="F141" s="46"/>
      <c r="G141" s="30"/>
      <c r="H141" s="31"/>
      <c r="I141" s="30"/>
      <c r="J141" s="30"/>
      <c r="K141" s="64"/>
      <c r="L141" s="30"/>
      <c r="M141" s="30"/>
      <c r="N141" s="30"/>
      <c r="O141" s="30">
        <f t="shared" si="125"/>
        <v>0</v>
      </c>
      <c r="P141" s="100">
        <f t="shared" ref="P141:P204" si="126">J141-O141</f>
        <v>0</v>
      </c>
      <c r="Q141" s="30"/>
      <c r="R141" s="30"/>
      <c r="S141" s="30"/>
    </row>
    <row r="142" spans="1:19" ht="18.75" customHeight="1">
      <c r="A142" s="12">
        <v>2</v>
      </c>
      <c r="B142" s="129" t="s">
        <v>25</v>
      </c>
      <c r="C142" s="135" t="s">
        <v>26</v>
      </c>
      <c r="D142" s="110">
        <f t="shared" ref="D142:S143" si="127">D37</f>
        <v>12832</v>
      </c>
      <c r="E142" s="110">
        <f t="shared" si="127"/>
        <v>30127</v>
      </c>
      <c r="F142" s="110">
        <f t="shared" si="127"/>
        <v>18076</v>
      </c>
      <c r="G142" s="110">
        <f t="shared" si="127"/>
        <v>30127</v>
      </c>
      <c r="H142" s="111">
        <f t="shared" ref="H142" si="128">H37</f>
        <v>30127</v>
      </c>
      <c r="I142" s="110">
        <f t="shared" si="127"/>
        <v>0</v>
      </c>
      <c r="J142" s="110">
        <f t="shared" si="127"/>
        <v>22358</v>
      </c>
      <c r="K142" s="199">
        <f t="shared" ref="K142:N142" si="129">K37</f>
        <v>7000</v>
      </c>
      <c r="L142" s="110">
        <f t="shared" si="129"/>
        <v>4833</v>
      </c>
      <c r="M142" s="110">
        <f t="shared" si="129"/>
        <v>4836</v>
      </c>
      <c r="N142" s="110">
        <f t="shared" si="129"/>
        <v>5689</v>
      </c>
      <c r="O142" s="30">
        <f t="shared" si="125"/>
        <v>22358</v>
      </c>
      <c r="P142" s="100">
        <f t="shared" si="126"/>
        <v>0</v>
      </c>
      <c r="Q142" s="110">
        <f t="shared" si="127"/>
        <v>25689</v>
      </c>
      <c r="R142" s="110">
        <f t="shared" si="127"/>
        <v>25689</v>
      </c>
      <c r="S142" s="110">
        <f t="shared" si="127"/>
        <v>25689</v>
      </c>
    </row>
    <row r="143" spans="1:19" ht="15.75" customHeight="1">
      <c r="A143" s="12">
        <v>3</v>
      </c>
      <c r="B143" s="129" t="s">
        <v>27</v>
      </c>
      <c r="C143" s="135" t="s">
        <v>28</v>
      </c>
      <c r="D143" s="110">
        <f t="shared" si="127"/>
        <v>65410</v>
      </c>
      <c r="E143" s="110">
        <f t="shared" si="127"/>
        <v>46647</v>
      </c>
      <c r="F143" s="110">
        <f t="shared" si="127"/>
        <v>32025</v>
      </c>
      <c r="G143" s="110">
        <f t="shared" si="127"/>
        <v>46647</v>
      </c>
      <c r="H143" s="111">
        <f t="shared" ref="H143" si="130">H38</f>
        <v>46647</v>
      </c>
      <c r="I143" s="110">
        <f t="shared" si="127"/>
        <v>0</v>
      </c>
      <c r="J143" s="110">
        <f t="shared" si="127"/>
        <v>70165</v>
      </c>
      <c r="K143" s="199">
        <f t="shared" ref="K143:N143" si="131">K38</f>
        <v>18000</v>
      </c>
      <c r="L143" s="110">
        <f t="shared" si="131"/>
        <v>18000</v>
      </c>
      <c r="M143" s="110">
        <f t="shared" si="131"/>
        <v>17000</v>
      </c>
      <c r="N143" s="110">
        <f t="shared" si="131"/>
        <v>17165</v>
      </c>
      <c r="O143" s="30">
        <f t="shared" si="125"/>
        <v>70165</v>
      </c>
      <c r="P143" s="100">
        <f t="shared" si="126"/>
        <v>0</v>
      </c>
      <c r="Q143" s="110">
        <f t="shared" si="127"/>
        <v>23719</v>
      </c>
      <c r="R143" s="110">
        <f t="shared" si="127"/>
        <v>6777</v>
      </c>
      <c r="S143" s="110">
        <f t="shared" si="127"/>
        <v>6777</v>
      </c>
    </row>
    <row r="144" spans="1:19" ht="19.5" customHeight="1">
      <c r="A144" s="96" t="s">
        <v>29</v>
      </c>
      <c r="B144" s="129" t="s">
        <v>569</v>
      </c>
      <c r="C144" s="37"/>
      <c r="D144" s="101">
        <f t="shared" ref="D144:S144" si="132">D145+D149+D156+D163+D166+D161</f>
        <v>8388.8000000000011</v>
      </c>
      <c r="E144" s="101">
        <f t="shared" si="132"/>
        <v>-9633.59</v>
      </c>
      <c r="F144" s="101">
        <f t="shared" si="132"/>
        <v>7100</v>
      </c>
      <c r="G144" s="101">
        <f t="shared" si="132"/>
        <v>-9633.59</v>
      </c>
      <c r="H144" s="109">
        <f t="shared" ref="H144" si="133">H145+H149+H156+H163+H166+H161</f>
        <v>9231</v>
      </c>
      <c r="I144" s="101">
        <f t="shared" si="132"/>
        <v>7781</v>
      </c>
      <c r="J144" s="101">
        <f>J145+J149+J156+J163+J166+J161</f>
        <v>-32676</v>
      </c>
      <c r="K144" s="195">
        <f>K145+K149+K156+K163+K166+K161</f>
        <v>-4817</v>
      </c>
      <c r="L144" s="101">
        <f>L145+L149+L156+L163+L166+L161</f>
        <v>-7467</v>
      </c>
      <c r="M144" s="101">
        <f>M145+M149+M156+M163+M166+M161</f>
        <v>-10908</v>
      </c>
      <c r="N144" s="101">
        <f>N145+N149+N156+N163+N166+N161</f>
        <v>-9484</v>
      </c>
      <c r="O144" s="30">
        <f t="shared" si="125"/>
        <v>-32676</v>
      </c>
      <c r="P144" s="100">
        <f t="shared" si="126"/>
        <v>0</v>
      </c>
      <c r="Q144" s="101">
        <f t="shared" si="132"/>
        <v>-16015</v>
      </c>
      <c r="R144" s="101">
        <f t="shared" si="132"/>
        <v>-4670</v>
      </c>
      <c r="S144" s="101">
        <f t="shared" si="132"/>
        <v>-7536</v>
      </c>
    </row>
    <row r="145" spans="1:19" ht="19.5" customHeight="1">
      <c r="A145" s="12">
        <v>1</v>
      </c>
      <c r="B145" s="33" t="s">
        <v>140</v>
      </c>
      <c r="C145" s="135">
        <v>16.02</v>
      </c>
      <c r="D145" s="110">
        <f t="shared" ref="D145:S145" si="134">D146+D148+D147</f>
        <v>3006</v>
      </c>
      <c r="E145" s="110">
        <f t="shared" si="134"/>
        <v>3240</v>
      </c>
      <c r="F145" s="110">
        <f t="shared" si="134"/>
        <v>3240</v>
      </c>
      <c r="G145" s="110">
        <f t="shared" si="134"/>
        <v>3240</v>
      </c>
      <c r="H145" s="111">
        <f t="shared" ref="H145" si="135">H146+H148+H147</f>
        <v>3292</v>
      </c>
      <c r="I145" s="110">
        <f t="shared" si="134"/>
        <v>3637</v>
      </c>
      <c r="J145" s="110">
        <f t="shared" si="134"/>
        <v>3528</v>
      </c>
      <c r="K145" s="199">
        <f t="shared" ref="K145:N145" si="136">K146+K148+K147</f>
        <v>885</v>
      </c>
      <c r="L145" s="110">
        <f t="shared" si="136"/>
        <v>885</v>
      </c>
      <c r="M145" s="110">
        <f t="shared" si="136"/>
        <v>885</v>
      </c>
      <c r="N145" s="110">
        <f t="shared" si="136"/>
        <v>873</v>
      </c>
      <c r="O145" s="30">
        <f t="shared" si="125"/>
        <v>3528</v>
      </c>
      <c r="P145" s="100">
        <f t="shared" si="126"/>
        <v>0</v>
      </c>
      <c r="Q145" s="110">
        <f t="shared" si="134"/>
        <v>3883</v>
      </c>
      <c r="R145" s="110">
        <f t="shared" si="134"/>
        <v>4108</v>
      </c>
      <c r="S145" s="110">
        <f t="shared" si="134"/>
        <v>4219</v>
      </c>
    </row>
    <row r="146" spans="1:19" ht="22.5" customHeight="1">
      <c r="A146" s="12"/>
      <c r="B146" s="116" t="s">
        <v>31</v>
      </c>
      <c r="C146" s="135" t="s">
        <v>32</v>
      </c>
      <c r="D146" s="104">
        <f t="shared" ref="D146:S149" si="137">D42</f>
        <v>166.5</v>
      </c>
      <c r="E146" s="104">
        <f t="shared" si="137"/>
        <v>200</v>
      </c>
      <c r="F146" s="104">
        <f t="shared" si="137"/>
        <v>200</v>
      </c>
      <c r="G146" s="104">
        <f t="shared" si="137"/>
        <v>200</v>
      </c>
      <c r="H146" s="117">
        <f t="shared" ref="H146" si="138">H42</f>
        <v>217</v>
      </c>
      <c r="I146" s="104">
        <f t="shared" si="137"/>
        <v>220</v>
      </c>
      <c r="J146" s="104">
        <f t="shared" si="137"/>
        <v>228</v>
      </c>
      <c r="K146" s="196">
        <f t="shared" ref="K146:N146" si="139">K42</f>
        <v>60</v>
      </c>
      <c r="L146" s="104">
        <f t="shared" si="139"/>
        <v>60</v>
      </c>
      <c r="M146" s="104">
        <f t="shared" si="139"/>
        <v>60</v>
      </c>
      <c r="N146" s="104">
        <f t="shared" si="139"/>
        <v>48</v>
      </c>
      <c r="O146" s="30">
        <f t="shared" si="125"/>
        <v>228</v>
      </c>
      <c r="P146" s="100">
        <f t="shared" si="126"/>
        <v>0</v>
      </c>
      <c r="Q146" s="104">
        <f t="shared" si="137"/>
        <v>243</v>
      </c>
      <c r="R146" s="104">
        <f t="shared" si="137"/>
        <v>260</v>
      </c>
      <c r="S146" s="104">
        <f t="shared" si="137"/>
        <v>280</v>
      </c>
    </row>
    <row r="147" spans="1:19" ht="18" customHeight="1">
      <c r="A147" s="12"/>
      <c r="B147" s="35" t="s">
        <v>33</v>
      </c>
      <c r="C147" s="135" t="s">
        <v>34</v>
      </c>
      <c r="D147" s="104">
        <f t="shared" si="137"/>
        <v>2515.5</v>
      </c>
      <c r="E147" s="104">
        <f t="shared" si="137"/>
        <v>2700</v>
      </c>
      <c r="F147" s="104">
        <f t="shared" si="137"/>
        <v>2700</v>
      </c>
      <c r="G147" s="104">
        <f t="shared" si="137"/>
        <v>2700</v>
      </c>
      <c r="H147" s="117">
        <f t="shared" ref="H147" si="140">H43</f>
        <v>3017</v>
      </c>
      <c r="I147" s="104">
        <f t="shared" si="137"/>
        <v>3117</v>
      </c>
      <c r="J147" s="104">
        <f t="shared" si="137"/>
        <v>3000</v>
      </c>
      <c r="K147" s="196">
        <f t="shared" ref="K147:N147" si="141">K43</f>
        <v>750</v>
      </c>
      <c r="L147" s="104">
        <f t="shared" si="141"/>
        <v>750</v>
      </c>
      <c r="M147" s="104">
        <f t="shared" si="141"/>
        <v>750</v>
      </c>
      <c r="N147" s="104">
        <f t="shared" si="141"/>
        <v>750</v>
      </c>
      <c r="O147" s="30">
        <f t="shared" si="125"/>
        <v>3000</v>
      </c>
      <c r="P147" s="100">
        <f t="shared" si="126"/>
        <v>0</v>
      </c>
      <c r="Q147" s="104">
        <f t="shared" si="137"/>
        <v>3340</v>
      </c>
      <c r="R147" s="104">
        <f t="shared" si="137"/>
        <v>3548</v>
      </c>
      <c r="S147" s="104">
        <f t="shared" si="137"/>
        <v>3639</v>
      </c>
    </row>
    <row r="148" spans="1:19" ht="18.75" customHeight="1">
      <c r="A148" s="12"/>
      <c r="B148" s="116" t="s">
        <v>141</v>
      </c>
      <c r="C148" s="135" t="s">
        <v>36</v>
      </c>
      <c r="D148" s="104">
        <f t="shared" si="137"/>
        <v>324</v>
      </c>
      <c r="E148" s="104">
        <f t="shared" si="137"/>
        <v>340</v>
      </c>
      <c r="F148" s="104">
        <f t="shared" si="137"/>
        <v>340</v>
      </c>
      <c r="G148" s="104">
        <f t="shared" si="137"/>
        <v>340</v>
      </c>
      <c r="H148" s="117">
        <f t="shared" ref="H148" si="142">H44</f>
        <v>58</v>
      </c>
      <c r="I148" s="104">
        <f t="shared" si="137"/>
        <v>300</v>
      </c>
      <c r="J148" s="104">
        <f t="shared" si="137"/>
        <v>300</v>
      </c>
      <c r="K148" s="196">
        <f t="shared" ref="K148:N148" si="143">K44</f>
        <v>75</v>
      </c>
      <c r="L148" s="104">
        <f t="shared" si="143"/>
        <v>75</v>
      </c>
      <c r="M148" s="104">
        <f t="shared" si="143"/>
        <v>75</v>
      </c>
      <c r="N148" s="104">
        <f t="shared" si="143"/>
        <v>75</v>
      </c>
      <c r="O148" s="30">
        <f t="shared" si="125"/>
        <v>300</v>
      </c>
      <c r="P148" s="100">
        <f t="shared" si="126"/>
        <v>0</v>
      </c>
      <c r="Q148" s="104">
        <f t="shared" si="137"/>
        <v>300</v>
      </c>
      <c r="R148" s="104">
        <f t="shared" si="137"/>
        <v>300</v>
      </c>
      <c r="S148" s="104">
        <f t="shared" si="137"/>
        <v>300</v>
      </c>
    </row>
    <row r="149" spans="1:19" ht="15" customHeight="1">
      <c r="A149" s="12">
        <v>2</v>
      </c>
      <c r="B149" s="129" t="s">
        <v>37</v>
      </c>
      <c r="C149" s="135" t="s">
        <v>38</v>
      </c>
      <c r="D149" s="100">
        <f t="shared" si="137"/>
        <v>3955.5</v>
      </c>
      <c r="E149" s="100">
        <f t="shared" si="137"/>
        <v>2275</v>
      </c>
      <c r="F149" s="100">
        <f t="shared" si="137"/>
        <v>2275</v>
      </c>
      <c r="G149" s="100">
        <f t="shared" si="137"/>
        <v>2275</v>
      </c>
      <c r="H149" s="115">
        <f t="shared" ref="H149" si="144">H45</f>
        <v>4337</v>
      </c>
      <c r="I149" s="100">
        <f t="shared" si="137"/>
        <v>2622</v>
      </c>
      <c r="J149" s="100">
        <f t="shared" si="137"/>
        <v>2650</v>
      </c>
      <c r="K149" s="194">
        <f t="shared" ref="K149:N149" si="145">K45</f>
        <v>663</v>
      </c>
      <c r="L149" s="100">
        <f t="shared" si="145"/>
        <v>662</v>
      </c>
      <c r="M149" s="100">
        <f t="shared" si="145"/>
        <v>663</v>
      </c>
      <c r="N149" s="100">
        <f t="shared" si="145"/>
        <v>662</v>
      </c>
      <c r="O149" s="30">
        <f t="shared" si="125"/>
        <v>2650</v>
      </c>
      <c r="P149" s="100">
        <f t="shared" si="126"/>
        <v>0</v>
      </c>
      <c r="Q149" s="100">
        <f t="shared" si="137"/>
        <v>2650</v>
      </c>
      <c r="R149" s="100">
        <f t="shared" si="137"/>
        <v>2700</v>
      </c>
      <c r="S149" s="100">
        <f t="shared" si="137"/>
        <v>2750</v>
      </c>
    </row>
    <row r="150" spans="1:19" ht="0.75" customHeight="1">
      <c r="A150" s="12"/>
      <c r="B150" s="116" t="s">
        <v>39</v>
      </c>
      <c r="C150" s="135" t="s">
        <v>40</v>
      </c>
      <c r="D150" s="46"/>
      <c r="E150" s="30"/>
      <c r="F150" s="46"/>
      <c r="G150" s="30"/>
      <c r="H150" s="31"/>
      <c r="I150" s="30"/>
      <c r="J150" s="30"/>
      <c r="K150" s="64"/>
      <c r="L150" s="30"/>
      <c r="M150" s="30"/>
      <c r="N150" s="30"/>
      <c r="O150" s="30">
        <f t="shared" si="125"/>
        <v>0</v>
      </c>
      <c r="P150" s="100">
        <f t="shared" si="126"/>
        <v>0</v>
      </c>
      <c r="Q150" s="30"/>
      <c r="R150" s="30"/>
      <c r="S150" s="30"/>
    </row>
    <row r="151" spans="1:19" ht="15" hidden="1" customHeight="1">
      <c r="A151" s="12"/>
      <c r="B151" s="116" t="s">
        <v>41</v>
      </c>
      <c r="C151" s="135" t="s">
        <v>42</v>
      </c>
      <c r="D151" s="46"/>
      <c r="E151" s="30"/>
      <c r="F151" s="46"/>
      <c r="G151" s="30"/>
      <c r="H151" s="31"/>
      <c r="I151" s="30"/>
      <c r="J151" s="30"/>
      <c r="K151" s="64"/>
      <c r="L151" s="30"/>
      <c r="M151" s="30"/>
      <c r="N151" s="30"/>
      <c r="O151" s="30">
        <f t="shared" si="125"/>
        <v>0</v>
      </c>
      <c r="P151" s="100">
        <f t="shared" si="126"/>
        <v>0</v>
      </c>
      <c r="Q151" s="30"/>
      <c r="R151" s="30"/>
      <c r="S151" s="30"/>
    </row>
    <row r="152" spans="1:19" ht="16.5" customHeight="1">
      <c r="A152" s="12"/>
      <c r="B152" s="116" t="s">
        <v>43</v>
      </c>
      <c r="C152" s="135" t="s">
        <v>44</v>
      </c>
      <c r="D152" s="104">
        <f t="shared" ref="D152:S152" si="146">D48</f>
        <v>3885</v>
      </c>
      <c r="E152" s="104">
        <f t="shared" si="146"/>
        <v>2200</v>
      </c>
      <c r="F152" s="104">
        <f t="shared" si="146"/>
        <v>2200</v>
      </c>
      <c r="G152" s="104">
        <f t="shared" si="146"/>
        <v>2200</v>
      </c>
      <c r="H152" s="117">
        <f t="shared" ref="H152" si="147">H48</f>
        <v>4290</v>
      </c>
      <c r="I152" s="104">
        <f t="shared" si="146"/>
        <v>2572</v>
      </c>
      <c r="J152" s="104">
        <f t="shared" si="146"/>
        <v>2600</v>
      </c>
      <c r="K152" s="196">
        <f t="shared" ref="K152:N152" si="148">K48</f>
        <v>650</v>
      </c>
      <c r="L152" s="104">
        <f t="shared" si="148"/>
        <v>650</v>
      </c>
      <c r="M152" s="104">
        <f t="shared" si="148"/>
        <v>650</v>
      </c>
      <c r="N152" s="104">
        <f t="shared" si="148"/>
        <v>650</v>
      </c>
      <c r="O152" s="30">
        <f t="shared" si="125"/>
        <v>2600</v>
      </c>
      <c r="P152" s="100">
        <f t="shared" si="126"/>
        <v>0</v>
      </c>
      <c r="Q152" s="104">
        <f t="shared" si="146"/>
        <v>2600</v>
      </c>
      <c r="R152" s="104">
        <f t="shared" si="146"/>
        <v>2650</v>
      </c>
      <c r="S152" s="104">
        <f t="shared" si="146"/>
        <v>2700</v>
      </c>
    </row>
    <row r="153" spans="1:19" ht="16.5" hidden="1" customHeight="1">
      <c r="A153" s="12"/>
      <c r="B153" s="116" t="s">
        <v>45</v>
      </c>
      <c r="C153" s="135" t="s">
        <v>46</v>
      </c>
      <c r="D153" s="46"/>
      <c r="E153" s="30"/>
      <c r="F153" s="46"/>
      <c r="G153" s="30"/>
      <c r="H153" s="31"/>
      <c r="I153" s="30"/>
      <c r="J153" s="30"/>
      <c r="K153" s="64"/>
      <c r="L153" s="30"/>
      <c r="M153" s="30"/>
      <c r="N153" s="30"/>
      <c r="O153" s="30">
        <f t="shared" si="125"/>
        <v>0</v>
      </c>
      <c r="P153" s="100">
        <f t="shared" si="126"/>
        <v>0</v>
      </c>
      <c r="Q153" s="30"/>
      <c r="R153" s="30"/>
      <c r="S153" s="30"/>
    </row>
    <row r="154" spans="1:19" ht="15.75" customHeight="1">
      <c r="A154" s="12"/>
      <c r="B154" s="116" t="s">
        <v>47</v>
      </c>
      <c r="C154" s="135" t="s">
        <v>48</v>
      </c>
      <c r="D154" s="104">
        <f t="shared" ref="D154:S154" si="149">D155</f>
        <v>70.5</v>
      </c>
      <c r="E154" s="104">
        <f t="shared" si="149"/>
        <v>75</v>
      </c>
      <c r="F154" s="104">
        <f t="shared" si="149"/>
        <v>75</v>
      </c>
      <c r="G154" s="104">
        <f t="shared" si="149"/>
        <v>75</v>
      </c>
      <c r="H154" s="117">
        <f t="shared" si="149"/>
        <v>47</v>
      </c>
      <c r="I154" s="104">
        <f t="shared" si="149"/>
        <v>50</v>
      </c>
      <c r="J154" s="104">
        <f t="shared" si="149"/>
        <v>50</v>
      </c>
      <c r="K154" s="196">
        <f t="shared" si="149"/>
        <v>13</v>
      </c>
      <c r="L154" s="104">
        <f t="shared" si="149"/>
        <v>12</v>
      </c>
      <c r="M154" s="104">
        <f t="shared" si="149"/>
        <v>13</v>
      </c>
      <c r="N154" s="104">
        <f t="shared" si="149"/>
        <v>12</v>
      </c>
      <c r="O154" s="30">
        <f t="shared" si="125"/>
        <v>50</v>
      </c>
      <c r="P154" s="100">
        <f t="shared" si="126"/>
        <v>0</v>
      </c>
      <c r="Q154" s="104">
        <f t="shared" si="149"/>
        <v>50</v>
      </c>
      <c r="R154" s="104">
        <f t="shared" si="149"/>
        <v>50</v>
      </c>
      <c r="S154" s="104">
        <f t="shared" si="149"/>
        <v>50</v>
      </c>
    </row>
    <row r="155" spans="1:19" ht="18.75" customHeight="1">
      <c r="A155" s="12"/>
      <c r="B155" s="116" t="s">
        <v>49</v>
      </c>
      <c r="C155" s="135" t="s">
        <v>50</v>
      </c>
      <c r="D155" s="114">
        <f t="shared" ref="D155:S155" si="150">D51</f>
        <v>70.5</v>
      </c>
      <c r="E155" s="114">
        <f t="shared" si="150"/>
        <v>75</v>
      </c>
      <c r="F155" s="114">
        <f t="shared" si="150"/>
        <v>75</v>
      </c>
      <c r="G155" s="114">
        <f t="shared" si="150"/>
        <v>75</v>
      </c>
      <c r="H155" s="122">
        <f t="shared" ref="H155" si="151">H51</f>
        <v>47</v>
      </c>
      <c r="I155" s="114">
        <f t="shared" si="150"/>
        <v>50</v>
      </c>
      <c r="J155" s="114">
        <f t="shared" si="150"/>
        <v>50</v>
      </c>
      <c r="K155" s="202">
        <f t="shared" ref="K155:N155" si="152">K51</f>
        <v>13</v>
      </c>
      <c r="L155" s="114">
        <f t="shared" si="152"/>
        <v>12</v>
      </c>
      <c r="M155" s="114">
        <f t="shared" si="152"/>
        <v>13</v>
      </c>
      <c r="N155" s="114">
        <f t="shared" si="152"/>
        <v>12</v>
      </c>
      <c r="O155" s="30">
        <f t="shared" si="125"/>
        <v>50</v>
      </c>
      <c r="P155" s="100">
        <f t="shared" si="126"/>
        <v>0</v>
      </c>
      <c r="Q155" s="114">
        <f t="shared" si="150"/>
        <v>50</v>
      </c>
      <c r="R155" s="114">
        <f t="shared" si="150"/>
        <v>50</v>
      </c>
      <c r="S155" s="114">
        <f t="shared" si="150"/>
        <v>50</v>
      </c>
    </row>
    <row r="156" spans="1:19" ht="18.75" customHeight="1">
      <c r="A156" s="12">
        <v>3</v>
      </c>
      <c r="B156" s="129" t="s">
        <v>51</v>
      </c>
      <c r="C156" s="135">
        <v>33.020000000000003</v>
      </c>
      <c r="D156" s="110">
        <f t="shared" ref="D156:S156" si="153">D157+D158+D159+D160</f>
        <v>1345.1</v>
      </c>
      <c r="E156" s="110">
        <f t="shared" si="153"/>
        <v>1495</v>
      </c>
      <c r="F156" s="110">
        <f t="shared" si="153"/>
        <v>1495</v>
      </c>
      <c r="G156" s="110">
        <f t="shared" si="153"/>
        <v>1495</v>
      </c>
      <c r="H156" s="111">
        <f t="shared" ref="H156" si="154">H157+H158+H159+H160</f>
        <v>1247</v>
      </c>
      <c r="I156" s="110">
        <f t="shared" si="153"/>
        <v>1419</v>
      </c>
      <c r="J156" s="110">
        <f t="shared" si="153"/>
        <v>1419</v>
      </c>
      <c r="K156" s="199">
        <f t="shared" ref="K156:N156" si="155">K157+K158+K159+K160</f>
        <v>355</v>
      </c>
      <c r="L156" s="110">
        <f t="shared" si="155"/>
        <v>355</v>
      </c>
      <c r="M156" s="110">
        <f t="shared" si="155"/>
        <v>355</v>
      </c>
      <c r="N156" s="110">
        <f t="shared" si="155"/>
        <v>354</v>
      </c>
      <c r="O156" s="30">
        <f t="shared" si="125"/>
        <v>1419</v>
      </c>
      <c r="P156" s="100">
        <f t="shared" si="126"/>
        <v>0</v>
      </c>
      <c r="Q156" s="110">
        <f t="shared" si="153"/>
        <v>1419</v>
      </c>
      <c r="R156" s="110">
        <f t="shared" si="153"/>
        <v>1419</v>
      </c>
      <c r="S156" s="110">
        <f t="shared" si="153"/>
        <v>1419</v>
      </c>
    </row>
    <row r="157" spans="1:19" ht="18.75" customHeight="1">
      <c r="A157" s="12"/>
      <c r="B157" s="116" t="s">
        <v>414</v>
      </c>
      <c r="C157" s="135" t="s">
        <v>415</v>
      </c>
      <c r="D157" s="110">
        <f t="shared" ref="D157:S158" si="156">D53</f>
        <v>1332</v>
      </c>
      <c r="E157" s="110">
        <f t="shared" si="156"/>
        <v>1480</v>
      </c>
      <c r="F157" s="110">
        <f t="shared" si="156"/>
        <v>1480</v>
      </c>
      <c r="G157" s="110">
        <f t="shared" si="156"/>
        <v>1480</v>
      </c>
      <c r="H157" s="111">
        <f t="shared" ref="H157" si="157">H53</f>
        <v>1231</v>
      </c>
      <c r="I157" s="110">
        <f t="shared" si="156"/>
        <v>1400</v>
      </c>
      <c r="J157" s="110">
        <f t="shared" si="156"/>
        <v>1400</v>
      </c>
      <c r="K157" s="199">
        <f t="shared" ref="K157:N157" si="158">K53</f>
        <v>350</v>
      </c>
      <c r="L157" s="110">
        <f t="shared" si="158"/>
        <v>350</v>
      </c>
      <c r="M157" s="110">
        <f t="shared" si="158"/>
        <v>350</v>
      </c>
      <c r="N157" s="110">
        <f t="shared" si="158"/>
        <v>350</v>
      </c>
      <c r="O157" s="30">
        <f t="shared" si="125"/>
        <v>1400</v>
      </c>
      <c r="P157" s="100">
        <f t="shared" si="126"/>
        <v>0</v>
      </c>
      <c r="Q157" s="110">
        <f t="shared" si="156"/>
        <v>1400</v>
      </c>
      <c r="R157" s="110">
        <f t="shared" si="156"/>
        <v>1400</v>
      </c>
      <c r="S157" s="110">
        <f t="shared" si="156"/>
        <v>1400</v>
      </c>
    </row>
    <row r="158" spans="1:19" ht="15" customHeight="1">
      <c r="A158" s="12"/>
      <c r="B158" s="116" t="s">
        <v>52</v>
      </c>
      <c r="C158" s="135" t="s">
        <v>53</v>
      </c>
      <c r="D158" s="114">
        <f t="shared" si="156"/>
        <v>10</v>
      </c>
      <c r="E158" s="114">
        <f t="shared" si="156"/>
        <v>11</v>
      </c>
      <c r="F158" s="114">
        <f t="shared" si="156"/>
        <v>11</v>
      </c>
      <c r="G158" s="114">
        <f t="shared" si="156"/>
        <v>11</v>
      </c>
      <c r="H158" s="122">
        <f t="shared" ref="H158" si="159">H54</f>
        <v>14</v>
      </c>
      <c r="I158" s="114">
        <f t="shared" si="156"/>
        <v>15</v>
      </c>
      <c r="J158" s="114">
        <f t="shared" si="156"/>
        <v>15</v>
      </c>
      <c r="K158" s="202">
        <f t="shared" ref="K158:N158" si="160">K54</f>
        <v>4</v>
      </c>
      <c r="L158" s="114">
        <f t="shared" si="160"/>
        <v>4</v>
      </c>
      <c r="M158" s="114">
        <f t="shared" si="160"/>
        <v>4</v>
      </c>
      <c r="N158" s="114">
        <f t="shared" si="160"/>
        <v>3</v>
      </c>
      <c r="O158" s="30">
        <f t="shared" si="125"/>
        <v>15</v>
      </c>
      <c r="P158" s="100">
        <f t="shared" si="126"/>
        <v>0</v>
      </c>
      <c r="Q158" s="114">
        <f t="shared" si="156"/>
        <v>15</v>
      </c>
      <c r="R158" s="114">
        <f t="shared" si="156"/>
        <v>15</v>
      </c>
      <c r="S158" s="114">
        <f t="shared" si="156"/>
        <v>15</v>
      </c>
    </row>
    <row r="159" spans="1:19" ht="17.25" hidden="1" customHeight="1">
      <c r="A159" s="12"/>
      <c r="B159" s="116" t="s">
        <v>54</v>
      </c>
      <c r="C159" s="135" t="s">
        <v>55</v>
      </c>
      <c r="D159" s="46"/>
      <c r="E159" s="30"/>
      <c r="F159" s="46"/>
      <c r="G159" s="30"/>
      <c r="H159" s="31"/>
      <c r="I159" s="30"/>
      <c r="J159" s="30"/>
      <c r="K159" s="64"/>
      <c r="L159" s="30"/>
      <c r="M159" s="30"/>
      <c r="N159" s="30"/>
      <c r="O159" s="30">
        <f t="shared" si="125"/>
        <v>0</v>
      </c>
      <c r="P159" s="100">
        <f t="shared" si="126"/>
        <v>0</v>
      </c>
      <c r="Q159" s="30"/>
      <c r="R159" s="30"/>
      <c r="S159" s="30"/>
    </row>
    <row r="160" spans="1:19" ht="19.5" customHeight="1">
      <c r="A160" s="12"/>
      <c r="B160" s="116" t="s">
        <v>51</v>
      </c>
      <c r="C160" s="135" t="s">
        <v>56</v>
      </c>
      <c r="D160" s="114">
        <f t="shared" ref="D160:S160" si="161">D56</f>
        <v>3.1</v>
      </c>
      <c r="E160" s="114">
        <f t="shared" si="161"/>
        <v>4</v>
      </c>
      <c r="F160" s="114">
        <f t="shared" si="161"/>
        <v>4</v>
      </c>
      <c r="G160" s="114">
        <f t="shared" si="161"/>
        <v>4</v>
      </c>
      <c r="H160" s="122">
        <f t="shared" ref="H160" si="162">H56</f>
        <v>2</v>
      </c>
      <c r="I160" s="114">
        <f t="shared" si="161"/>
        <v>4</v>
      </c>
      <c r="J160" s="114">
        <f t="shared" si="161"/>
        <v>4</v>
      </c>
      <c r="K160" s="202">
        <f t="shared" ref="K160:N160" si="163">K56</f>
        <v>1</v>
      </c>
      <c r="L160" s="114">
        <f t="shared" si="163"/>
        <v>1</v>
      </c>
      <c r="M160" s="114">
        <f t="shared" si="163"/>
        <v>1</v>
      </c>
      <c r="N160" s="114">
        <f t="shared" si="163"/>
        <v>1</v>
      </c>
      <c r="O160" s="30">
        <f t="shared" si="125"/>
        <v>4</v>
      </c>
      <c r="P160" s="100">
        <f t="shared" si="126"/>
        <v>0</v>
      </c>
      <c r="Q160" s="114">
        <f t="shared" si="161"/>
        <v>4</v>
      </c>
      <c r="R160" s="114">
        <f t="shared" si="161"/>
        <v>4</v>
      </c>
      <c r="S160" s="114">
        <f t="shared" si="161"/>
        <v>4</v>
      </c>
    </row>
    <row r="161" spans="1:19" ht="19.5" customHeight="1">
      <c r="A161" s="12">
        <v>4</v>
      </c>
      <c r="B161" s="129" t="s">
        <v>57</v>
      </c>
      <c r="C161" s="135">
        <v>35.020000000000003</v>
      </c>
      <c r="D161" s="110">
        <f t="shared" ref="D161:S161" si="164">D162</f>
        <v>51.6</v>
      </c>
      <c r="E161" s="110">
        <f t="shared" si="164"/>
        <v>55</v>
      </c>
      <c r="F161" s="110">
        <f t="shared" si="164"/>
        <v>55</v>
      </c>
      <c r="G161" s="110">
        <f t="shared" si="164"/>
        <v>55</v>
      </c>
      <c r="H161" s="111">
        <f t="shared" si="164"/>
        <v>96</v>
      </c>
      <c r="I161" s="110">
        <f t="shared" si="164"/>
        <v>100</v>
      </c>
      <c r="J161" s="110">
        <f t="shared" si="164"/>
        <v>100</v>
      </c>
      <c r="K161" s="199">
        <f t="shared" si="164"/>
        <v>25</v>
      </c>
      <c r="L161" s="110">
        <f t="shared" si="164"/>
        <v>25</v>
      </c>
      <c r="M161" s="110">
        <f t="shared" si="164"/>
        <v>25</v>
      </c>
      <c r="N161" s="110">
        <f t="shared" si="164"/>
        <v>25</v>
      </c>
      <c r="O161" s="30">
        <f t="shared" si="125"/>
        <v>100</v>
      </c>
      <c r="P161" s="100">
        <f t="shared" si="126"/>
        <v>0</v>
      </c>
      <c r="Q161" s="110">
        <f t="shared" si="164"/>
        <v>105</v>
      </c>
      <c r="R161" s="110">
        <f t="shared" si="164"/>
        <v>110</v>
      </c>
      <c r="S161" s="110">
        <f t="shared" si="164"/>
        <v>115</v>
      </c>
    </row>
    <row r="162" spans="1:19" ht="19.5" customHeight="1">
      <c r="A162" s="12"/>
      <c r="B162" s="116" t="s">
        <v>58</v>
      </c>
      <c r="C162" s="135" t="s">
        <v>59</v>
      </c>
      <c r="D162" s="104">
        <f t="shared" ref="D162:S162" si="165">D58</f>
        <v>51.6</v>
      </c>
      <c r="E162" s="104">
        <f t="shared" si="165"/>
        <v>55</v>
      </c>
      <c r="F162" s="104">
        <f t="shared" si="165"/>
        <v>55</v>
      </c>
      <c r="G162" s="104">
        <f t="shared" si="165"/>
        <v>55</v>
      </c>
      <c r="H162" s="117">
        <f t="shared" ref="H162" si="166">H58</f>
        <v>96</v>
      </c>
      <c r="I162" s="104">
        <f t="shared" si="165"/>
        <v>100</v>
      </c>
      <c r="J162" s="104">
        <f t="shared" si="165"/>
        <v>100</v>
      </c>
      <c r="K162" s="196">
        <f t="shared" ref="K162:N162" si="167">K58</f>
        <v>25</v>
      </c>
      <c r="L162" s="104">
        <f t="shared" si="167"/>
        <v>25</v>
      </c>
      <c r="M162" s="104">
        <f t="shared" si="167"/>
        <v>25</v>
      </c>
      <c r="N162" s="104">
        <f t="shared" si="167"/>
        <v>25</v>
      </c>
      <c r="O162" s="30">
        <f t="shared" si="125"/>
        <v>100</v>
      </c>
      <c r="P162" s="100">
        <f t="shared" si="126"/>
        <v>0</v>
      </c>
      <c r="Q162" s="104">
        <f t="shared" si="165"/>
        <v>105</v>
      </c>
      <c r="R162" s="104">
        <f t="shared" si="165"/>
        <v>110</v>
      </c>
      <c r="S162" s="104">
        <f t="shared" si="165"/>
        <v>115</v>
      </c>
    </row>
    <row r="163" spans="1:19" ht="19.5" customHeight="1">
      <c r="A163" s="12">
        <v>5</v>
      </c>
      <c r="B163" s="129" t="s">
        <v>60</v>
      </c>
      <c r="C163" s="135">
        <v>36.020000000000003</v>
      </c>
      <c r="D163" s="110">
        <f t="shared" ref="D163:S163" si="168">D164+D165</f>
        <v>30.6</v>
      </c>
      <c r="E163" s="110">
        <f t="shared" si="168"/>
        <v>35</v>
      </c>
      <c r="F163" s="110">
        <f t="shared" si="168"/>
        <v>35</v>
      </c>
      <c r="G163" s="110">
        <f t="shared" si="168"/>
        <v>35</v>
      </c>
      <c r="H163" s="111">
        <f t="shared" ref="H163" si="169">H164+H165</f>
        <v>249</v>
      </c>
      <c r="I163" s="110">
        <f t="shared" si="168"/>
        <v>3</v>
      </c>
      <c r="J163" s="110">
        <f t="shared" si="168"/>
        <v>3</v>
      </c>
      <c r="K163" s="199">
        <f t="shared" ref="K163:N163" si="170">K164+K165</f>
        <v>1</v>
      </c>
      <c r="L163" s="110">
        <f t="shared" si="170"/>
        <v>1</v>
      </c>
      <c r="M163" s="110">
        <f t="shared" si="170"/>
        <v>1</v>
      </c>
      <c r="N163" s="110">
        <f t="shared" si="170"/>
        <v>0</v>
      </c>
      <c r="O163" s="30">
        <f t="shared" si="125"/>
        <v>3</v>
      </c>
      <c r="P163" s="100">
        <f t="shared" si="126"/>
        <v>0</v>
      </c>
      <c r="Q163" s="110">
        <f t="shared" si="168"/>
        <v>3</v>
      </c>
      <c r="R163" s="110">
        <f t="shared" si="168"/>
        <v>3</v>
      </c>
      <c r="S163" s="110">
        <f t="shared" si="168"/>
        <v>3</v>
      </c>
    </row>
    <row r="164" spans="1:19" ht="18" hidden="1" customHeight="1">
      <c r="A164" s="12"/>
      <c r="B164" s="116" t="s">
        <v>142</v>
      </c>
      <c r="C164" s="135" t="s">
        <v>62</v>
      </c>
      <c r="D164" s="46"/>
      <c r="E164" s="30"/>
      <c r="F164" s="46"/>
      <c r="G164" s="30"/>
      <c r="H164" s="31"/>
      <c r="I164" s="30"/>
      <c r="J164" s="30"/>
      <c r="K164" s="64"/>
      <c r="L164" s="30"/>
      <c r="M164" s="30"/>
      <c r="N164" s="30"/>
      <c r="O164" s="30">
        <f t="shared" si="125"/>
        <v>0</v>
      </c>
      <c r="P164" s="100">
        <f t="shared" si="126"/>
        <v>0</v>
      </c>
      <c r="Q164" s="30"/>
      <c r="R164" s="30"/>
      <c r="S164" s="30"/>
    </row>
    <row r="165" spans="1:19" ht="18" customHeight="1">
      <c r="A165" s="12"/>
      <c r="B165" s="116" t="s">
        <v>63</v>
      </c>
      <c r="C165" s="135" t="s">
        <v>64</v>
      </c>
      <c r="D165" s="104">
        <f t="shared" ref="D165:S165" si="171">D62</f>
        <v>30.6</v>
      </c>
      <c r="E165" s="104">
        <f t="shared" si="171"/>
        <v>35</v>
      </c>
      <c r="F165" s="104">
        <f t="shared" si="171"/>
        <v>35</v>
      </c>
      <c r="G165" s="104">
        <f t="shared" si="171"/>
        <v>35</v>
      </c>
      <c r="H165" s="117">
        <f t="shared" ref="H165" si="172">H62</f>
        <v>249</v>
      </c>
      <c r="I165" s="104">
        <f t="shared" si="171"/>
        <v>3</v>
      </c>
      <c r="J165" s="104">
        <f t="shared" si="171"/>
        <v>3</v>
      </c>
      <c r="K165" s="196">
        <f t="shared" ref="K165:N165" si="173">K62</f>
        <v>1</v>
      </c>
      <c r="L165" s="104">
        <f t="shared" si="173"/>
        <v>1</v>
      </c>
      <c r="M165" s="104">
        <f t="shared" si="173"/>
        <v>1</v>
      </c>
      <c r="N165" s="104">
        <f t="shared" si="173"/>
        <v>0</v>
      </c>
      <c r="O165" s="30">
        <f t="shared" si="125"/>
        <v>3</v>
      </c>
      <c r="P165" s="100">
        <f t="shared" si="126"/>
        <v>0</v>
      </c>
      <c r="Q165" s="104">
        <f t="shared" si="171"/>
        <v>3</v>
      </c>
      <c r="R165" s="104">
        <f t="shared" si="171"/>
        <v>3</v>
      </c>
      <c r="S165" s="104">
        <f t="shared" si="171"/>
        <v>3</v>
      </c>
    </row>
    <row r="166" spans="1:19" ht="15" customHeight="1">
      <c r="A166" s="12">
        <v>4</v>
      </c>
      <c r="B166" s="129" t="s">
        <v>65</v>
      </c>
      <c r="C166" s="135">
        <v>37.020000000000003</v>
      </c>
      <c r="D166" s="110">
        <f t="shared" ref="D166" si="174">D167+D168+D169</f>
        <v>0</v>
      </c>
      <c r="E166" s="110">
        <f t="shared" ref="E166:S166" si="175">E167+E168+E169</f>
        <v>-16733.59</v>
      </c>
      <c r="F166" s="110">
        <f t="shared" si="175"/>
        <v>0</v>
      </c>
      <c r="G166" s="110">
        <f t="shared" si="175"/>
        <v>-16733.59</v>
      </c>
      <c r="H166" s="111">
        <f t="shared" ref="H166" si="176">H167+H168+H169</f>
        <v>10</v>
      </c>
      <c r="I166" s="110">
        <f t="shared" si="175"/>
        <v>0</v>
      </c>
      <c r="J166" s="110">
        <f t="shared" si="175"/>
        <v>-40376</v>
      </c>
      <c r="K166" s="199">
        <f t="shared" ref="K166:N166" si="177">K167+K168+K169</f>
        <v>-6746</v>
      </c>
      <c r="L166" s="110">
        <f t="shared" si="177"/>
        <v>-9395</v>
      </c>
      <c r="M166" s="110">
        <f t="shared" si="177"/>
        <v>-12837</v>
      </c>
      <c r="N166" s="110">
        <f t="shared" si="177"/>
        <v>-11398</v>
      </c>
      <c r="O166" s="30">
        <f t="shared" si="125"/>
        <v>-40376</v>
      </c>
      <c r="P166" s="100">
        <f t="shared" si="126"/>
        <v>0</v>
      </c>
      <c r="Q166" s="110">
        <f t="shared" si="175"/>
        <v>-24075</v>
      </c>
      <c r="R166" s="110">
        <f t="shared" si="175"/>
        <v>-13010</v>
      </c>
      <c r="S166" s="110">
        <f t="shared" si="175"/>
        <v>-16042</v>
      </c>
    </row>
    <row r="167" spans="1:19" ht="15" customHeight="1">
      <c r="A167" s="12"/>
      <c r="B167" s="116" t="s">
        <v>66</v>
      </c>
      <c r="C167" s="135" t="s">
        <v>67</v>
      </c>
      <c r="D167" s="110">
        <f t="shared" ref="D167:S168" si="178">D64</f>
        <v>0</v>
      </c>
      <c r="E167" s="110">
        <f t="shared" si="178"/>
        <v>10</v>
      </c>
      <c r="F167" s="110">
        <f t="shared" si="178"/>
        <v>0</v>
      </c>
      <c r="G167" s="110">
        <f t="shared" si="178"/>
        <v>10</v>
      </c>
      <c r="H167" s="111">
        <f t="shared" ref="H167" si="179">H64</f>
        <v>10</v>
      </c>
      <c r="I167" s="110">
        <f t="shared" si="178"/>
        <v>0</v>
      </c>
      <c r="J167" s="110">
        <f t="shared" si="178"/>
        <v>0</v>
      </c>
      <c r="K167" s="199">
        <f t="shared" ref="K167:N167" si="180">K64</f>
        <v>0</v>
      </c>
      <c r="L167" s="110">
        <f t="shared" si="180"/>
        <v>0</v>
      </c>
      <c r="M167" s="110">
        <f t="shared" si="180"/>
        <v>0</v>
      </c>
      <c r="N167" s="110">
        <f t="shared" si="180"/>
        <v>0</v>
      </c>
      <c r="O167" s="30">
        <f t="shared" si="125"/>
        <v>0</v>
      </c>
      <c r="P167" s="100">
        <f t="shared" si="126"/>
        <v>0</v>
      </c>
      <c r="Q167" s="110">
        <f t="shared" si="178"/>
        <v>0</v>
      </c>
      <c r="R167" s="110">
        <f t="shared" si="178"/>
        <v>0</v>
      </c>
      <c r="S167" s="110">
        <f t="shared" si="178"/>
        <v>0</v>
      </c>
    </row>
    <row r="168" spans="1:19" ht="17.25" customHeight="1">
      <c r="A168" s="12"/>
      <c r="B168" s="116" t="s">
        <v>143</v>
      </c>
      <c r="C168" s="135" t="s">
        <v>68</v>
      </c>
      <c r="D168" s="110">
        <f t="shared" si="178"/>
        <v>0</v>
      </c>
      <c r="E168" s="110">
        <f t="shared" si="178"/>
        <v>-16743.59</v>
      </c>
      <c r="F168" s="110">
        <f t="shared" si="178"/>
        <v>0</v>
      </c>
      <c r="G168" s="110">
        <f t="shared" si="178"/>
        <v>-16743.59</v>
      </c>
      <c r="H168" s="111">
        <f t="shared" ref="H168" si="181">H65</f>
        <v>0</v>
      </c>
      <c r="I168" s="110">
        <f t="shared" si="178"/>
        <v>0</v>
      </c>
      <c r="J168" s="110">
        <f t="shared" si="178"/>
        <v>-40376</v>
      </c>
      <c r="K168" s="199">
        <f t="shared" ref="K168:N168" si="182">K65</f>
        <v>-6746</v>
      </c>
      <c r="L168" s="110">
        <f t="shared" si="182"/>
        <v>-9395</v>
      </c>
      <c r="M168" s="110">
        <f t="shared" si="182"/>
        <v>-12837</v>
      </c>
      <c r="N168" s="110">
        <f t="shared" si="182"/>
        <v>-11398</v>
      </c>
      <c r="O168" s="30">
        <f t="shared" si="125"/>
        <v>-40376</v>
      </c>
      <c r="P168" s="100">
        <f t="shared" si="126"/>
        <v>0</v>
      </c>
      <c r="Q168" s="110">
        <f t="shared" si="178"/>
        <v>-24075</v>
      </c>
      <c r="R168" s="110">
        <f t="shared" si="178"/>
        <v>-13010</v>
      </c>
      <c r="S168" s="110">
        <f t="shared" si="178"/>
        <v>-16042</v>
      </c>
    </row>
    <row r="169" spans="1:19" ht="15.75" customHeight="1">
      <c r="A169" s="12"/>
      <c r="B169" s="116" t="s">
        <v>70</v>
      </c>
      <c r="C169" s="135" t="s">
        <v>71</v>
      </c>
      <c r="D169" s="46"/>
      <c r="E169" s="30"/>
      <c r="F169" s="46"/>
      <c r="G169" s="30"/>
      <c r="H169" s="31"/>
      <c r="I169" s="30"/>
      <c r="J169" s="30"/>
      <c r="K169" s="64"/>
      <c r="L169" s="30"/>
      <c r="M169" s="30"/>
      <c r="N169" s="30"/>
      <c r="O169" s="30">
        <f t="shared" si="125"/>
        <v>0</v>
      </c>
      <c r="P169" s="100">
        <f t="shared" si="126"/>
        <v>0</v>
      </c>
      <c r="Q169" s="30"/>
      <c r="R169" s="30"/>
      <c r="S169" s="30"/>
    </row>
    <row r="170" spans="1:19" ht="16.5" hidden="1" customHeight="1">
      <c r="A170" s="12">
        <v>7</v>
      </c>
      <c r="B170" s="129" t="s">
        <v>72</v>
      </c>
      <c r="C170" s="135">
        <v>39.020000000000003</v>
      </c>
      <c r="D170" s="46"/>
      <c r="E170" s="30"/>
      <c r="F170" s="46"/>
      <c r="G170" s="30"/>
      <c r="H170" s="31"/>
      <c r="I170" s="30"/>
      <c r="J170" s="30"/>
      <c r="K170" s="64"/>
      <c r="L170" s="30"/>
      <c r="M170" s="30"/>
      <c r="N170" s="30"/>
      <c r="O170" s="30">
        <f t="shared" si="125"/>
        <v>0</v>
      </c>
      <c r="P170" s="100">
        <f t="shared" si="126"/>
        <v>0</v>
      </c>
      <c r="Q170" s="30"/>
      <c r="R170" s="30"/>
      <c r="S170" s="30"/>
    </row>
    <row r="171" spans="1:19" ht="14.25" hidden="1" customHeight="1">
      <c r="A171" s="12"/>
      <c r="B171" s="116" t="s">
        <v>73</v>
      </c>
      <c r="C171" s="135" t="s">
        <v>74</v>
      </c>
      <c r="D171" s="46"/>
      <c r="E171" s="30"/>
      <c r="F171" s="46"/>
      <c r="G171" s="30"/>
      <c r="H171" s="31"/>
      <c r="I171" s="30"/>
      <c r="J171" s="30"/>
      <c r="K171" s="64"/>
      <c r="L171" s="30"/>
      <c r="M171" s="30"/>
      <c r="N171" s="30"/>
      <c r="O171" s="30">
        <f t="shared" si="125"/>
        <v>0</v>
      </c>
      <c r="P171" s="100">
        <f t="shared" si="126"/>
        <v>0</v>
      </c>
      <c r="Q171" s="30"/>
      <c r="R171" s="30"/>
      <c r="S171" s="30"/>
    </row>
    <row r="172" spans="1:19" ht="14.25" hidden="1" customHeight="1">
      <c r="A172" s="12"/>
      <c r="B172" s="116" t="s">
        <v>144</v>
      </c>
      <c r="C172" s="135">
        <v>40.020000000000003</v>
      </c>
      <c r="D172" s="46"/>
      <c r="E172" s="30"/>
      <c r="F172" s="46"/>
      <c r="G172" s="30"/>
      <c r="H172" s="31"/>
      <c r="I172" s="30"/>
      <c r="J172" s="30"/>
      <c r="K172" s="64"/>
      <c r="L172" s="30"/>
      <c r="M172" s="30"/>
      <c r="N172" s="30"/>
      <c r="O172" s="30">
        <f t="shared" si="125"/>
        <v>0</v>
      </c>
      <c r="P172" s="100">
        <f t="shared" si="126"/>
        <v>0</v>
      </c>
      <c r="Q172" s="30"/>
      <c r="R172" s="30"/>
      <c r="S172" s="30"/>
    </row>
    <row r="173" spans="1:19" ht="17.25" customHeight="1">
      <c r="A173" s="96" t="s">
        <v>79</v>
      </c>
      <c r="B173" s="129" t="s">
        <v>80</v>
      </c>
      <c r="C173" s="135" t="s">
        <v>81</v>
      </c>
      <c r="D173" s="101">
        <f t="shared" ref="D173:S173" si="183">D174</f>
        <v>8441.5</v>
      </c>
      <c r="E173" s="101">
        <f t="shared" si="183"/>
        <v>6606</v>
      </c>
      <c r="F173" s="101">
        <f t="shared" si="183"/>
        <v>5634</v>
      </c>
      <c r="G173" s="101">
        <f t="shared" si="183"/>
        <v>6606</v>
      </c>
      <c r="H173" s="109">
        <f t="shared" si="183"/>
        <v>5989</v>
      </c>
      <c r="I173" s="101">
        <f t="shared" si="183"/>
        <v>1450</v>
      </c>
      <c r="J173" s="101">
        <f t="shared" si="183"/>
        <v>6450</v>
      </c>
      <c r="K173" s="195">
        <f t="shared" si="183"/>
        <v>1800</v>
      </c>
      <c r="L173" s="101">
        <f t="shared" si="183"/>
        <v>1700</v>
      </c>
      <c r="M173" s="101">
        <f t="shared" si="183"/>
        <v>1700</v>
      </c>
      <c r="N173" s="101">
        <f t="shared" si="183"/>
        <v>1250</v>
      </c>
      <c r="O173" s="30">
        <f t="shared" si="125"/>
        <v>6450</v>
      </c>
      <c r="P173" s="100">
        <f t="shared" si="126"/>
        <v>0</v>
      </c>
      <c r="Q173" s="101">
        <f t="shared" si="183"/>
        <v>6450</v>
      </c>
      <c r="R173" s="101">
        <f t="shared" si="183"/>
        <v>6450</v>
      </c>
      <c r="S173" s="101">
        <f t="shared" si="183"/>
        <v>6450</v>
      </c>
    </row>
    <row r="174" spans="1:19" ht="16.5" customHeight="1">
      <c r="A174" s="12"/>
      <c r="B174" s="116" t="s">
        <v>82</v>
      </c>
      <c r="C174" s="135">
        <v>42.02</v>
      </c>
      <c r="D174" s="100">
        <f t="shared" ref="D174:S174" si="184">D178+D179+D180+D182+D183+D186</f>
        <v>8441.5</v>
      </c>
      <c r="E174" s="100">
        <f t="shared" si="184"/>
        <v>6606</v>
      </c>
      <c r="F174" s="100">
        <f t="shared" si="184"/>
        <v>5634</v>
      </c>
      <c r="G174" s="100">
        <f t="shared" si="184"/>
        <v>6606</v>
      </c>
      <c r="H174" s="115">
        <f t="shared" ref="H174" si="185">H178+H179+H180+H182+H183+H186</f>
        <v>5989</v>
      </c>
      <c r="I174" s="100">
        <f t="shared" si="184"/>
        <v>1450</v>
      </c>
      <c r="J174" s="100">
        <f t="shared" si="184"/>
        <v>6450</v>
      </c>
      <c r="K174" s="194">
        <f t="shared" ref="K174:N174" si="186">K178+K179+K180+K182+K183+K186</f>
        <v>1800</v>
      </c>
      <c r="L174" s="100">
        <f t="shared" si="186"/>
        <v>1700</v>
      </c>
      <c r="M174" s="100">
        <f t="shared" si="186"/>
        <v>1700</v>
      </c>
      <c r="N174" s="100">
        <f t="shared" si="186"/>
        <v>1250</v>
      </c>
      <c r="O174" s="30">
        <f t="shared" si="125"/>
        <v>6450</v>
      </c>
      <c r="P174" s="100">
        <f t="shared" si="126"/>
        <v>0</v>
      </c>
      <c r="Q174" s="100">
        <f t="shared" si="184"/>
        <v>6450</v>
      </c>
      <c r="R174" s="100">
        <f t="shared" si="184"/>
        <v>6450</v>
      </c>
      <c r="S174" s="100">
        <f t="shared" si="184"/>
        <v>6450</v>
      </c>
    </row>
    <row r="175" spans="1:19" ht="20.25" hidden="1" customHeight="1">
      <c r="A175" s="12"/>
      <c r="B175" s="116" t="s">
        <v>83</v>
      </c>
      <c r="C175" s="135" t="s">
        <v>84</v>
      </c>
      <c r="D175" s="46"/>
      <c r="E175" s="30"/>
      <c r="F175" s="46"/>
      <c r="G175" s="30"/>
      <c r="H175" s="31"/>
      <c r="I175" s="30"/>
      <c r="J175" s="30"/>
      <c r="K175" s="64"/>
      <c r="L175" s="30"/>
      <c r="M175" s="30"/>
      <c r="N175" s="30"/>
      <c r="O175" s="30">
        <f t="shared" si="125"/>
        <v>0</v>
      </c>
      <c r="P175" s="100">
        <f t="shared" si="126"/>
        <v>0</v>
      </c>
      <c r="Q175" s="30"/>
      <c r="R175" s="30"/>
      <c r="S175" s="30"/>
    </row>
    <row r="176" spans="1:19" ht="19.5" hidden="1" customHeight="1">
      <c r="A176" s="12"/>
      <c r="B176" s="116" t="s">
        <v>95</v>
      </c>
      <c r="C176" s="135" t="s">
        <v>96</v>
      </c>
      <c r="D176" s="46"/>
      <c r="E176" s="30"/>
      <c r="F176" s="46"/>
      <c r="G176" s="30"/>
      <c r="H176" s="31"/>
      <c r="I176" s="30"/>
      <c r="J176" s="30"/>
      <c r="K176" s="64"/>
      <c r="L176" s="30"/>
      <c r="M176" s="30"/>
      <c r="N176" s="30"/>
      <c r="O176" s="30">
        <f t="shared" si="125"/>
        <v>0</v>
      </c>
      <c r="P176" s="100">
        <f t="shared" si="126"/>
        <v>0</v>
      </c>
      <c r="Q176" s="30"/>
      <c r="R176" s="30"/>
      <c r="S176" s="30"/>
    </row>
    <row r="177" spans="1:19" ht="17.25" hidden="1" customHeight="1">
      <c r="A177" s="12"/>
      <c r="B177" s="116" t="s">
        <v>97</v>
      </c>
      <c r="C177" s="135" t="s">
        <v>98</v>
      </c>
      <c r="D177" s="46"/>
      <c r="E177" s="30"/>
      <c r="F177" s="46"/>
      <c r="G177" s="30"/>
      <c r="H177" s="31"/>
      <c r="I177" s="30"/>
      <c r="J177" s="30"/>
      <c r="K177" s="64"/>
      <c r="L177" s="30"/>
      <c r="M177" s="30"/>
      <c r="N177" s="30"/>
      <c r="O177" s="30">
        <f t="shared" si="125"/>
        <v>0</v>
      </c>
      <c r="P177" s="100">
        <f t="shared" si="126"/>
        <v>0</v>
      </c>
      <c r="Q177" s="30"/>
      <c r="R177" s="30"/>
      <c r="S177" s="30"/>
    </row>
    <row r="178" spans="1:19" ht="16.5" customHeight="1">
      <c r="A178" s="12"/>
      <c r="B178" s="116" t="s">
        <v>99</v>
      </c>
      <c r="C178" s="135" t="s">
        <v>100</v>
      </c>
      <c r="D178" s="114">
        <f t="shared" ref="D178:S179" si="187">D85</f>
        <v>735.7</v>
      </c>
      <c r="E178" s="114">
        <f t="shared" si="187"/>
        <v>1598</v>
      </c>
      <c r="F178" s="114">
        <f t="shared" si="187"/>
        <v>1610</v>
      </c>
      <c r="G178" s="114">
        <f t="shared" si="187"/>
        <v>1598</v>
      </c>
      <c r="H178" s="122">
        <f t="shared" ref="H178" si="188">H85</f>
        <v>1011</v>
      </c>
      <c r="I178" s="114">
        <f t="shared" si="187"/>
        <v>1450</v>
      </c>
      <c r="J178" s="114">
        <f t="shared" si="187"/>
        <v>1450</v>
      </c>
      <c r="K178" s="202">
        <f t="shared" ref="K178:N178" si="189">K85</f>
        <v>550</v>
      </c>
      <c r="L178" s="114">
        <f t="shared" si="189"/>
        <v>450</v>
      </c>
      <c r="M178" s="114">
        <f t="shared" si="189"/>
        <v>450</v>
      </c>
      <c r="N178" s="114">
        <f t="shared" si="189"/>
        <v>0</v>
      </c>
      <c r="O178" s="30">
        <f t="shared" si="125"/>
        <v>1450</v>
      </c>
      <c r="P178" s="100">
        <f t="shared" si="126"/>
        <v>0</v>
      </c>
      <c r="Q178" s="114">
        <f t="shared" si="187"/>
        <v>1450</v>
      </c>
      <c r="R178" s="114">
        <f t="shared" si="187"/>
        <v>1450</v>
      </c>
      <c r="S178" s="114">
        <f t="shared" si="187"/>
        <v>1450</v>
      </c>
    </row>
    <row r="179" spans="1:19" ht="15" hidden="1" customHeight="1">
      <c r="A179" s="12"/>
      <c r="B179" s="116" t="s">
        <v>101</v>
      </c>
      <c r="C179" s="135" t="s">
        <v>102</v>
      </c>
      <c r="D179" s="104">
        <f t="shared" si="187"/>
        <v>2558</v>
      </c>
      <c r="E179" s="30"/>
      <c r="F179" s="104">
        <f t="shared" si="187"/>
        <v>0</v>
      </c>
      <c r="G179" s="30"/>
      <c r="H179" s="31"/>
      <c r="I179" s="30"/>
      <c r="J179" s="30"/>
      <c r="K179" s="64"/>
      <c r="L179" s="30"/>
      <c r="M179" s="30"/>
      <c r="N179" s="30"/>
      <c r="O179" s="30">
        <f t="shared" si="125"/>
        <v>0</v>
      </c>
      <c r="P179" s="100">
        <f t="shared" si="126"/>
        <v>0</v>
      </c>
      <c r="Q179" s="30"/>
      <c r="R179" s="30"/>
      <c r="S179" s="30"/>
    </row>
    <row r="180" spans="1:19" ht="18" customHeight="1">
      <c r="A180" s="12"/>
      <c r="B180" s="116" t="s">
        <v>145</v>
      </c>
      <c r="C180" s="135" t="s">
        <v>108</v>
      </c>
      <c r="D180" s="104">
        <f t="shared" ref="D180:S180" si="190">D89</f>
        <v>5147.8</v>
      </c>
      <c r="E180" s="104">
        <f t="shared" si="190"/>
        <v>5008</v>
      </c>
      <c r="F180" s="104">
        <f t="shared" si="190"/>
        <v>4024</v>
      </c>
      <c r="G180" s="104">
        <f t="shared" si="190"/>
        <v>5008</v>
      </c>
      <c r="H180" s="117">
        <f t="shared" ref="H180" si="191">H89</f>
        <v>4978</v>
      </c>
      <c r="I180" s="104">
        <f t="shared" si="190"/>
        <v>0</v>
      </c>
      <c r="J180" s="104">
        <f t="shared" si="190"/>
        <v>5000</v>
      </c>
      <c r="K180" s="196">
        <f t="shared" ref="K180:N180" si="192">K89</f>
        <v>1250</v>
      </c>
      <c r="L180" s="104">
        <f t="shared" si="192"/>
        <v>1250</v>
      </c>
      <c r="M180" s="104">
        <f t="shared" si="192"/>
        <v>1250</v>
      </c>
      <c r="N180" s="104">
        <f t="shared" si="192"/>
        <v>1250</v>
      </c>
      <c r="O180" s="30">
        <f t="shared" si="125"/>
        <v>5000</v>
      </c>
      <c r="P180" s="100">
        <f t="shared" si="126"/>
        <v>0</v>
      </c>
      <c r="Q180" s="104">
        <f t="shared" si="190"/>
        <v>5000</v>
      </c>
      <c r="R180" s="104">
        <f t="shared" si="190"/>
        <v>5000</v>
      </c>
      <c r="S180" s="104">
        <f t="shared" si="190"/>
        <v>5000</v>
      </c>
    </row>
    <row r="181" spans="1:19" ht="29.25" hidden="1" customHeight="1">
      <c r="A181" s="12"/>
      <c r="B181" s="116" t="s">
        <v>103</v>
      </c>
      <c r="C181" s="135" t="s">
        <v>104</v>
      </c>
      <c r="D181" s="46"/>
      <c r="E181" s="30"/>
      <c r="F181" s="46"/>
      <c r="G181" s="30"/>
      <c r="H181" s="31"/>
      <c r="I181" s="30"/>
      <c r="J181" s="30"/>
      <c r="K181" s="64"/>
      <c r="L181" s="30"/>
      <c r="M181" s="30"/>
      <c r="N181" s="30"/>
      <c r="O181" s="30">
        <f t="shared" si="125"/>
        <v>0</v>
      </c>
      <c r="P181" s="100">
        <f t="shared" si="126"/>
        <v>0</v>
      </c>
      <c r="Q181" s="30"/>
      <c r="R181" s="30"/>
      <c r="S181" s="30"/>
    </row>
    <row r="182" spans="1:19" ht="29.25" hidden="1" customHeight="1">
      <c r="A182" s="12"/>
      <c r="B182" s="116" t="s">
        <v>105</v>
      </c>
      <c r="C182" s="135" t="s">
        <v>106</v>
      </c>
      <c r="D182" s="46"/>
      <c r="E182" s="30"/>
      <c r="F182" s="46"/>
      <c r="G182" s="30"/>
      <c r="H182" s="31"/>
      <c r="I182" s="30"/>
      <c r="J182" s="30"/>
      <c r="K182" s="64"/>
      <c r="L182" s="30"/>
      <c r="M182" s="30"/>
      <c r="N182" s="30"/>
      <c r="O182" s="30">
        <f t="shared" si="125"/>
        <v>0</v>
      </c>
      <c r="P182" s="100">
        <f t="shared" si="126"/>
        <v>0</v>
      </c>
      <c r="Q182" s="30"/>
      <c r="R182" s="30"/>
      <c r="S182" s="30"/>
    </row>
    <row r="183" spans="1:19" ht="29.25" hidden="1" customHeight="1">
      <c r="A183" s="12"/>
      <c r="B183" s="116" t="s">
        <v>109</v>
      </c>
      <c r="C183" s="135" t="s">
        <v>110</v>
      </c>
      <c r="D183" s="46"/>
      <c r="E183" s="30"/>
      <c r="F183" s="46"/>
      <c r="G183" s="30"/>
      <c r="H183" s="31"/>
      <c r="I183" s="30"/>
      <c r="J183" s="30"/>
      <c r="K183" s="64"/>
      <c r="L183" s="30"/>
      <c r="M183" s="30"/>
      <c r="N183" s="30"/>
      <c r="O183" s="30">
        <f t="shared" si="125"/>
        <v>0</v>
      </c>
      <c r="P183" s="100">
        <f t="shared" si="126"/>
        <v>0</v>
      </c>
      <c r="Q183" s="30"/>
      <c r="R183" s="30"/>
      <c r="S183" s="30"/>
    </row>
    <row r="184" spans="1:19" ht="29.25" hidden="1" customHeight="1">
      <c r="A184" s="178"/>
      <c r="B184" s="116" t="s">
        <v>105</v>
      </c>
      <c r="C184" s="135" t="s">
        <v>106</v>
      </c>
      <c r="D184" s="46"/>
      <c r="E184" s="30"/>
      <c r="F184" s="46"/>
      <c r="G184" s="30"/>
      <c r="H184" s="31"/>
      <c r="I184" s="30"/>
      <c r="J184" s="30"/>
      <c r="K184" s="64"/>
      <c r="L184" s="30"/>
      <c r="M184" s="30"/>
      <c r="N184" s="30"/>
      <c r="O184" s="30">
        <f t="shared" si="125"/>
        <v>0</v>
      </c>
      <c r="P184" s="100">
        <f t="shared" si="126"/>
        <v>0</v>
      </c>
      <c r="Q184" s="30"/>
      <c r="R184" s="30"/>
      <c r="S184" s="30"/>
    </row>
    <row r="185" spans="1:19" ht="29.25" hidden="1" customHeight="1">
      <c r="A185" s="178"/>
      <c r="B185" s="35" t="s">
        <v>146</v>
      </c>
      <c r="C185" s="135" t="s">
        <v>114</v>
      </c>
      <c r="D185" s="46"/>
      <c r="E185" s="30"/>
      <c r="F185" s="46"/>
      <c r="G185" s="30"/>
      <c r="H185" s="31"/>
      <c r="I185" s="30"/>
      <c r="J185" s="30"/>
      <c r="K185" s="64"/>
      <c r="L185" s="30"/>
      <c r="M185" s="30"/>
      <c r="N185" s="30"/>
      <c r="O185" s="30">
        <f t="shared" si="125"/>
        <v>0</v>
      </c>
      <c r="P185" s="100">
        <f t="shared" si="126"/>
        <v>0</v>
      </c>
      <c r="Q185" s="30"/>
      <c r="R185" s="30"/>
      <c r="S185" s="30"/>
    </row>
    <row r="186" spans="1:19" ht="29.25" hidden="1" customHeight="1">
      <c r="A186" s="178"/>
      <c r="B186" s="35" t="s">
        <v>487</v>
      </c>
      <c r="C186" s="135" t="s">
        <v>514</v>
      </c>
      <c r="D186" s="46"/>
      <c r="E186" s="30"/>
      <c r="F186" s="46"/>
      <c r="G186" s="30"/>
      <c r="H186" s="31"/>
      <c r="I186" s="30"/>
      <c r="J186" s="30"/>
      <c r="K186" s="64"/>
      <c r="L186" s="30"/>
      <c r="M186" s="30"/>
      <c r="N186" s="30"/>
      <c r="O186" s="30">
        <f t="shared" si="125"/>
        <v>0</v>
      </c>
      <c r="P186" s="100">
        <f t="shared" si="126"/>
        <v>0</v>
      </c>
      <c r="Q186" s="30"/>
      <c r="R186" s="30"/>
      <c r="S186" s="30"/>
    </row>
    <row r="187" spans="1:19" ht="22.5" customHeight="1">
      <c r="A187" s="179"/>
      <c r="B187" s="232" t="s">
        <v>147</v>
      </c>
      <c r="C187" s="234"/>
      <c r="D187" s="130">
        <f t="shared" ref="D187:S187" si="193">D188+D190+D192+D193+D208+D191</f>
        <v>30458</v>
      </c>
      <c r="E187" s="130">
        <f t="shared" si="193"/>
        <v>153652.59</v>
      </c>
      <c r="F187" s="130">
        <f t="shared" si="193"/>
        <v>135544</v>
      </c>
      <c r="G187" s="130">
        <f t="shared" si="193"/>
        <v>153652.59</v>
      </c>
      <c r="H187" s="131">
        <f t="shared" ref="H187" si="194">H188+H190+H192+H193+H208+H191</f>
        <v>83914.510000000009</v>
      </c>
      <c r="I187" s="130">
        <f t="shared" si="193"/>
        <v>166928</v>
      </c>
      <c r="J187" s="130">
        <f t="shared" si="193"/>
        <v>301114</v>
      </c>
      <c r="K187" s="204">
        <f t="shared" ref="K187:N187" si="195">K188+K190+K192+K193+K208+K191</f>
        <v>16678</v>
      </c>
      <c r="L187" s="130">
        <f t="shared" si="195"/>
        <v>63839</v>
      </c>
      <c r="M187" s="130">
        <f t="shared" si="195"/>
        <v>112763</v>
      </c>
      <c r="N187" s="130">
        <f t="shared" si="195"/>
        <v>107834</v>
      </c>
      <c r="O187" s="30">
        <f t="shared" si="125"/>
        <v>301114</v>
      </c>
      <c r="P187" s="100">
        <f t="shared" si="126"/>
        <v>0</v>
      </c>
      <c r="Q187" s="130">
        <f t="shared" si="193"/>
        <v>110258</v>
      </c>
      <c r="R187" s="130">
        <f t="shared" si="193"/>
        <v>13010</v>
      </c>
      <c r="S187" s="130">
        <f t="shared" si="193"/>
        <v>16042</v>
      </c>
    </row>
    <row r="188" spans="1:19" ht="16.5" customHeight="1">
      <c r="A188" s="178"/>
      <c r="B188" s="116" t="s">
        <v>148</v>
      </c>
      <c r="C188" s="135" t="s">
        <v>149</v>
      </c>
      <c r="D188" s="110">
        <f t="shared" ref="D188:S188" si="196">D189</f>
        <v>0</v>
      </c>
      <c r="E188" s="110">
        <f t="shared" si="196"/>
        <v>16743.59</v>
      </c>
      <c r="F188" s="110">
        <f t="shared" si="196"/>
        <v>0</v>
      </c>
      <c r="G188" s="110">
        <f t="shared" si="196"/>
        <v>16743.59</v>
      </c>
      <c r="H188" s="111">
        <f t="shared" si="196"/>
        <v>0</v>
      </c>
      <c r="I188" s="110">
        <f t="shared" si="196"/>
        <v>0</v>
      </c>
      <c r="J188" s="110">
        <f t="shared" si="196"/>
        <v>40376</v>
      </c>
      <c r="K188" s="199">
        <f t="shared" si="196"/>
        <v>6746</v>
      </c>
      <c r="L188" s="110">
        <f t="shared" si="196"/>
        <v>9395</v>
      </c>
      <c r="M188" s="110">
        <f t="shared" si="196"/>
        <v>12837</v>
      </c>
      <c r="N188" s="110">
        <f t="shared" si="196"/>
        <v>11398</v>
      </c>
      <c r="O188" s="30">
        <f t="shared" si="125"/>
        <v>40376</v>
      </c>
      <c r="P188" s="100">
        <f t="shared" si="126"/>
        <v>0</v>
      </c>
      <c r="Q188" s="110">
        <f t="shared" si="196"/>
        <v>24075</v>
      </c>
      <c r="R188" s="110">
        <f t="shared" si="196"/>
        <v>13010</v>
      </c>
      <c r="S188" s="110">
        <f t="shared" si="196"/>
        <v>16042</v>
      </c>
    </row>
    <row r="189" spans="1:19" ht="18.75" customHeight="1">
      <c r="A189" s="178"/>
      <c r="B189" s="116" t="s">
        <v>143</v>
      </c>
      <c r="C189" s="135" t="s">
        <v>69</v>
      </c>
      <c r="D189" s="132">
        <f t="shared" ref="D189:S189" si="197">-D168</f>
        <v>0</v>
      </c>
      <c r="E189" s="132">
        <f t="shared" si="197"/>
        <v>16743.59</v>
      </c>
      <c r="F189" s="132">
        <f t="shared" si="197"/>
        <v>0</v>
      </c>
      <c r="G189" s="132">
        <f t="shared" si="197"/>
        <v>16743.59</v>
      </c>
      <c r="H189" s="133">
        <f t="shared" ref="H189" si="198">-H168</f>
        <v>0</v>
      </c>
      <c r="I189" s="132">
        <f t="shared" si="197"/>
        <v>0</v>
      </c>
      <c r="J189" s="132">
        <f t="shared" si="197"/>
        <v>40376</v>
      </c>
      <c r="K189" s="205">
        <f t="shared" ref="K189:N189" si="199">-K168</f>
        <v>6746</v>
      </c>
      <c r="L189" s="132">
        <f t="shared" si="199"/>
        <v>9395</v>
      </c>
      <c r="M189" s="132">
        <f t="shared" si="199"/>
        <v>12837</v>
      </c>
      <c r="N189" s="132">
        <f t="shared" si="199"/>
        <v>11398</v>
      </c>
      <c r="O189" s="30">
        <f t="shared" si="125"/>
        <v>40376</v>
      </c>
      <c r="P189" s="100">
        <f t="shared" si="126"/>
        <v>0</v>
      </c>
      <c r="Q189" s="132">
        <f t="shared" si="197"/>
        <v>24075</v>
      </c>
      <c r="R189" s="132">
        <f t="shared" si="197"/>
        <v>13010</v>
      </c>
      <c r="S189" s="132">
        <f t="shared" si="197"/>
        <v>16042</v>
      </c>
    </row>
    <row r="190" spans="1:19" ht="0.75" hidden="1" customHeight="1">
      <c r="A190" s="178"/>
      <c r="B190" s="116" t="s">
        <v>73</v>
      </c>
      <c r="C190" s="135" t="s">
        <v>74</v>
      </c>
      <c r="D190" s="46"/>
      <c r="E190" s="30"/>
      <c r="F190" s="46"/>
      <c r="G190" s="30"/>
      <c r="H190" s="31"/>
      <c r="I190" s="30"/>
      <c r="J190" s="30"/>
      <c r="K190" s="64"/>
      <c r="L190" s="30"/>
      <c r="M190" s="30"/>
      <c r="N190" s="30"/>
      <c r="O190" s="30">
        <f t="shared" si="125"/>
        <v>0</v>
      </c>
      <c r="P190" s="100">
        <f t="shared" si="126"/>
        <v>0</v>
      </c>
      <c r="Q190" s="30"/>
      <c r="R190" s="30"/>
      <c r="S190" s="30"/>
    </row>
    <row r="191" spans="1:19" ht="28.5" hidden="1" customHeight="1">
      <c r="A191" s="178"/>
      <c r="B191" s="116" t="s">
        <v>75</v>
      </c>
      <c r="C191" s="135" t="s">
        <v>76</v>
      </c>
      <c r="D191" s="46"/>
      <c r="E191" s="30"/>
      <c r="F191" s="46"/>
      <c r="G191" s="30"/>
      <c r="H191" s="31"/>
      <c r="I191" s="30"/>
      <c r="J191" s="30"/>
      <c r="K191" s="64"/>
      <c r="L191" s="30"/>
      <c r="M191" s="30"/>
      <c r="N191" s="30"/>
      <c r="O191" s="30">
        <f t="shared" si="125"/>
        <v>0</v>
      </c>
      <c r="P191" s="100">
        <f t="shared" si="126"/>
        <v>0</v>
      </c>
      <c r="Q191" s="30"/>
      <c r="R191" s="30"/>
      <c r="S191" s="30"/>
    </row>
    <row r="192" spans="1:19" ht="13.5" hidden="1" customHeight="1">
      <c r="A192" s="178"/>
      <c r="B192" s="116" t="s">
        <v>144</v>
      </c>
      <c r="C192" s="135">
        <v>40.020000000000003</v>
      </c>
      <c r="D192" s="46"/>
      <c r="E192" s="30"/>
      <c r="F192" s="46"/>
      <c r="G192" s="30"/>
      <c r="H192" s="31"/>
      <c r="I192" s="30"/>
      <c r="J192" s="30"/>
      <c r="K192" s="64"/>
      <c r="L192" s="30"/>
      <c r="M192" s="30"/>
      <c r="N192" s="30"/>
      <c r="O192" s="30">
        <f t="shared" si="125"/>
        <v>0</v>
      </c>
      <c r="P192" s="100">
        <f t="shared" si="126"/>
        <v>0</v>
      </c>
      <c r="Q192" s="30"/>
      <c r="R192" s="30"/>
      <c r="S192" s="30"/>
    </row>
    <row r="193" spans="1:19" ht="21" customHeight="1">
      <c r="A193" s="178"/>
      <c r="B193" s="129" t="s">
        <v>80</v>
      </c>
      <c r="C193" s="135" t="s">
        <v>150</v>
      </c>
      <c r="D193" s="110">
        <f t="shared" ref="D193:S193" si="200">D194+D195+D196+D197+D198+D201+D202+D203+D204</f>
        <v>24626.7</v>
      </c>
      <c r="E193" s="110">
        <f t="shared" si="200"/>
        <v>49489</v>
      </c>
      <c r="F193" s="110">
        <f t="shared" si="200"/>
        <v>48549</v>
      </c>
      <c r="G193" s="110">
        <f t="shared" si="200"/>
        <v>49489</v>
      </c>
      <c r="H193" s="111">
        <f t="shared" ref="H193" si="201">H194+H195+H196+H197+H198+H201+H202+H203+H204</f>
        <v>25546</v>
      </c>
      <c r="I193" s="110">
        <f t="shared" si="200"/>
        <v>26261</v>
      </c>
      <c r="J193" s="110">
        <f t="shared" si="200"/>
        <v>120074</v>
      </c>
      <c r="K193" s="199">
        <f t="shared" ref="K193:N193" si="202">K194+K195+K196+K197+K198+K201+K202+K203+K204</f>
        <v>2603</v>
      </c>
      <c r="L193" s="110">
        <f t="shared" si="202"/>
        <v>8972</v>
      </c>
      <c r="M193" s="110">
        <f t="shared" si="202"/>
        <v>48486</v>
      </c>
      <c r="N193" s="110">
        <f t="shared" si="202"/>
        <v>60013</v>
      </c>
      <c r="O193" s="30">
        <f t="shared" si="125"/>
        <v>120074</v>
      </c>
      <c r="P193" s="100">
        <f t="shared" si="126"/>
        <v>0</v>
      </c>
      <c r="Q193" s="110">
        <f t="shared" si="200"/>
        <v>14260</v>
      </c>
      <c r="R193" s="110">
        <f t="shared" si="200"/>
        <v>0</v>
      </c>
      <c r="S193" s="110">
        <f t="shared" si="200"/>
        <v>0</v>
      </c>
    </row>
    <row r="194" spans="1:19" ht="21" hidden="1" customHeight="1">
      <c r="A194" s="178"/>
      <c r="B194" s="116" t="s">
        <v>83</v>
      </c>
      <c r="C194" s="135" t="s">
        <v>84</v>
      </c>
      <c r="D194" s="46"/>
      <c r="E194" s="30"/>
      <c r="F194" s="46"/>
      <c r="G194" s="30"/>
      <c r="H194" s="31"/>
      <c r="I194" s="30"/>
      <c r="J194" s="30"/>
      <c r="K194" s="64"/>
      <c r="L194" s="30"/>
      <c r="M194" s="30"/>
      <c r="N194" s="30"/>
      <c r="O194" s="30">
        <f t="shared" si="125"/>
        <v>0</v>
      </c>
      <c r="P194" s="100">
        <f t="shared" si="126"/>
        <v>0</v>
      </c>
      <c r="Q194" s="30"/>
      <c r="R194" s="30"/>
      <c r="S194" s="30"/>
    </row>
    <row r="195" spans="1:19" ht="21" hidden="1" customHeight="1">
      <c r="A195" s="178"/>
      <c r="B195" s="116" t="s">
        <v>87</v>
      </c>
      <c r="C195" s="135" t="s">
        <v>88</v>
      </c>
      <c r="D195" s="104">
        <f t="shared" ref="D195:S195" si="203">D79</f>
        <v>2857</v>
      </c>
      <c r="E195" s="104">
        <f t="shared" si="203"/>
        <v>875</v>
      </c>
      <c r="F195" s="104">
        <f t="shared" si="203"/>
        <v>0</v>
      </c>
      <c r="G195" s="104">
        <f t="shared" si="203"/>
        <v>875</v>
      </c>
      <c r="H195" s="117">
        <f t="shared" ref="H195" si="204">H79</f>
        <v>83</v>
      </c>
      <c r="I195" s="104">
        <f t="shared" si="203"/>
        <v>0</v>
      </c>
      <c r="J195" s="104">
        <f t="shared" si="203"/>
        <v>0</v>
      </c>
      <c r="K195" s="196">
        <f t="shared" ref="K195:N195" si="205">K79</f>
        <v>0</v>
      </c>
      <c r="L195" s="104">
        <f t="shared" si="205"/>
        <v>0</v>
      </c>
      <c r="M195" s="104">
        <f t="shared" si="205"/>
        <v>0</v>
      </c>
      <c r="N195" s="104">
        <f t="shared" si="205"/>
        <v>0</v>
      </c>
      <c r="O195" s="30">
        <f t="shared" si="125"/>
        <v>0</v>
      </c>
      <c r="P195" s="100">
        <f t="shared" si="126"/>
        <v>0</v>
      </c>
      <c r="Q195" s="104">
        <f t="shared" si="203"/>
        <v>0</v>
      </c>
      <c r="R195" s="104">
        <f t="shared" si="203"/>
        <v>0</v>
      </c>
      <c r="S195" s="104">
        <f t="shared" si="203"/>
        <v>0</v>
      </c>
    </row>
    <row r="196" spans="1:19" ht="21" hidden="1" customHeight="1">
      <c r="A196" s="178"/>
      <c r="B196" s="116" t="s">
        <v>89</v>
      </c>
      <c r="C196" s="135" t="s">
        <v>90</v>
      </c>
      <c r="D196" s="46"/>
      <c r="E196" s="30"/>
      <c r="F196" s="46"/>
      <c r="G196" s="30"/>
      <c r="H196" s="31"/>
      <c r="I196" s="30"/>
      <c r="J196" s="30"/>
      <c r="K196" s="64"/>
      <c r="L196" s="30"/>
      <c r="M196" s="30"/>
      <c r="N196" s="30"/>
      <c r="O196" s="30">
        <f t="shared" si="125"/>
        <v>0</v>
      </c>
      <c r="P196" s="100">
        <f t="shared" si="126"/>
        <v>0</v>
      </c>
      <c r="Q196" s="30"/>
      <c r="R196" s="30"/>
      <c r="S196" s="30"/>
    </row>
    <row r="197" spans="1:19" ht="27.75" hidden="1" customHeight="1">
      <c r="A197" s="178"/>
      <c r="B197" s="120" t="s">
        <v>93</v>
      </c>
      <c r="C197" s="135" t="s">
        <v>94</v>
      </c>
      <c r="D197" s="46"/>
      <c r="E197" s="30"/>
      <c r="F197" s="46"/>
      <c r="G197" s="30"/>
      <c r="H197" s="31"/>
      <c r="I197" s="30"/>
      <c r="J197" s="30"/>
      <c r="K197" s="64"/>
      <c r="L197" s="30"/>
      <c r="M197" s="30"/>
      <c r="N197" s="30"/>
      <c r="O197" s="30">
        <f t="shared" si="125"/>
        <v>0</v>
      </c>
      <c r="P197" s="100">
        <f t="shared" si="126"/>
        <v>0</v>
      </c>
      <c r="Q197" s="30"/>
      <c r="R197" s="30"/>
      <c r="S197" s="30"/>
    </row>
    <row r="198" spans="1:19" ht="24" hidden="1" customHeight="1">
      <c r="A198" s="178"/>
      <c r="B198" s="116" t="s">
        <v>151</v>
      </c>
      <c r="C198" s="135" t="s">
        <v>98</v>
      </c>
      <c r="D198" s="104">
        <f t="shared" ref="D198:S198" si="206">D84</f>
        <v>0</v>
      </c>
      <c r="E198" s="104">
        <f t="shared" si="206"/>
        <v>0</v>
      </c>
      <c r="F198" s="104">
        <f t="shared" si="206"/>
        <v>0</v>
      </c>
      <c r="G198" s="104">
        <f t="shared" si="206"/>
        <v>0</v>
      </c>
      <c r="H198" s="117">
        <f t="shared" ref="H198" si="207">H84</f>
        <v>0</v>
      </c>
      <c r="I198" s="104">
        <f t="shared" si="206"/>
        <v>0</v>
      </c>
      <c r="J198" s="104">
        <f t="shared" si="206"/>
        <v>0</v>
      </c>
      <c r="K198" s="196">
        <f t="shared" ref="K198:N198" si="208">K84</f>
        <v>0</v>
      </c>
      <c r="L198" s="104">
        <f t="shared" si="208"/>
        <v>0</v>
      </c>
      <c r="M198" s="104">
        <f t="shared" si="208"/>
        <v>0</v>
      </c>
      <c r="N198" s="104">
        <f t="shared" si="208"/>
        <v>0</v>
      </c>
      <c r="O198" s="30">
        <f t="shared" si="125"/>
        <v>0</v>
      </c>
      <c r="P198" s="100">
        <f t="shared" si="126"/>
        <v>0</v>
      </c>
      <c r="Q198" s="104">
        <f t="shared" si="206"/>
        <v>0</v>
      </c>
      <c r="R198" s="104">
        <f t="shared" si="206"/>
        <v>0</v>
      </c>
      <c r="S198" s="104">
        <f t="shared" si="206"/>
        <v>0</v>
      </c>
    </row>
    <row r="199" spans="1:19" ht="24" hidden="1" customHeight="1">
      <c r="A199" s="178"/>
      <c r="B199" s="116" t="s">
        <v>105</v>
      </c>
      <c r="C199" s="135" t="s">
        <v>106</v>
      </c>
      <c r="D199" s="46"/>
      <c r="E199" s="30"/>
      <c r="F199" s="46"/>
      <c r="G199" s="30"/>
      <c r="H199" s="31"/>
      <c r="I199" s="30"/>
      <c r="J199" s="30"/>
      <c r="K199" s="64"/>
      <c r="L199" s="30"/>
      <c r="M199" s="30"/>
      <c r="N199" s="30"/>
      <c r="O199" s="30">
        <f t="shared" si="125"/>
        <v>0</v>
      </c>
      <c r="P199" s="100">
        <f t="shared" si="126"/>
        <v>0</v>
      </c>
      <c r="Q199" s="30"/>
      <c r="R199" s="30"/>
      <c r="S199" s="30"/>
    </row>
    <row r="200" spans="1:19" ht="24" hidden="1" customHeight="1">
      <c r="A200" s="178"/>
      <c r="B200" s="116" t="s">
        <v>111</v>
      </c>
      <c r="C200" s="135" t="s">
        <v>112</v>
      </c>
      <c r="D200" s="46"/>
      <c r="E200" s="30"/>
      <c r="F200" s="46"/>
      <c r="G200" s="30"/>
      <c r="H200" s="31"/>
      <c r="I200" s="30"/>
      <c r="J200" s="30"/>
      <c r="K200" s="64"/>
      <c r="L200" s="30"/>
      <c r="M200" s="30"/>
      <c r="N200" s="30"/>
      <c r="O200" s="30">
        <f t="shared" si="125"/>
        <v>0</v>
      </c>
      <c r="P200" s="100">
        <f t="shared" si="126"/>
        <v>0</v>
      </c>
      <c r="Q200" s="30"/>
      <c r="R200" s="30"/>
      <c r="S200" s="30"/>
    </row>
    <row r="201" spans="1:19" ht="27" hidden="1" customHeight="1">
      <c r="A201" s="178"/>
      <c r="B201" s="35" t="s">
        <v>115</v>
      </c>
      <c r="C201" s="135" t="s">
        <v>116</v>
      </c>
      <c r="D201" s="104">
        <f t="shared" ref="D201:S201" si="209">D93</f>
        <v>0</v>
      </c>
      <c r="E201" s="104">
        <f t="shared" si="209"/>
        <v>0</v>
      </c>
      <c r="F201" s="104">
        <f t="shared" si="209"/>
        <v>0</v>
      </c>
      <c r="G201" s="104">
        <f t="shared" si="209"/>
        <v>0</v>
      </c>
      <c r="H201" s="117">
        <f t="shared" ref="H201" si="210">H93</f>
        <v>0</v>
      </c>
      <c r="I201" s="104">
        <f t="shared" si="209"/>
        <v>0</v>
      </c>
      <c r="J201" s="104">
        <f t="shared" si="209"/>
        <v>0</v>
      </c>
      <c r="K201" s="196">
        <f t="shared" ref="K201:N201" si="211">K93</f>
        <v>0</v>
      </c>
      <c r="L201" s="104">
        <f t="shared" si="211"/>
        <v>0</v>
      </c>
      <c r="M201" s="104">
        <f t="shared" si="211"/>
        <v>0</v>
      </c>
      <c r="N201" s="104">
        <f t="shared" si="211"/>
        <v>0</v>
      </c>
      <c r="O201" s="30">
        <f t="shared" si="125"/>
        <v>0</v>
      </c>
      <c r="P201" s="100">
        <f t="shared" si="126"/>
        <v>0</v>
      </c>
      <c r="Q201" s="104">
        <f t="shared" si="209"/>
        <v>0</v>
      </c>
      <c r="R201" s="104">
        <f t="shared" si="209"/>
        <v>0</v>
      </c>
      <c r="S201" s="104">
        <f t="shared" si="209"/>
        <v>0</v>
      </c>
    </row>
    <row r="202" spans="1:19" ht="30" hidden="1" customHeight="1">
      <c r="A202" s="178"/>
      <c r="B202" s="35" t="s">
        <v>117</v>
      </c>
      <c r="C202" s="135" t="s">
        <v>118</v>
      </c>
      <c r="D202" s="46"/>
      <c r="E202" s="30"/>
      <c r="F202" s="46"/>
      <c r="G202" s="30"/>
      <c r="H202" s="31"/>
      <c r="I202" s="30"/>
      <c r="J202" s="30"/>
      <c r="K202" s="64"/>
      <c r="L202" s="30"/>
      <c r="M202" s="30"/>
      <c r="N202" s="30"/>
      <c r="O202" s="30">
        <f t="shared" si="125"/>
        <v>0</v>
      </c>
      <c r="P202" s="100">
        <f t="shared" si="126"/>
        <v>0</v>
      </c>
      <c r="Q202" s="30"/>
      <c r="R202" s="30"/>
      <c r="S202" s="30"/>
    </row>
    <row r="203" spans="1:19" ht="18.75" customHeight="1">
      <c r="A203" s="178"/>
      <c r="B203" s="120" t="s">
        <v>121</v>
      </c>
      <c r="C203" s="135" t="s">
        <v>122</v>
      </c>
      <c r="D203" s="104">
        <f t="shared" ref="D203:S204" si="212">D96</f>
        <v>20801.900000000001</v>
      </c>
      <c r="E203" s="104">
        <f t="shared" si="212"/>
        <v>33974</v>
      </c>
      <c r="F203" s="104">
        <f t="shared" si="212"/>
        <v>33974</v>
      </c>
      <c r="G203" s="104">
        <f t="shared" si="212"/>
        <v>33974</v>
      </c>
      <c r="H203" s="117">
        <f t="shared" ref="H203" si="213">H96</f>
        <v>19583</v>
      </c>
      <c r="I203" s="104">
        <f t="shared" si="212"/>
        <v>0</v>
      </c>
      <c r="J203" s="104">
        <f t="shared" si="212"/>
        <v>93813</v>
      </c>
      <c r="K203" s="196">
        <f t="shared" ref="K203:N203" si="214">K96</f>
        <v>550</v>
      </c>
      <c r="L203" s="104">
        <f t="shared" si="214"/>
        <v>1140</v>
      </c>
      <c r="M203" s="104">
        <f t="shared" si="214"/>
        <v>38396</v>
      </c>
      <c r="N203" s="104">
        <f t="shared" si="214"/>
        <v>53727</v>
      </c>
      <c r="O203" s="30">
        <f t="shared" si="125"/>
        <v>93813</v>
      </c>
      <c r="P203" s="100">
        <f t="shared" si="126"/>
        <v>0</v>
      </c>
      <c r="Q203" s="104">
        <f t="shared" si="212"/>
        <v>0</v>
      </c>
      <c r="R203" s="104">
        <f t="shared" si="212"/>
        <v>0</v>
      </c>
      <c r="S203" s="104">
        <f t="shared" si="212"/>
        <v>0</v>
      </c>
    </row>
    <row r="204" spans="1:19" ht="15.75" customHeight="1">
      <c r="A204" s="178"/>
      <c r="B204" s="35" t="s">
        <v>482</v>
      </c>
      <c r="C204" s="121" t="s">
        <v>483</v>
      </c>
      <c r="D204" s="114">
        <f t="shared" si="212"/>
        <v>967.8</v>
      </c>
      <c r="E204" s="114">
        <f t="shared" si="212"/>
        <v>14640</v>
      </c>
      <c r="F204" s="114">
        <f t="shared" si="212"/>
        <v>14575</v>
      </c>
      <c r="G204" s="114">
        <f t="shared" si="212"/>
        <v>14640</v>
      </c>
      <c r="H204" s="122">
        <f t="shared" ref="H204" si="215">H97</f>
        <v>5880</v>
      </c>
      <c r="I204" s="114">
        <f t="shared" si="212"/>
        <v>26261</v>
      </c>
      <c r="J204" s="114">
        <f t="shared" si="212"/>
        <v>26261</v>
      </c>
      <c r="K204" s="202">
        <f t="shared" ref="K204:N204" si="216">K97</f>
        <v>2053</v>
      </c>
      <c r="L204" s="114">
        <f t="shared" si="216"/>
        <v>7832</v>
      </c>
      <c r="M204" s="114">
        <f t="shared" si="216"/>
        <v>10090</v>
      </c>
      <c r="N204" s="114">
        <f t="shared" si="216"/>
        <v>6286</v>
      </c>
      <c r="O204" s="30">
        <f t="shared" ref="O204:O267" si="217">K204+L204+M204+N204</f>
        <v>26261</v>
      </c>
      <c r="P204" s="100">
        <f t="shared" si="126"/>
        <v>0</v>
      </c>
      <c r="Q204" s="114">
        <f t="shared" si="212"/>
        <v>14260</v>
      </c>
      <c r="R204" s="114">
        <f t="shared" si="212"/>
        <v>0</v>
      </c>
      <c r="S204" s="114">
        <f t="shared" si="212"/>
        <v>0</v>
      </c>
    </row>
    <row r="205" spans="1:19" ht="0.75" customHeight="1">
      <c r="A205" s="178"/>
      <c r="B205" s="35" t="s">
        <v>487</v>
      </c>
      <c r="C205" s="121" t="s">
        <v>488</v>
      </c>
      <c r="D205" s="46"/>
      <c r="E205" s="30"/>
      <c r="F205" s="46"/>
      <c r="G205" s="30"/>
      <c r="H205" s="31"/>
      <c r="I205" s="30"/>
      <c r="J205" s="30"/>
      <c r="K205" s="64"/>
      <c r="L205" s="30"/>
      <c r="M205" s="30"/>
      <c r="N205" s="30"/>
      <c r="O205" s="30">
        <f t="shared" si="217"/>
        <v>0</v>
      </c>
      <c r="P205" s="100">
        <f t="shared" ref="P205:P268" si="218">J205-O205</f>
        <v>0</v>
      </c>
      <c r="Q205" s="30"/>
      <c r="R205" s="30"/>
      <c r="S205" s="30"/>
    </row>
    <row r="206" spans="1:19" ht="27" hidden="1" customHeight="1">
      <c r="A206" s="178"/>
      <c r="B206" s="33" t="s">
        <v>548</v>
      </c>
      <c r="C206" s="227">
        <v>46.02</v>
      </c>
      <c r="D206" s="46"/>
      <c r="E206" s="30"/>
      <c r="F206" s="46"/>
      <c r="G206" s="30"/>
      <c r="H206" s="31"/>
      <c r="I206" s="30"/>
      <c r="J206" s="30"/>
      <c r="K206" s="64"/>
      <c r="L206" s="30"/>
      <c r="M206" s="30"/>
      <c r="N206" s="30"/>
      <c r="O206" s="30">
        <f t="shared" si="217"/>
        <v>0</v>
      </c>
      <c r="P206" s="100">
        <f t="shared" si="218"/>
        <v>0</v>
      </c>
      <c r="Q206" s="30"/>
      <c r="R206" s="30"/>
      <c r="S206" s="30"/>
    </row>
    <row r="207" spans="1:19" ht="41.25" hidden="1" customHeight="1">
      <c r="A207" s="178"/>
      <c r="B207" s="35" t="s">
        <v>549</v>
      </c>
      <c r="C207" s="121" t="s">
        <v>550</v>
      </c>
      <c r="D207" s="46"/>
      <c r="E207" s="30"/>
      <c r="F207" s="46"/>
      <c r="G207" s="30"/>
      <c r="H207" s="31"/>
      <c r="I207" s="30"/>
      <c r="J207" s="30"/>
      <c r="K207" s="64"/>
      <c r="L207" s="30"/>
      <c r="M207" s="30"/>
      <c r="N207" s="30"/>
      <c r="O207" s="30">
        <f t="shared" si="217"/>
        <v>0</v>
      </c>
      <c r="P207" s="100">
        <f t="shared" si="218"/>
        <v>0</v>
      </c>
      <c r="Q207" s="30"/>
      <c r="R207" s="30"/>
      <c r="S207" s="30"/>
    </row>
    <row r="208" spans="1:19" ht="42.75" customHeight="1">
      <c r="A208" s="12"/>
      <c r="B208" s="33" t="s">
        <v>436</v>
      </c>
      <c r="C208" s="37" t="s">
        <v>441</v>
      </c>
      <c r="D208" s="104">
        <f t="shared" ref="D208:S209" si="219">D101</f>
        <v>5831.3</v>
      </c>
      <c r="E208" s="104">
        <f t="shared" si="219"/>
        <v>87420</v>
      </c>
      <c r="F208" s="104">
        <f t="shared" si="219"/>
        <v>86995</v>
      </c>
      <c r="G208" s="104">
        <f t="shared" si="219"/>
        <v>87420</v>
      </c>
      <c r="H208" s="117">
        <f t="shared" ref="H208" si="220">H101</f>
        <v>58368.51</v>
      </c>
      <c r="I208" s="104">
        <f t="shared" si="219"/>
        <v>140667</v>
      </c>
      <c r="J208" s="104">
        <f t="shared" si="219"/>
        <v>140664</v>
      </c>
      <c r="K208" s="196">
        <f t="shared" ref="K208:N208" si="221">K101</f>
        <v>7329</v>
      </c>
      <c r="L208" s="104">
        <f t="shared" si="221"/>
        <v>45472</v>
      </c>
      <c r="M208" s="104">
        <f t="shared" si="221"/>
        <v>51440</v>
      </c>
      <c r="N208" s="104">
        <f t="shared" si="221"/>
        <v>36423</v>
      </c>
      <c r="O208" s="30">
        <f t="shared" si="217"/>
        <v>140664</v>
      </c>
      <c r="P208" s="100">
        <f t="shared" si="218"/>
        <v>0</v>
      </c>
      <c r="Q208" s="104">
        <f t="shared" si="219"/>
        <v>71923</v>
      </c>
      <c r="R208" s="104">
        <f t="shared" si="219"/>
        <v>0</v>
      </c>
      <c r="S208" s="104">
        <f t="shared" si="219"/>
        <v>0</v>
      </c>
    </row>
    <row r="209" spans="1:20" ht="16.5" customHeight="1">
      <c r="A209" s="12"/>
      <c r="B209" s="134" t="s">
        <v>524</v>
      </c>
      <c r="C209" s="235" t="s">
        <v>440</v>
      </c>
      <c r="D209" s="114">
        <f t="shared" si="219"/>
        <v>4997.3</v>
      </c>
      <c r="E209" s="114">
        <f t="shared" si="219"/>
        <v>83455</v>
      </c>
      <c r="F209" s="114">
        <f t="shared" si="219"/>
        <v>83030</v>
      </c>
      <c r="G209" s="114">
        <f t="shared" si="219"/>
        <v>83455</v>
      </c>
      <c r="H209" s="122">
        <f t="shared" ref="H209" si="222">H102</f>
        <v>56900.51</v>
      </c>
      <c r="I209" s="114">
        <f t="shared" si="219"/>
        <v>137105</v>
      </c>
      <c r="J209" s="114">
        <f t="shared" si="219"/>
        <v>134337</v>
      </c>
      <c r="K209" s="202">
        <f t="shared" ref="K209:N209" si="223">K102</f>
        <v>5985</v>
      </c>
      <c r="L209" s="114">
        <f t="shared" si="223"/>
        <v>42940</v>
      </c>
      <c r="M209" s="114">
        <f t="shared" si="223"/>
        <v>49703</v>
      </c>
      <c r="N209" s="114">
        <f t="shared" si="223"/>
        <v>35709</v>
      </c>
      <c r="O209" s="30">
        <f t="shared" si="217"/>
        <v>134337</v>
      </c>
      <c r="P209" s="100">
        <f t="shared" si="218"/>
        <v>0</v>
      </c>
      <c r="Q209" s="114">
        <f t="shared" si="219"/>
        <v>68875</v>
      </c>
      <c r="R209" s="114">
        <f t="shared" si="219"/>
        <v>0</v>
      </c>
      <c r="S209" s="114">
        <f t="shared" si="219"/>
        <v>0</v>
      </c>
    </row>
    <row r="210" spans="1:20" ht="20.25" customHeight="1">
      <c r="A210" s="12"/>
      <c r="B210" s="35" t="s">
        <v>129</v>
      </c>
      <c r="C210" s="135" t="s">
        <v>437</v>
      </c>
      <c r="D210" s="104">
        <f t="shared" ref="D210:S210" si="224">D102</f>
        <v>4997.3</v>
      </c>
      <c r="E210" s="104">
        <f t="shared" si="224"/>
        <v>83455</v>
      </c>
      <c r="F210" s="104">
        <f t="shared" si="224"/>
        <v>83030</v>
      </c>
      <c r="G210" s="104">
        <f t="shared" si="224"/>
        <v>83455</v>
      </c>
      <c r="H210" s="117">
        <f t="shared" ref="H210" si="225">H102</f>
        <v>56900.51</v>
      </c>
      <c r="I210" s="104">
        <f t="shared" si="224"/>
        <v>137105</v>
      </c>
      <c r="J210" s="104">
        <f t="shared" si="224"/>
        <v>134337</v>
      </c>
      <c r="K210" s="196">
        <f t="shared" ref="K210:N210" si="226">K102</f>
        <v>5985</v>
      </c>
      <c r="L210" s="104">
        <f t="shared" si="226"/>
        <v>42940</v>
      </c>
      <c r="M210" s="104">
        <f t="shared" si="226"/>
        <v>49703</v>
      </c>
      <c r="N210" s="104">
        <f t="shared" si="226"/>
        <v>35709</v>
      </c>
      <c r="O210" s="30">
        <f t="shared" si="217"/>
        <v>134337</v>
      </c>
      <c r="P210" s="100">
        <f t="shared" si="218"/>
        <v>0</v>
      </c>
      <c r="Q210" s="104">
        <f t="shared" si="224"/>
        <v>68875</v>
      </c>
      <c r="R210" s="104">
        <f t="shared" si="224"/>
        <v>0</v>
      </c>
      <c r="S210" s="104">
        <f t="shared" si="224"/>
        <v>0</v>
      </c>
    </row>
    <row r="211" spans="1:20" ht="8.25" hidden="1" customHeight="1">
      <c r="A211" s="12"/>
      <c r="B211" s="116" t="s">
        <v>125</v>
      </c>
      <c r="C211" s="135" t="s">
        <v>438</v>
      </c>
      <c r="D211" s="46"/>
      <c r="E211" s="30"/>
      <c r="F211" s="46"/>
      <c r="G211" s="30"/>
      <c r="H211" s="31"/>
      <c r="I211" s="30"/>
      <c r="J211" s="30"/>
      <c r="K211" s="64"/>
      <c r="L211" s="30"/>
      <c r="M211" s="30"/>
      <c r="N211" s="30"/>
      <c r="O211" s="30">
        <f t="shared" si="217"/>
        <v>0</v>
      </c>
      <c r="P211" s="100">
        <f t="shared" si="218"/>
        <v>0</v>
      </c>
      <c r="Q211" s="30"/>
      <c r="R211" s="30"/>
      <c r="S211" s="30"/>
    </row>
    <row r="212" spans="1:20" ht="19.5" hidden="1" customHeight="1">
      <c r="A212" s="12"/>
      <c r="B212" s="116" t="s">
        <v>126</v>
      </c>
      <c r="C212" s="135" t="s">
        <v>439</v>
      </c>
      <c r="D212" s="46"/>
      <c r="E212" s="30"/>
      <c r="F212" s="46"/>
      <c r="G212" s="30"/>
      <c r="H212" s="31"/>
      <c r="I212" s="30"/>
      <c r="J212" s="30"/>
      <c r="K212" s="64"/>
      <c r="L212" s="30"/>
      <c r="M212" s="30"/>
      <c r="N212" s="30"/>
      <c r="O212" s="30">
        <f t="shared" si="217"/>
        <v>0</v>
      </c>
      <c r="P212" s="100">
        <f t="shared" si="218"/>
        <v>0</v>
      </c>
      <c r="Q212" s="30"/>
      <c r="R212" s="30"/>
      <c r="S212" s="30"/>
    </row>
    <row r="213" spans="1:20" ht="20.25" customHeight="1">
      <c r="A213" s="12"/>
      <c r="B213" s="236" t="s">
        <v>525</v>
      </c>
      <c r="C213" s="37" t="s">
        <v>491</v>
      </c>
      <c r="D213" s="104">
        <f t="shared" ref="D213:S213" si="227">D214+D215+D216</f>
        <v>495</v>
      </c>
      <c r="E213" s="104">
        <f t="shared" si="227"/>
        <v>3965</v>
      </c>
      <c r="F213" s="104">
        <f t="shared" si="227"/>
        <v>3965</v>
      </c>
      <c r="G213" s="104">
        <f t="shared" si="227"/>
        <v>3965</v>
      </c>
      <c r="H213" s="117">
        <f t="shared" ref="H213" si="228">H214+H215+H216</f>
        <v>515</v>
      </c>
      <c r="I213" s="104">
        <f t="shared" si="227"/>
        <v>3562</v>
      </c>
      <c r="J213" s="104">
        <f t="shared" si="227"/>
        <v>3562</v>
      </c>
      <c r="K213" s="196">
        <f t="shared" ref="K213:N213" si="229">K214+K215+K216</f>
        <v>1344</v>
      </c>
      <c r="L213" s="104">
        <f t="shared" si="229"/>
        <v>767</v>
      </c>
      <c r="M213" s="104">
        <f t="shared" si="229"/>
        <v>737</v>
      </c>
      <c r="N213" s="104">
        <f t="shared" si="229"/>
        <v>714</v>
      </c>
      <c r="O213" s="30">
        <f t="shared" si="217"/>
        <v>3562</v>
      </c>
      <c r="P213" s="100">
        <f t="shared" si="218"/>
        <v>0</v>
      </c>
      <c r="Q213" s="104">
        <f t="shared" si="227"/>
        <v>3048</v>
      </c>
      <c r="R213" s="104">
        <f t="shared" si="227"/>
        <v>0</v>
      </c>
      <c r="S213" s="104">
        <f t="shared" si="227"/>
        <v>0</v>
      </c>
    </row>
    <row r="214" spans="1:20" ht="19.5" customHeight="1">
      <c r="A214" s="12"/>
      <c r="B214" s="116" t="s">
        <v>129</v>
      </c>
      <c r="C214" s="135" t="s">
        <v>492</v>
      </c>
      <c r="D214" s="104">
        <f t="shared" ref="D214:S214" si="230">D107</f>
        <v>495</v>
      </c>
      <c r="E214" s="104">
        <f t="shared" si="230"/>
        <v>3965</v>
      </c>
      <c r="F214" s="104">
        <f t="shared" si="230"/>
        <v>3965</v>
      </c>
      <c r="G214" s="104">
        <f t="shared" si="230"/>
        <v>3965</v>
      </c>
      <c r="H214" s="117">
        <f t="shared" ref="H214" si="231">H107</f>
        <v>515</v>
      </c>
      <c r="I214" s="104">
        <f t="shared" si="230"/>
        <v>3562</v>
      </c>
      <c r="J214" s="104">
        <f t="shared" si="230"/>
        <v>3562</v>
      </c>
      <c r="K214" s="196">
        <f t="shared" ref="K214:N214" si="232">K107</f>
        <v>1344</v>
      </c>
      <c r="L214" s="104">
        <f t="shared" si="232"/>
        <v>767</v>
      </c>
      <c r="M214" s="104">
        <f t="shared" si="232"/>
        <v>737</v>
      </c>
      <c r="N214" s="104">
        <f t="shared" si="232"/>
        <v>714</v>
      </c>
      <c r="O214" s="30">
        <f t="shared" si="217"/>
        <v>3562</v>
      </c>
      <c r="P214" s="100">
        <f t="shared" si="218"/>
        <v>0</v>
      </c>
      <c r="Q214" s="104">
        <f t="shared" si="230"/>
        <v>3048</v>
      </c>
      <c r="R214" s="104">
        <f t="shared" si="230"/>
        <v>0</v>
      </c>
      <c r="S214" s="104">
        <f t="shared" si="230"/>
        <v>0</v>
      </c>
    </row>
    <row r="215" spans="1:20" ht="0.75" customHeight="1">
      <c r="A215" s="12"/>
      <c r="B215" s="116" t="s">
        <v>125</v>
      </c>
      <c r="C215" s="135" t="s">
        <v>127</v>
      </c>
      <c r="D215" s="46"/>
      <c r="E215" s="30"/>
      <c r="F215" s="46"/>
      <c r="G215" s="30"/>
      <c r="H215" s="31"/>
      <c r="I215" s="30"/>
      <c r="J215" s="30"/>
      <c r="K215" s="64"/>
      <c r="L215" s="30"/>
      <c r="M215" s="30"/>
      <c r="N215" s="30"/>
      <c r="O215" s="30">
        <f t="shared" si="217"/>
        <v>0</v>
      </c>
      <c r="P215" s="100">
        <f t="shared" si="218"/>
        <v>0</v>
      </c>
      <c r="Q215" s="30"/>
      <c r="R215" s="30"/>
      <c r="S215" s="30"/>
    </row>
    <row r="216" spans="1:20" ht="27.75" hidden="1" customHeight="1">
      <c r="A216" s="12"/>
      <c r="B216" s="116" t="s">
        <v>126</v>
      </c>
      <c r="C216" s="135" t="s">
        <v>494</v>
      </c>
      <c r="D216" s="46"/>
      <c r="E216" s="30"/>
      <c r="F216" s="46"/>
      <c r="G216" s="30"/>
      <c r="H216" s="31"/>
      <c r="I216" s="30"/>
      <c r="J216" s="30"/>
      <c r="K216" s="64"/>
      <c r="L216" s="30"/>
      <c r="M216" s="30"/>
      <c r="N216" s="30"/>
      <c r="O216" s="30">
        <f t="shared" si="217"/>
        <v>0</v>
      </c>
      <c r="P216" s="100">
        <f t="shared" si="218"/>
        <v>0</v>
      </c>
      <c r="Q216" s="30"/>
      <c r="R216" s="30"/>
      <c r="S216" s="30"/>
    </row>
    <row r="217" spans="1:20" ht="28.5" hidden="1" customHeight="1">
      <c r="A217" s="12"/>
      <c r="B217" s="237" t="s">
        <v>526</v>
      </c>
      <c r="C217" s="37" t="s">
        <v>495</v>
      </c>
      <c r="D217" s="104">
        <f t="shared" ref="D217:D218" si="233">D110</f>
        <v>0</v>
      </c>
      <c r="E217" s="30"/>
      <c r="F217" s="104">
        <f t="shared" ref="F217:S218" si="234">F110</f>
        <v>0</v>
      </c>
      <c r="G217" s="104">
        <f t="shared" si="234"/>
        <v>0</v>
      </c>
      <c r="H217" s="104">
        <f t="shared" si="234"/>
        <v>0</v>
      </c>
      <c r="I217" s="104">
        <f t="shared" si="234"/>
        <v>0</v>
      </c>
      <c r="J217" s="104">
        <f t="shared" si="234"/>
        <v>2765</v>
      </c>
      <c r="K217" s="196">
        <f t="shared" ref="K217:N217" si="235">K110</f>
        <v>0</v>
      </c>
      <c r="L217" s="104">
        <f t="shared" si="235"/>
        <v>1765</v>
      </c>
      <c r="M217" s="104">
        <f t="shared" si="235"/>
        <v>1000</v>
      </c>
      <c r="N217" s="104">
        <f t="shared" si="235"/>
        <v>0</v>
      </c>
      <c r="O217" s="30">
        <f t="shared" si="217"/>
        <v>2765</v>
      </c>
      <c r="P217" s="100">
        <f t="shared" si="218"/>
        <v>0</v>
      </c>
      <c r="Q217" s="104">
        <f t="shared" si="234"/>
        <v>0</v>
      </c>
      <c r="R217" s="104">
        <f t="shared" si="234"/>
        <v>0</v>
      </c>
      <c r="S217" s="104">
        <f t="shared" si="234"/>
        <v>0</v>
      </c>
    </row>
    <row r="218" spans="1:20" ht="28.5" hidden="1" customHeight="1">
      <c r="A218" s="12"/>
      <c r="B218" s="116" t="s">
        <v>129</v>
      </c>
      <c r="C218" s="135" t="s">
        <v>496</v>
      </c>
      <c r="D218" s="104">
        <f t="shared" si="233"/>
        <v>0</v>
      </c>
      <c r="E218" s="30"/>
      <c r="F218" s="104">
        <f t="shared" si="234"/>
        <v>0</v>
      </c>
      <c r="G218" s="104">
        <f t="shared" si="234"/>
        <v>0</v>
      </c>
      <c r="H218" s="104">
        <f t="shared" si="234"/>
        <v>0</v>
      </c>
      <c r="I218" s="104">
        <f t="shared" si="234"/>
        <v>0</v>
      </c>
      <c r="J218" s="104">
        <f t="shared" si="234"/>
        <v>0</v>
      </c>
      <c r="K218" s="196">
        <f t="shared" ref="K218:N218" si="236">K111</f>
        <v>0</v>
      </c>
      <c r="L218" s="104">
        <f t="shared" si="236"/>
        <v>0</v>
      </c>
      <c r="M218" s="104">
        <f t="shared" si="236"/>
        <v>0</v>
      </c>
      <c r="N218" s="104">
        <f t="shared" si="236"/>
        <v>0</v>
      </c>
      <c r="O218" s="30">
        <f t="shared" si="217"/>
        <v>0</v>
      </c>
      <c r="P218" s="100">
        <f t="shared" si="218"/>
        <v>0</v>
      </c>
      <c r="Q218" s="104">
        <f t="shared" si="234"/>
        <v>0</v>
      </c>
      <c r="R218" s="104">
        <f t="shared" si="234"/>
        <v>0</v>
      </c>
      <c r="S218" s="104">
        <f t="shared" si="234"/>
        <v>0</v>
      </c>
    </row>
    <row r="219" spans="1:20" ht="17.25" hidden="1" customHeight="1">
      <c r="A219" s="12"/>
      <c r="B219" s="116" t="s">
        <v>125</v>
      </c>
      <c r="C219" s="135" t="s">
        <v>497</v>
      </c>
      <c r="D219" s="46"/>
      <c r="E219" s="30"/>
      <c r="F219" s="46"/>
      <c r="G219" s="30"/>
      <c r="H219" s="31"/>
      <c r="I219" s="30"/>
      <c r="J219" s="30"/>
      <c r="K219" s="64"/>
      <c r="L219" s="30"/>
      <c r="M219" s="30"/>
      <c r="N219" s="30"/>
      <c r="O219" s="30">
        <f t="shared" si="217"/>
        <v>0</v>
      </c>
      <c r="P219" s="100">
        <f t="shared" si="218"/>
        <v>0</v>
      </c>
      <c r="Q219" s="30"/>
      <c r="R219" s="30"/>
      <c r="S219" s="30"/>
    </row>
    <row r="220" spans="1:20" ht="15.75" hidden="1" customHeight="1">
      <c r="A220" s="12"/>
      <c r="B220" s="116" t="s">
        <v>126</v>
      </c>
      <c r="C220" s="135" t="s">
        <v>498</v>
      </c>
      <c r="D220" s="46"/>
      <c r="E220" s="30"/>
      <c r="F220" s="46"/>
      <c r="G220" s="30"/>
      <c r="H220" s="31"/>
      <c r="I220" s="30"/>
      <c r="J220" s="30"/>
      <c r="K220" s="64"/>
      <c r="L220" s="30"/>
      <c r="M220" s="30"/>
      <c r="N220" s="30"/>
      <c r="O220" s="30">
        <f t="shared" si="217"/>
        <v>0</v>
      </c>
      <c r="P220" s="100">
        <f t="shared" si="218"/>
        <v>0</v>
      </c>
      <c r="Q220" s="30"/>
      <c r="R220" s="30"/>
      <c r="S220" s="30"/>
    </row>
    <row r="221" spans="1:20" ht="0.75" customHeight="1">
      <c r="A221" s="11"/>
      <c r="B221" s="116"/>
      <c r="C221" s="135"/>
      <c r="D221" s="46"/>
      <c r="E221" s="30"/>
      <c r="F221" s="46"/>
      <c r="G221" s="30"/>
      <c r="H221" s="31"/>
      <c r="I221" s="30"/>
      <c r="J221" s="30"/>
      <c r="K221" s="64"/>
      <c r="L221" s="30"/>
      <c r="M221" s="30"/>
      <c r="N221" s="30"/>
      <c r="O221" s="30">
        <f t="shared" si="217"/>
        <v>0</v>
      </c>
      <c r="P221" s="100">
        <f t="shared" si="218"/>
        <v>0</v>
      </c>
      <c r="Q221" s="30"/>
      <c r="R221" s="30"/>
      <c r="S221" s="30"/>
    </row>
    <row r="222" spans="1:20" ht="0.75" customHeight="1">
      <c r="A222" s="12"/>
      <c r="B222" s="37" t="s">
        <v>0</v>
      </c>
      <c r="C222" s="37" t="s">
        <v>1</v>
      </c>
      <c r="D222" s="46"/>
      <c r="E222" s="30"/>
      <c r="F222" s="46"/>
      <c r="G222" s="30"/>
      <c r="H222" s="31"/>
      <c r="I222" s="30"/>
      <c r="J222" s="30"/>
      <c r="K222" s="64"/>
      <c r="L222" s="30"/>
      <c r="M222" s="30"/>
      <c r="N222" s="30"/>
      <c r="O222" s="30">
        <f t="shared" si="217"/>
        <v>0</v>
      </c>
      <c r="P222" s="100">
        <f t="shared" si="218"/>
        <v>0</v>
      </c>
      <c r="Q222" s="30"/>
      <c r="R222" s="30"/>
      <c r="S222" s="30"/>
    </row>
    <row r="223" spans="1:20" ht="18" customHeight="1">
      <c r="A223" s="180"/>
      <c r="B223" s="136" t="s">
        <v>580</v>
      </c>
      <c r="C223" s="137"/>
      <c r="D223" s="138">
        <f t="shared" ref="D223:S223" si="237">D247+D422+D457+D985+D1061</f>
        <v>323391.67000000004</v>
      </c>
      <c r="E223" s="138">
        <f t="shared" si="237"/>
        <v>498783.9</v>
      </c>
      <c r="F223" s="138">
        <f t="shared" si="237"/>
        <v>444083</v>
      </c>
      <c r="G223" s="138">
        <f t="shared" si="237"/>
        <v>498783.28</v>
      </c>
      <c r="H223" s="138">
        <f t="shared" si="237"/>
        <v>369538.14999999997</v>
      </c>
      <c r="I223" s="138">
        <f t="shared" si="237"/>
        <v>754286</v>
      </c>
      <c r="J223" s="138">
        <f t="shared" si="237"/>
        <v>624445</v>
      </c>
      <c r="K223" s="206">
        <f t="shared" ref="K223:N223" si="238">K247+K422+K457+K985+K1061</f>
        <v>108426</v>
      </c>
      <c r="L223" s="138">
        <f t="shared" si="238"/>
        <v>141755</v>
      </c>
      <c r="M223" s="138">
        <f t="shared" si="238"/>
        <v>190991</v>
      </c>
      <c r="N223" s="138">
        <f t="shared" si="238"/>
        <v>183273</v>
      </c>
      <c r="O223" s="30">
        <f t="shared" si="217"/>
        <v>624445</v>
      </c>
      <c r="P223" s="100">
        <f t="shared" si="218"/>
        <v>0</v>
      </c>
      <c r="Q223" s="138">
        <f t="shared" si="237"/>
        <v>423243</v>
      </c>
      <c r="R223" s="138">
        <f t="shared" si="237"/>
        <v>311687</v>
      </c>
      <c r="S223" s="138">
        <f t="shared" si="237"/>
        <v>319417</v>
      </c>
      <c r="T223" s="38"/>
    </row>
    <row r="224" spans="1:20" ht="14.25">
      <c r="A224" s="179"/>
      <c r="B224" s="232" t="s">
        <v>152</v>
      </c>
      <c r="C224" s="233"/>
      <c r="D224" s="130">
        <f t="shared" ref="D224:S224" si="239">D248+D423+D458+D986+D1062</f>
        <v>269073.69</v>
      </c>
      <c r="E224" s="130">
        <f t="shared" si="239"/>
        <v>306375.31</v>
      </c>
      <c r="F224" s="130">
        <f t="shared" si="239"/>
        <v>273600</v>
      </c>
      <c r="G224" s="130">
        <f t="shared" si="239"/>
        <v>306374.49</v>
      </c>
      <c r="H224" s="130">
        <f t="shared" si="239"/>
        <v>275935.2</v>
      </c>
      <c r="I224" s="130">
        <f t="shared" si="239"/>
        <v>322236</v>
      </c>
      <c r="J224" s="130">
        <f t="shared" si="239"/>
        <v>311416</v>
      </c>
      <c r="K224" s="204">
        <f t="shared" ref="K224:N224" si="240">K248+K423+K458+K986+K1062</f>
        <v>79833</v>
      </c>
      <c r="L224" s="130">
        <f t="shared" si="240"/>
        <v>77916</v>
      </c>
      <c r="M224" s="130">
        <f t="shared" si="240"/>
        <v>78228</v>
      </c>
      <c r="N224" s="130">
        <f t="shared" si="240"/>
        <v>75439</v>
      </c>
      <c r="O224" s="30">
        <f t="shared" si="217"/>
        <v>311416</v>
      </c>
      <c r="P224" s="100">
        <f t="shared" si="218"/>
        <v>0</v>
      </c>
      <c r="Q224" s="130">
        <f t="shared" si="239"/>
        <v>312985</v>
      </c>
      <c r="R224" s="130">
        <f t="shared" si="239"/>
        <v>298677</v>
      </c>
      <c r="S224" s="130">
        <f t="shared" si="239"/>
        <v>303375</v>
      </c>
    </row>
    <row r="225" spans="1:21" ht="14.25">
      <c r="A225" s="12"/>
      <c r="B225" s="129" t="s">
        <v>153</v>
      </c>
      <c r="C225" s="135">
        <v>0.01</v>
      </c>
      <c r="D225" s="105">
        <f t="shared" ref="D225:S225" si="241">D249+D424+D459+D987+D1063</f>
        <v>269242.23</v>
      </c>
      <c r="E225" s="105">
        <f t="shared" si="241"/>
        <v>301031.06</v>
      </c>
      <c r="F225" s="105">
        <f t="shared" si="241"/>
        <v>267800</v>
      </c>
      <c r="G225" s="105">
        <f t="shared" si="241"/>
        <v>301132.71999999997</v>
      </c>
      <c r="H225" s="105">
        <f t="shared" si="241"/>
        <v>270805.8</v>
      </c>
      <c r="I225" s="105">
        <f t="shared" si="241"/>
        <v>316436</v>
      </c>
      <c r="J225" s="105">
        <f t="shared" si="241"/>
        <v>305616</v>
      </c>
      <c r="K225" s="197">
        <f t="shared" ref="K225:N225" si="242">K249+K424+K459+K987+K1063</f>
        <v>78333</v>
      </c>
      <c r="L225" s="105">
        <f t="shared" si="242"/>
        <v>76416</v>
      </c>
      <c r="M225" s="105">
        <f t="shared" si="242"/>
        <v>76728</v>
      </c>
      <c r="N225" s="105">
        <f t="shared" si="242"/>
        <v>74139</v>
      </c>
      <c r="O225" s="30">
        <f t="shared" si="217"/>
        <v>305616</v>
      </c>
      <c r="P225" s="100">
        <f t="shared" si="218"/>
        <v>0</v>
      </c>
      <c r="Q225" s="105">
        <f t="shared" si="241"/>
        <v>307185</v>
      </c>
      <c r="R225" s="105">
        <f t="shared" si="241"/>
        <v>292377</v>
      </c>
      <c r="S225" s="105">
        <f t="shared" si="241"/>
        <v>291975</v>
      </c>
      <c r="T225" s="38"/>
      <c r="U225" s="38"/>
    </row>
    <row r="226" spans="1:21" ht="18.75" customHeight="1">
      <c r="A226" s="12"/>
      <c r="B226" s="129" t="s">
        <v>154</v>
      </c>
      <c r="C226" s="135">
        <v>10</v>
      </c>
      <c r="D226" s="105">
        <f t="shared" ref="D226:S226" si="243">D250+D425+D460+D988+D1064</f>
        <v>131887.24</v>
      </c>
      <c r="E226" s="105">
        <f t="shared" si="243"/>
        <v>137531.81</v>
      </c>
      <c r="F226" s="105">
        <f t="shared" si="243"/>
        <v>116685</v>
      </c>
      <c r="G226" s="105">
        <f t="shared" si="243"/>
        <v>137531.81</v>
      </c>
      <c r="H226" s="105">
        <f t="shared" si="243"/>
        <v>128060</v>
      </c>
      <c r="I226" s="105">
        <f t="shared" si="243"/>
        <v>145851</v>
      </c>
      <c r="J226" s="105">
        <f t="shared" si="243"/>
        <v>143820</v>
      </c>
      <c r="K226" s="197">
        <f t="shared" ref="K226:N226" si="244">K250+K425+K460+K988+K1064</f>
        <v>36261</v>
      </c>
      <c r="L226" s="105">
        <f t="shared" si="244"/>
        <v>35909</v>
      </c>
      <c r="M226" s="105">
        <f t="shared" si="244"/>
        <v>36206</v>
      </c>
      <c r="N226" s="105">
        <f t="shared" si="244"/>
        <v>35444</v>
      </c>
      <c r="O226" s="30">
        <f t="shared" si="217"/>
        <v>143820</v>
      </c>
      <c r="P226" s="100">
        <f t="shared" si="218"/>
        <v>0</v>
      </c>
      <c r="Q226" s="105">
        <f t="shared" si="243"/>
        <v>142859</v>
      </c>
      <c r="R226" s="105">
        <f t="shared" si="243"/>
        <v>142964</v>
      </c>
      <c r="S226" s="105">
        <f t="shared" si="243"/>
        <v>143069</v>
      </c>
    </row>
    <row r="227" spans="1:21" ht="19.5" customHeight="1">
      <c r="A227" s="12"/>
      <c r="B227" s="129" t="s">
        <v>581</v>
      </c>
      <c r="C227" s="135">
        <v>20</v>
      </c>
      <c r="D227" s="105">
        <f t="shared" ref="D227:S227" si="245">D251+D426+D461+D989+D1065</f>
        <v>54354.86</v>
      </c>
      <c r="E227" s="105">
        <f t="shared" si="245"/>
        <v>62654.75</v>
      </c>
      <c r="F227" s="105">
        <f t="shared" si="245"/>
        <v>53122</v>
      </c>
      <c r="G227" s="105">
        <f t="shared" si="245"/>
        <v>62654.91</v>
      </c>
      <c r="H227" s="105">
        <f t="shared" si="245"/>
        <v>55707</v>
      </c>
      <c r="I227" s="105">
        <f t="shared" si="245"/>
        <v>68718</v>
      </c>
      <c r="J227" s="105">
        <f t="shared" si="245"/>
        <v>62261</v>
      </c>
      <c r="K227" s="197">
        <f t="shared" ref="K227:N227" si="246">K251+K426+K461+K989+K1065</f>
        <v>16047</v>
      </c>
      <c r="L227" s="105">
        <f t="shared" si="246"/>
        <v>15809</v>
      </c>
      <c r="M227" s="105">
        <f t="shared" si="246"/>
        <v>14398</v>
      </c>
      <c r="N227" s="105">
        <f t="shared" si="246"/>
        <v>16007</v>
      </c>
      <c r="O227" s="30">
        <f t="shared" si="217"/>
        <v>62261</v>
      </c>
      <c r="P227" s="100">
        <f t="shared" si="218"/>
        <v>0</v>
      </c>
      <c r="Q227" s="105">
        <f t="shared" si="245"/>
        <v>59133</v>
      </c>
      <c r="R227" s="105">
        <f t="shared" si="245"/>
        <v>59491</v>
      </c>
      <c r="S227" s="105">
        <f t="shared" si="245"/>
        <v>59274</v>
      </c>
    </row>
    <row r="228" spans="1:21" ht="19.5" customHeight="1">
      <c r="A228" s="12"/>
      <c r="B228" s="129" t="s">
        <v>156</v>
      </c>
      <c r="C228" s="135">
        <v>30</v>
      </c>
      <c r="D228" s="105">
        <f t="shared" ref="D228:S228" si="247">D252</f>
        <v>0</v>
      </c>
      <c r="E228" s="105">
        <f t="shared" si="247"/>
        <v>1000</v>
      </c>
      <c r="F228" s="105">
        <f t="shared" si="247"/>
        <v>1000</v>
      </c>
      <c r="G228" s="105">
        <f t="shared" si="247"/>
        <v>1000</v>
      </c>
      <c r="H228" s="105">
        <f t="shared" ref="H228" si="248">H252</f>
        <v>581</v>
      </c>
      <c r="I228" s="105">
        <f t="shared" si="247"/>
        <v>1740</v>
      </c>
      <c r="J228" s="105">
        <f t="shared" si="247"/>
        <v>1740</v>
      </c>
      <c r="K228" s="197">
        <f t="shared" ref="K228:N228" si="249">K252</f>
        <v>840</v>
      </c>
      <c r="L228" s="105">
        <f t="shared" si="249"/>
        <v>300</v>
      </c>
      <c r="M228" s="105">
        <f t="shared" si="249"/>
        <v>300</v>
      </c>
      <c r="N228" s="105">
        <f t="shared" si="249"/>
        <v>300</v>
      </c>
      <c r="O228" s="30">
        <f t="shared" si="217"/>
        <v>1740</v>
      </c>
      <c r="P228" s="100">
        <f t="shared" si="218"/>
        <v>0</v>
      </c>
      <c r="Q228" s="105">
        <f t="shared" si="247"/>
        <v>2580</v>
      </c>
      <c r="R228" s="105">
        <f t="shared" si="247"/>
        <v>2650</v>
      </c>
      <c r="S228" s="105">
        <f t="shared" si="247"/>
        <v>2360</v>
      </c>
    </row>
    <row r="229" spans="1:21" ht="19.5" customHeight="1">
      <c r="A229" s="12"/>
      <c r="B229" s="129" t="s">
        <v>582</v>
      </c>
      <c r="C229" s="135">
        <v>40</v>
      </c>
      <c r="D229" s="105">
        <f t="shared" ref="D229:S229" si="250">D1068</f>
        <v>0</v>
      </c>
      <c r="E229" s="105">
        <f t="shared" si="250"/>
        <v>0</v>
      </c>
      <c r="F229" s="105">
        <f t="shared" si="250"/>
        <v>0</v>
      </c>
      <c r="G229" s="105">
        <f t="shared" si="250"/>
        <v>0</v>
      </c>
      <c r="H229" s="105">
        <f t="shared" ref="H229" si="251">H1068</f>
        <v>0</v>
      </c>
      <c r="I229" s="105">
        <f t="shared" si="250"/>
        <v>0</v>
      </c>
      <c r="J229" s="105">
        <f t="shared" si="250"/>
        <v>0</v>
      </c>
      <c r="K229" s="197">
        <f t="shared" ref="K229:N229" si="252">K1068</f>
        <v>0</v>
      </c>
      <c r="L229" s="105">
        <f t="shared" si="252"/>
        <v>0</v>
      </c>
      <c r="M229" s="105">
        <f t="shared" si="252"/>
        <v>0</v>
      </c>
      <c r="N229" s="105">
        <f t="shared" si="252"/>
        <v>0</v>
      </c>
      <c r="O229" s="30">
        <f t="shared" si="217"/>
        <v>0</v>
      </c>
      <c r="P229" s="100">
        <f t="shared" si="218"/>
        <v>0</v>
      </c>
      <c r="Q229" s="105">
        <f t="shared" si="250"/>
        <v>0</v>
      </c>
      <c r="R229" s="105">
        <f t="shared" si="250"/>
        <v>0</v>
      </c>
      <c r="S229" s="105">
        <f t="shared" si="250"/>
        <v>0</v>
      </c>
    </row>
    <row r="230" spans="1:21" ht="20.25" customHeight="1">
      <c r="A230" s="12"/>
      <c r="B230" s="129" t="s">
        <v>157</v>
      </c>
      <c r="C230" s="135">
        <v>50</v>
      </c>
      <c r="D230" s="105">
        <f t="shared" ref="D230:S230" si="253">D253</f>
        <v>0</v>
      </c>
      <c r="E230" s="105">
        <f t="shared" si="253"/>
        <v>500</v>
      </c>
      <c r="F230" s="105">
        <f t="shared" si="253"/>
        <v>500</v>
      </c>
      <c r="G230" s="105">
        <f t="shared" si="253"/>
        <v>500</v>
      </c>
      <c r="H230" s="105">
        <f t="shared" ref="H230" si="254">H253</f>
        <v>0</v>
      </c>
      <c r="I230" s="105">
        <f t="shared" si="253"/>
        <v>500</v>
      </c>
      <c r="J230" s="105">
        <f t="shared" si="253"/>
        <v>500</v>
      </c>
      <c r="K230" s="197">
        <f t="shared" ref="K230:N230" si="255">K253</f>
        <v>200</v>
      </c>
      <c r="L230" s="105">
        <f t="shared" si="255"/>
        <v>300</v>
      </c>
      <c r="M230" s="105">
        <f t="shared" si="255"/>
        <v>0</v>
      </c>
      <c r="N230" s="105">
        <f t="shared" si="255"/>
        <v>0</v>
      </c>
      <c r="O230" s="30">
        <f t="shared" si="217"/>
        <v>500</v>
      </c>
      <c r="P230" s="100">
        <f t="shared" si="218"/>
        <v>0</v>
      </c>
      <c r="Q230" s="105">
        <f t="shared" si="253"/>
        <v>500</v>
      </c>
      <c r="R230" s="105">
        <f t="shared" si="253"/>
        <v>500</v>
      </c>
      <c r="S230" s="105">
        <f t="shared" si="253"/>
        <v>500</v>
      </c>
    </row>
    <row r="231" spans="1:21" ht="18" customHeight="1">
      <c r="A231" s="12"/>
      <c r="B231" s="129" t="s">
        <v>158</v>
      </c>
      <c r="C231" s="135">
        <v>51</v>
      </c>
      <c r="D231" s="105">
        <f t="shared" ref="D231:S231" si="256">D254+D462+D1066</f>
        <v>60174</v>
      </c>
      <c r="E231" s="105">
        <f t="shared" si="256"/>
        <v>70339</v>
      </c>
      <c r="F231" s="105">
        <f t="shared" si="256"/>
        <v>63606</v>
      </c>
      <c r="G231" s="105">
        <f t="shared" si="256"/>
        <v>70441</v>
      </c>
      <c r="H231" s="105">
        <f t="shared" si="256"/>
        <v>65533</v>
      </c>
      <c r="I231" s="105">
        <f t="shared" si="256"/>
        <v>66559</v>
      </c>
      <c r="J231" s="105">
        <f t="shared" si="256"/>
        <v>67948</v>
      </c>
      <c r="K231" s="197">
        <f t="shared" ref="K231:N231" si="257">K254+K462+K1066</f>
        <v>17050</v>
      </c>
      <c r="L231" s="105">
        <f t="shared" si="257"/>
        <v>17160</v>
      </c>
      <c r="M231" s="105">
        <f t="shared" si="257"/>
        <v>17259</v>
      </c>
      <c r="N231" s="105">
        <f t="shared" si="257"/>
        <v>16479</v>
      </c>
      <c r="O231" s="30">
        <f t="shared" si="217"/>
        <v>67948</v>
      </c>
      <c r="P231" s="100">
        <f t="shared" si="218"/>
        <v>0</v>
      </c>
      <c r="Q231" s="105">
        <f t="shared" si="256"/>
        <v>67948</v>
      </c>
      <c r="R231" s="105">
        <f t="shared" si="256"/>
        <v>67948</v>
      </c>
      <c r="S231" s="105">
        <f t="shared" si="256"/>
        <v>67948</v>
      </c>
    </row>
    <row r="232" spans="1:21" ht="16.5" customHeight="1">
      <c r="A232" s="12"/>
      <c r="B232" s="129" t="s">
        <v>159</v>
      </c>
      <c r="C232" s="135">
        <v>55</v>
      </c>
      <c r="D232" s="105">
        <f t="shared" ref="D232:S233" si="258">D255+D463</f>
        <v>2</v>
      </c>
      <c r="E232" s="105">
        <f t="shared" si="258"/>
        <v>0</v>
      </c>
      <c r="F232" s="105">
        <f t="shared" si="258"/>
        <v>0</v>
      </c>
      <c r="G232" s="105">
        <f t="shared" si="258"/>
        <v>0</v>
      </c>
      <c r="H232" s="105">
        <f t="shared" ref="H232" si="259">H255+H463</f>
        <v>0</v>
      </c>
      <c r="I232" s="105">
        <f t="shared" si="258"/>
        <v>0</v>
      </c>
      <c r="J232" s="105">
        <f t="shared" si="258"/>
        <v>0</v>
      </c>
      <c r="K232" s="197">
        <f t="shared" ref="K232:N232" si="260">K255+K463</f>
        <v>0</v>
      </c>
      <c r="L232" s="105">
        <f t="shared" si="260"/>
        <v>0</v>
      </c>
      <c r="M232" s="105">
        <f t="shared" si="260"/>
        <v>0</v>
      </c>
      <c r="N232" s="105">
        <f t="shared" si="260"/>
        <v>0</v>
      </c>
      <c r="O232" s="30">
        <f t="shared" si="217"/>
        <v>0</v>
      </c>
      <c r="P232" s="100">
        <f t="shared" si="218"/>
        <v>0</v>
      </c>
      <c r="Q232" s="105">
        <f t="shared" si="258"/>
        <v>0</v>
      </c>
      <c r="R232" s="105">
        <f t="shared" si="258"/>
        <v>0</v>
      </c>
      <c r="S232" s="105">
        <f t="shared" si="258"/>
        <v>0</v>
      </c>
    </row>
    <row r="233" spans="1:21" ht="19.5" customHeight="1">
      <c r="A233" s="12"/>
      <c r="B233" s="129" t="s">
        <v>160</v>
      </c>
      <c r="C233" s="135">
        <v>57</v>
      </c>
      <c r="D233" s="105">
        <f t="shared" si="258"/>
        <v>8886.4599999999991</v>
      </c>
      <c r="E233" s="105">
        <f t="shared" si="258"/>
        <v>14324.23</v>
      </c>
      <c r="F233" s="105">
        <f t="shared" si="258"/>
        <v>16925</v>
      </c>
      <c r="G233" s="105">
        <f t="shared" si="258"/>
        <v>14324</v>
      </c>
      <c r="H233" s="105">
        <f t="shared" ref="H233" si="261">H256+H464</f>
        <v>7753.8</v>
      </c>
      <c r="I233" s="105">
        <f t="shared" si="258"/>
        <v>18239</v>
      </c>
      <c r="J233" s="105">
        <f t="shared" si="258"/>
        <v>14628</v>
      </c>
      <c r="K233" s="197">
        <f t="shared" ref="K233:N233" si="262">K256+K464</f>
        <v>4450</v>
      </c>
      <c r="L233" s="105">
        <f t="shared" si="262"/>
        <v>3053</v>
      </c>
      <c r="M233" s="105">
        <f t="shared" si="262"/>
        <v>4680</v>
      </c>
      <c r="N233" s="105">
        <f t="shared" si="262"/>
        <v>2445</v>
      </c>
      <c r="O233" s="30">
        <f t="shared" si="217"/>
        <v>14628</v>
      </c>
      <c r="P233" s="100">
        <f t="shared" si="218"/>
        <v>0</v>
      </c>
      <c r="Q233" s="105">
        <f t="shared" si="258"/>
        <v>19746</v>
      </c>
      <c r="R233" s="105">
        <f t="shared" si="258"/>
        <v>4405</v>
      </c>
      <c r="S233" s="105">
        <f t="shared" si="258"/>
        <v>4405</v>
      </c>
    </row>
    <row r="234" spans="1:21" ht="19.5" customHeight="1">
      <c r="A234" s="12"/>
      <c r="B234" s="129" t="s">
        <v>161</v>
      </c>
      <c r="C234" s="135">
        <v>59</v>
      </c>
      <c r="D234" s="105">
        <f t="shared" ref="D234:S234" si="263">D257+D427+D465+D1067</f>
        <v>14370.34</v>
      </c>
      <c r="E234" s="105">
        <f t="shared" si="263"/>
        <v>15771.6</v>
      </c>
      <c r="F234" s="105">
        <f t="shared" si="263"/>
        <v>15962</v>
      </c>
      <c r="G234" s="105">
        <f t="shared" si="263"/>
        <v>15771</v>
      </c>
      <c r="H234" s="105">
        <f t="shared" si="263"/>
        <v>14350</v>
      </c>
      <c r="I234" s="105">
        <f t="shared" si="263"/>
        <v>14829</v>
      </c>
      <c r="J234" s="105">
        <f t="shared" si="263"/>
        <v>14719</v>
      </c>
      <c r="K234" s="197">
        <f t="shared" ref="K234:N234" si="264">K257+K427+K465+K1067</f>
        <v>3485</v>
      </c>
      <c r="L234" s="105">
        <f t="shared" si="264"/>
        <v>3885</v>
      </c>
      <c r="M234" s="105">
        <f t="shared" si="264"/>
        <v>3885</v>
      </c>
      <c r="N234" s="105">
        <f t="shared" si="264"/>
        <v>3464</v>
      </c>
      <c r="O234" s="30">
        <f t="shared" si="217"/>
        <v>14719</v>
      </c>
      <c r="P234" s="100">
        <f t="shared" si="218"/>
        <v>0</v>
      </c>
      <c r="Q234" s="105">
        <f t="shared" si="263"/>
        <v>14419</v>
      </c>
      <c r="R234" s="105">
        <f t="shared" si="263"/>
        <v>14419</v>
      </c>
      <c r="S234" s="105">
        <f t="shared" si="263"/>
        <v>14419</v>
      </c>
    </row>
    <row r="235" spans="1:21" ht="21" customHeight="1">
      <c r="A235" s="12"/>
      <c r="B235" s="129" t="s">
        <v>162</v>
      </c>
      <c r="C235" s="135">
        <v>79</v>
      </c>
      <c r="D235" s="105">
        <f t="shared" ref="D235:S235" si="265">D258</f>
        <v>0</v>
      </c>
      <c r="E235" s="105">
        <f t="shared" si="265"/>
        <v>5800</v>
      </c>
      <c r="F235" s="105">
        <f t="shared" si="265"/>
        <v>5800</v>
      </c>
      <c r="G235" s="105">
        <f t="shared" si="265"/>
        <v>5800</v>
      </c>
      <c r="H235" s="105">
        <f t="shared" ref="H235" si="266">H258</f>
        <v>5743</v>
      </c>
      <c r="I235" s="105">
        <f t="shared" si="265"/>
        <v>5800</v>
      </c>
      <c r="J235" s="105">
        <f t="shared" si="265"/>
        <v>5800</v>
      </c>
      <c r="K235" s="197">
        <f t="shared" ref="K235:N235" si="267">K258</f>
        <v>1500</v>
      </c>
      <c r="L235" s="105">
        <f t="shared" si="267"/>
        <v>1500</v>
      </c>
      <c r="M235" s="105">
        <f t="shared" si="267"/>
        <v>1500</v>
      </c>
      <c r="N235" s="105">
        <f t="shared" si="267"/>
        <v>1300</v>
      </c>
      <c r="O235" s="30">
        <f t="shared" si="217"/>
        <v>5800</v>
      </c>
      <c r="P235" s="100">
        <f t="shared" si="218"/>
        <v>0</v>
      </c>
      <c r="Q235" s="105">
        <f t="shared" si="265"/>
        <v>5800</v>
      </c>
      <c r="R235" s="105">
        <f t="shared" si="265"/>
        <v>6300</v>
      </c>
      <c r="S235" s="105">
        <f t="shared" si="265"/>
        <v>11400</v>
      </c>
    </row>
    <row r="236" spans="1:21" ht="21" customHeight="1">
      <c r="A236" s="12"/>
      <c r="B236" s="116" t="s">
        <v>163</v>
      </c>
      <c r="C236" s="135">
        <v>85.01</v>
      </c>
      <c r="D236" s="46">
        <f t="shared" ref="D236:S236" si="268">D259+D466+D990</f>
        <v>-548.21</v>
      </c>
      <c r="E236" s="46">
        <f t="shared" si="268"/>
        <v>-1546.08</v>
      </c>
      <c r="F236" s="46">
        <f t="shared" si="268"/>
        <v>0</v>
      </c>
      <c r="G236" s="46">
        <f t="shared" si="268"/>
        <v>-1546.23</v>
      </c>
      <c r="H236" s="46">
        <f t="shared" si="268"/>
        <v>-1690.6</v>
      </c>
      <c r="I236" s="46">
        <f t="shared" si="268"/>
        <v>0</v>
      </c>
      <c r="J236" s="46">
        <f t="shared" si="268"/>
        <v>0</v>
      </c>
      <c r="K236" s="201">
        <f t="shared" ref="K236:N236" si="269">K259+K466+K990</f>
        <v>0</v>
      </c>
      <c r="L236" s="46">
        <f t="shared" si="269"/>
        <v>0</v>
      </c>
      <c r="M236" s="46">
        <f t="shared" si="269"/>
        <v>0</v>
      </c>
      <c r="N236" s="46">
        <f t="shared" si="269"/>
        <v>0</v>
      </c>
      <c r="O236" s="30">
        <f t="shared" si="217"/>
        <v>0</v>
      </c>
      <c r="P236" s="100">
        <f t="shared" si="218"/>
        <v>0</v>
      </c>
      <c r="Q236" s="46">
        <f t="shared" si="268"/>
        <v>0</v>
      </c>
      <c r="R236" s="46">
        <f t="shared" si="268"/>
        <v>0</v>
      </c>
      <c r="S236" s="46">
        <f t="shared" si="268"/>
        <v>0</v>
      </c>
    </row>
    <row r="237" spans="1:21" ht="14.25">
      <c r="A237" s="177"/>
      <c r="B237" s="232" t="s">
        <v>164</v>
      </c>
      <c r="C237" s="234"/>
      <c r="D237" s="130">
        <f t="shared" ref="D237:S237" si="270">D260+D428+D467+D991+D1069</f>
        <v>54282.98</v>
      </c>
      <c r="E237" s="130">
        <f t="shared" si="270"/>
        <v>192408.59</v>
      </c>
      <c r="F237" s="130">
        <f t="shared" si="270"/>
        <v>170483</v>
      </c>
      <c r="G237" s="130">
        <f t="shared" si="270"/>
        <v>192408.78999999998</v>
      </c>
      <c r="H237" s="130">
        <f t="shared" si="270"/>
        <v>93612.95</v>
      </c>
      <c r="I237" s="130">
        <f t="shared" si="270"/>
        <v>432050</v>
      </c>
      <c r="J237" s="130">
        <f t="shared" si="270"/>
        <v>313029</v>
      </c>
      <c r="K237" s="204">
        <f t="shared" ref="K237:N237" si="271">K260+K428+K467+K991+K1069</f>
        <v>28593</v>
      </c>
      <c r="L237" s="130">
        <f t="shared" si="271"/>
        <v>63839</v>
      </c>
      <c r="M237" s="130">
        <f t="shared" si="271"/>
        <v>112763</v>
      </c>
      <c r="N237" s="130">
        <f t="shared" si="271"/>
        <v>107834</v>
      </c>
      <c r="O237" s="30">
        <f t="shared" si="217"/>
        <v>313029</v>
      </c>
      <c r="P237" s="100">
        <f t="shared" si="218"/>
        <v>0</v>
      </c>
      <c r="Q237" s="130">
        <f t="shared" si="270"/>
        <v>110258</v>
      </c>
      <c r="R237" s="130">
        <f t="shared" si="270"/>
        <v>13010</v>
      </c>
      <c r="S237" s="130">
        <f t="shared" si="270"/>
        <v>16042</v>
      </c>
    </row>
    <row r="238" spans="1:21" ht="18.75" customHeight="1">
      <c r="A238" s="12"/>
      <c r="B238" s="33" t="s">
        <v>165</v>
      </c>
      <c r="C238" s="37">
        <v>51</v>
      </c>
      <c r="D238" s="105">
        <f t="shared" ref="D238:S238" si="272">D468+D469+D470+D261</f>
        <v>851</v>
      </c>
      <c r="E238" s="105">
        <f t="shared" si="272"/>
        <v>20958.900000000001</v>
      </c>
      <c r="F238" s="105">
        <f t="shared" si="272"/>
        <v>10044</v>
      </c>
      <c r="G238" s="105">
        <f t="shared" si="272"/>
        <v>20958.900000000001</v>
      </c>
      <c r="H238" s="105">
        <f t="shared" ref="H238" si="273">H468+H469+H470+H261</f>
        <v>10998</v>
      </c>
      <c r="I238" s="105">
        <f t="shared" si="272"/>
        <v>8829</v>
      </c>
      <c r="J238" s="105">
        <f t="shared" si="272"/>
        <v>22559</v>
      </c>
      <c r="K238" s="197">
        <f t="shared" ref="K238:N238" si="274">K468+K469+K470+K261</f>
        <v>5221</v>
      </c>
      <c r="L238" s="105">
        <f t="shared" si="274"/>
        <v>5251</v>
      </c>
      <c r="M238" s="105">
        <f t="shared" si="274"/>
        <v>6150</v>
      </c>
      <c r="N238" s="105">
        <f t="shared" si="274"/>
        <v>5937</v>
      </c>
      <c r="O238" s="30">
        <f t="shared" si="217"/>
        <v>22559</v>
      </c>
      <c r="P238" s="100">
        <f t="shared" si="218"/>
        <v>0</v>
      </c>
      <c r="Q238" s="105">
        <f t="shared" si="272"/>
        <v>80</v>
      </c>
      <c r="R238" s="105">
        <f t="shared" si="272"/>
        <v>80</v>
      </c>
      <c r="S238" s="105">
        <f t="shared" si="272"/>
        <v>80</v>
      </c>
      <c r="T238" s="38"/>
    </row>
    <row r="239" spans="1:21" ht="17.25" customHeight="1">
      <c r="A239" s="12"/>
      <c r="B239" s="33" t="s">
        <v>166</v>
      </c>
      <c r="C239" s="37" t="s">
        <v>167</v>
      </c>
      <c r="D239" s="105">
        <f t="shared" ref="D239:S240" si="275">D468</f>
        <v>0</v>
      </c>
      <c r="E239" s="105">
        <f t="shared" si="275"/>
        <v>16090</v>
      </c>
      <c r="F239" s="105">
        <f t="shared" si="275"/>
        <v>10000</v>
      </c>
      <c r="G239" s="105">
        <f t="shared" si="275"/>
        <v>16090</v>
      </c>
      <c r="H239" s="105">
        <f t="shared" ref="H239" si="276">H468</f>
        <v>10384</v>
      </c>
      <c r="I239" s="105">
        <f t="shared" si="275"/>
        <v>0</v>
      </c>
      <c r="J239" s="105">
        <f t="shared" si="275"/>
        <v>18258</v>
      </c>
      <c r="K239" s="197">
        <f t="shared" ref="K239:N239" si="277">K468</f>
        <v>1621</v>
      </c>
      <c r="L239" s="105">
        <f t="shared" si="277"/>
        <v>5000</v>
      </c>
      <c r="M239" s="105">
        <f t="shared" si="277"/>
        <v>6000</v>
      </c>
      <c r="N239" s="105">
        <f t="shared" si="277"/>
        <v>5637</v>
      </c>
      <c r="O239" s="30">
        <f t="shared" si="217"/>
        <v>18258</v>
      </c>
      <c r="P239" s="100">
        <f t="shared" si="218"/>
        <v>0</v>
      </c>
      <c r="Q239" s="105">
        <f t="shared" si="275"/>
        <v>0</v>
      </c>
      <c r="R239" s="105">
        <f t="shared" si="275"/>
        <v>0</v>
      </c>
      <c r="S239" s="105">
        <f t="shared" si="275"/>
        <v>0</v>
      </c>
    </row>
    <row r="240" spans="1:21" ht="15" customHeight="1">
      <c r="A240" s="12"/>
      <c r="B240" s="33" t="s">
        <v>168</v>
      </c>
      <c r="C240" s="37" t="s">
        <v>169</v>
      </c>
      <c r="D240" s="105">
        <f t="shared" si="275"/>
        <v>0</v>
      </c>
      <c r="E240" s="105">
        <f t="shared" si="275"/>
        <v>875</v>
      </c>
      <c r="F240" s="105">
        <f t="shared" si="275"/>
        <v>0</v>
      </c>
      <c r="G240" s="105">
        <f t="shared" si="275"/>
        <v>875</v>
      </c>
      <c r="H240" s="105">
        <f t="shared" ref="H240" si="278">H469</f>
        <v>0</v>
      </c>
      <c r="I240" s="105">
        <f t="shared" si="275"/>
        <v>331</v>
      </c>
      <c r="J240" s="105">
        <f t="shared" si="275"/>
        <v>0</v>
      </c>
      <c r="K240" s="197">
        <f t="shared" ref="K240:N240" si="279">K469</f>
        <v>0</v>
      </c>
      <c r="L240" s="105">
        <f t="shared" si="279"/>
        <v>0</v>
      </c>
      <c r="M240" s="105">
        <f t="shared" si="279"/>
        <v>0</v>
      </c>
      <c r="N240" s="105">
        <f t="shared" si="279"/>
        <v>0</v>
      </c>
      <c r="O240" s="30">
        <f t="shared" si="217"/>
        <v>0</v>
      </c>
      <c r="P240" s="100">
        <f t="shared" si="218"/>
        <v>0</v>
      </c>
      <c r="Q240" s="105">
        <f t="shared" si="275"/>
        <v>0</v>
      </c>
      <c r="R240" s="105">
        <f t="shared" si="275"/>
        <v>0</v>
      </c>
      <c r="S240" s="105">
        <f t="shared" si="275"/>
        <v>0</v>
      </c>
    </row>
    <row r="241" spans="1:19" ht="18" customHeight="1">
      <c r="A241" s="12"/>
      <c r="B241" s="33" t="s">
        <v>170</v>
      </c>
      <c r="C241" s="37" t="s">
        <v>171</v>
      </c>
      <c r="D241" s="105">
        <f t="shared" ref="D241:S241" si="280">D470+D262</f>
        <v>851</v>
      </c>
      <c r="E241" s="105">
        <f t="shared" si="280"/>
        <v>3993.9</v>
      </c>
      <c r="F241" s="105">
        <f t="shared" si="280"/>
        <v>44</v>
      </c>
      <c r="G241" s="105">
        <f t="shared" si="280"/>
        <v>3993.9</v>
      </c>
      <c r="H241" s="105">
        <f t="shared" ref="H241" si="281">H470+H262</f>
        <v>614</v>
      </c>
      <c r="I241" s="105">
        <f t="shared" si="280"/>
        <v>8723</v>
      </c>
      <c r="J241" s="105">
        <f t="shared" si="280"/>
        <v>4301</v>
      </c>
      <c r="K241" s="197">
        <f t="shared" ref="K241:N241" si="282">K470+K262</f>
        <v>3600</v>
      </c>
      <c r="L241" s="105">
        <f t="shared" si="282"/>
        <v>251</v>
      </c>
      <c r="M241" s="105">
        <f t="shared" si="282"/>
        <v>150</v>
      </c>
      <c r="N241" s="105">
        <f t="shared" si="282"/>
        <v>300</v>
      </c>
      <c r="O241" s="30">
        <f t="shared" si="217"/>
        <v>4301</v>
      </c>
      <c r="P241" s="100">
        <f t="shared" si="218"/>
        <v>0</v>
      </c>
      <c r="Q241" s="105">
        <f t="shared" si="280"/>
        <v>80</v>
      </c>
      <c r="R241" s="105">
        <f t="shared" si="280"/>
        <v>80</v>
      </c>
      <c r="S241" s="105">
        <f t="shared" si="280"/>
        <v>80</v>
      </c>
    </row>
    <row r="242" spans="1:19" ht="15.75" customHeight="1">
      <c r="A242" s="12"/>
      <c r="B242" s="129" t="s">
        <v>172</v>
      </c>
      <c r="C242" s="135">
        <v>55</v>
      </c>
      <c r="D242" s="138">
        <f t="shared" ref="D242:S242" si="283">D263+D1070+D471</f>
        <v>950.47</v>
      </c>
      <c r="E242" s="138">
        <f t="shared" si="283"/>
        <v>945</v>
      </c>
      <c r="F242" s="138">
        <f t="shared" si="283"/>
        <v>945</v>
      </c>
      <c r="G242" s="138">
        <f t="shared" si="283"/>
        <v>945</v>
      </c>
      <c r="H242" s="138">
        <f t="shared" si="283"/>
        <v>0</v>
      </c>
      <c r="I242" s="138">
        <f t="shared" si="283"/>
        <v>16843</v>
      </c>
      <c r="J242" s="138">
        <f t="shared" si="283"/>
        <v>936</v>
      </c>
      <c r="K242" s="206">
        <f t="shared" ref="K242:N242" si="284">K263+K1070+K471</f>
        <v>234</v>
      </c>
      <c r="L242" s="138">
        <f t="shared" si="284"/>
        <v>234</v>
      </c>
      <c r="M242" s="138">
        <f t="shared" si="284"/>
        <v>234</v>
      </c>
      <c r="N242" s="138">
        <f t="shared" si="284"/>
        <v>234</v>
      </c>
      <c r="O242" s="30">
        <f t="shared" si="217"/>
        <v>936</v>
      </c>
      <c r="P242" s="100">
        <f t="shared" si="218"/>
        <v>0</v>
      </c>
      <c r="Q242" s="138">
        <f t="shared" si="283"/>
        <v>936</v>
      </c>
      <c r="R242" s="138">
        <f t="shared" si="283"/>
        <v>936</v>
      </c>
      <c r="S242" s="138">
        <f t="shared" si="283"/>
        <v>936</v>
      </c>
    </row>
    <row r="243" spans="1:19" ht="19.5" customHeight="1">
      <c r="A243" s="12"/>
      <c r="B243" s="129" t="s">
        <v>173</v>
      </c>
      <c r="C243" s="135">
        <v>56</v>
      </c>
      <c r="D243" s="138">
        <f t="shared" ref="D243:S243" si="285">D264+D472+D993+D1072</f>
        <v>85</v>
      </c>
      <c r="E243" s="138">
        <f t="shared" si="285"/>
        <v>219.62</v>
      </c>
      <c r="F243" s="138">
        <f t="shared" si="285"/>
        <v>0</v>
      </c>
      <c r="G243" s="138">
        <f t="shared" si="285"/>
        <v>219.62</v>
      </c>
      <c r="H243" s="138">
        <f t="shared" si="285"/>
        <v>0</v>
      </c>
      <c r="I243" s="138">
        <f t="shared" si="285"/>
        <v>353</v>
      </c>
      <c r="J243" s="138">
        <f t="shared" si="285"/>
        <v>353</v>
      </c>
      <c r="K243" s="206">
        <f t="shared" ref="K243:N243" si="286">K264+K472+K993+K1072</f>
        <v>353</v>
      </c>
      <c r="L243" s="138">
        <f t="shared" si="286"/>
        <v>0</v>
      </c>
      <c r="M243" s="138">
        <f t="shared" si="286"/>
        <v>0</v>
      </c>
      <c r="N243" s="138">
        <f t="shared" si="286"/>
        <v>0</v>
      </c>
      <c r="O243" s="30">
        <f t="shared" si="217"/>
        <v>353</v>
      </c>
      <c r="P243" s="100">
        <f t="shared" si="218"/>
        <v>0</v>
      </c>
      <c r="Q243" s="138">
        <f t="shared" si="285"/>
        <v>0</v>
      </c>
      <c r="R243" s="138">
        <f t="shared" si="285"/>
        <v>0</v>
      </c>
      <c r="S243" s="138">
        <f t="shared" si="285"/>
        <v>0</v>
      </c>
    </row>
    <row r="244" spans="1:19" ht="15.75" customHeight="1">
      <c r="A244" s="12"/>
      <c r="B244" s="129" t="s">
        <v>173</v>
      </c>
      <c r="C244" s="135">
        <v>58</v>
      </c>
      <c r="D244" s="105">
        <f t="shared" ref="D244:S244" si="287">D994+D265+D1073+D473</f>
        <v>6412.6800000000012</v>
      </c>
      <c r="E244" s="105">
        <f t="shared" si="287"/>
        <v>106619</v>
      </c>
      <c r="F244" s="105">
        <f t="shared" si="287"/>
        <v>106129</v>
      </c>
      <c r="G244" s="105">
        <f t="shared" si="287"/>
        <v>106619</v>
      </c>
      <c r="H244" s="105">
        <f t="shared" si="287"/>
        <v>58650.75</v>
      </c>
      <c r="I244" s="105">
        <f t="shared" si="287"/>
        <v>172433</v>
      </c>
      <c r="J244" s="105">
        <f t="shared" si="287"/>
        <v>170049</v>
      </c>
      <c r="K244" s="197">
        <f t="shared" ref="K244:N244" si="288">K994+K265+K1073+K473</f>
        <v>10635</v>
      </c>
      <c r="L244" s="105">
        <f t="shared" si="288"/>
        <v>54768</v>
      </c>
      <c r="M244" s="105">
        <f t="shared" si="288"/>
        <v>61934</v>
      </c>
      <c r="N244" s="105">
        <f t="shared" si="288"/>
        <v>42712</v>
      </c>
      <c r="O244" s="30">
        <f t="shared" si="217"/>
        <v>170049</v>
      </c>
      <c r="P244" s="100">
        <f t="shared" si="218"/>
        <v>0</v>
      </c>
      <c r="Q244" s="105">
        <f t="shared" si="287"/>
        <v>98429</v>
      </c>
      <c r="R244" s="105">
        <f t="shared" si="287"/>
        <v>0</v>
      </c>
      <c r="S244" s="105">
        <f t="shared" si="287"/>
        <v>0</v>
      </c>
    </row>
    <row r="245" spans="1:19" ht="15.75" customHeight="1">
      <c r="A245" s="12"/>
      <c r="B245" s="129" t="s">
        <v>174</v>
      </c>
      <c r="C245" s="135">
        <v>70</v>
      </c>
      <c r="D245" s="138">
        <f t="shared" ref="D245:S245" si="289">D266+D429+D474+D995+D1074</f>
        <v>46005.43</v>
      </c>
      <c r="E245" s="138">
        <f t="shared" si="289"/>
        <v>63885.69</v>
      </c>
      <c r="F245" s="138">
        <f t="shared" si="289"/>
        <v>53365</v>
      </c>
      <c r="G245" s="138">
        <f t="shared" si="289"/>
        <v>63885.89</v>
      </c>
      <c r="H245" s="138">
        <f t="shared" si="289"/>
        <v>23964.2</v>
      </c>
      <c r="I245" s="138">
        <f t="shared" si="289"/>
        <v>233367</v>
      </c>
      <c r="J245" s="138">
        <f t="shared" si="289"/>
        <v>119132</v>
      </c>
      <c r="K245" s="206">
        <f t="shared" ref="K245:N245" si="290">K266+K429+K474+K995+K1074</f>
        <v>12150</v>
      </c>
      <c r="L245" s="138">
        <f t="shared" si="290"/>
        <v>3586</v>
      </c>
      <c r="M245" s="138">
        <f t="shared" si="290"/>
        <v>44445</v>
      </c>
      <c r="N245" s="138">
        <f t="shared" si="290"/>
        <v>58951</v>
      </c>
      <c r="O245" s="30">
        <f t="shared" si="217"/>
        <v>119132</v>
      </c>
      <c r="P245" s="100">
        <f t="shared" si="218"/>
        <v>0</v>
      </c>
      <c r="Q245" s="138">
        <f t="shared" si="289"/>
        <v>10813</v>
      </c>
      <c r="R245" s="138">
        <f t="shared" si="289"/>
        <v>11994</v>
      </c>
      <c r="S245" s="138">
        <f t="shared" si="289"/>
        <v>15026</v>
      </c>
    </row>
    <row r="246" spans="1:19" ht="20.25" customHeight="1">
      <c r="A246" s="12"/>
      <c r="B246" s="116" t="s">
        <v>163</v>
      </c>
      <c r="C246" s="135">
        <v>85.02</v>
      </c>
      <c r="D246" s="46">
        <f>D996+D267</f>
        <v>-21.6</v>
      </c>
      <c r="E246" s="46">
        <f t="shared" ref="E246:S246" si="291">E996</f>
        <v>-219.62</v>
      </c>
      <c r="F246" s="46">
        <f t="shared" si="291"/>
        <v>0</v>
      </c>
      <c r="G246" s="46">
        <f t="shared" si="291"/>
        <v>-219.62</v>
      </c>
      <c r="H246" s="46">
        <f t="shared" ref="H246" si="292">H996</f>
        <v>0</v>
      </c>
      <c r="I246" s="46">
        <f t="shared" si="291"/>
        <v>0</v>
      </c>
      <c r="J246" s="46">
        <f t="shared" si="291"/>
        <v>0</v>
      </c>
      <c r="K246" s="201">
        <f t="shared" ref="K246:N246" si="293">K996</f>
        <v>0</v>
      </c>
      <c r="L246" s="46">
        <f t="shared" si="293"/>
        <v>0</v>
      </c>
      <c r="M246" s="46">
        <f t="shared" si="293"/>
        <v>0</v>
      </c>
      <c r="N246" s="46">
        <f t="shared" si="293"/>
        <v>0</v>
      </c>
      <c r="O246" s="30">
        <f t="shared" si="217"/>
        <v>0</v>
      </c>
      <c r="P246" s="100">
        <f t="shared" si="218"/>
        <v>0</v>
      </c>
      <c r="Q246" s="46">
        <f t="shared" si="291"/>
        <v>0</v>
      </c>
      <c r="R246" s="46">
        <f t="shared" si="291"/>
        <v>0</v>
      </c>
      <c r="S246" s="46">
        <f t="shared" si="291"/>
        <v>0</v>
      </c>
    </row>
    <row r="247" spans="1:19" ht="17.25" customHeight="1">
      <c r="A247" s="181" t="s">
        <v>2</v>
      </c>
      <c r="B247" s="238" t="s">
        <v>672</v>
      </c>
      <c r="C247" s="239">
        <v>50.02</v>
      </c>
      <c r="D247" s="139">
        <f t="shared" ref="D247:S247" si="294">D268+D387+D415</f>
        <v>36016.740000000005</v>
      </c>
      <c r="E247" s="139">
        <f t="shared" si="294"/>
        <v>90723.61</v>
      </c>
      <c r="F247" s="139">
        <f t="shared" si="294"/>
        <v>92443</v>
      </c>
      <c r="G247" s="139">
        <f t="shared" si="294"/>
        <v>90723.61</v>
      </c>
      <c r="H247" s="139">
        <f t="shared" ref="H247" si="295">H268+H387+H415</f>
        <v>53113</v>
      </c>
      <c r="I247" s="139">
        <f t="shared" si="294"/>
        <v>175397</v>
      </c>
      <c r="J247" s="139">
        <f t="shared" si="294"/>
        <v>178367</v>
      </c>
      <c r="K247" s="207">
        <f t="shared" ref="K247:N247" si="296">K268+K387+K415</f>
        <v>17052</v>
      </c>
      <c r="L247" s="139">
        <f t="shared" si="296"/>
        <v>26945</v>
      </c>
      <c r="M247" s="139">
        <f t="shared" si="296"/>
        <v>67118</v>
      </c>
      <c r="N247" s="139">
        <f t="shared" si="296"/>
        <v>67252</v>
      </c>
      <c r="O247" s="30">
        <f t="shared" si="217"/>
        <v>178367</v>
      </c>
      <c r="P247" s="100">
        <f t="shared" si="218"/>
        <v>0</v>
      </c>
      <c r="Q247" s="139">
        <f t="shared" si="294"/>
        <v>115673</v>
      </c>
      <c r="R247" s="139">
        <f t="shared" si="294"/>
        <v>51311</v>
      </c>
      <c r="S247" s="139">
        <f t="shared" si="294"/>
        <v>55879</v>
      </c>
    </row>
    <row r="248" spans="1:19" ht="18.75" customHeight="1">
      <c r="A248" s="182"/>
      <c r="B248" s="129" t="s">
        <v>152</v>
      </c>
      <c r="C248" s="240"/>
      <c r="D248" s="139">
        <f t="shared" ref="D248:S248" si="297">D269+D389+D393+D402+D412+D416</f>
        <v>34755.919999999998</v>
      </c>
      <c r="E248" s="139">
        <f t="shared" si="297"/>
        <v>46238.61</v>
      </c>
      <c r="F248" s="139">
        <f t="shared" si="297"/>
        <v>48658</v>
      </c>
      <c r="G248" s="139">
        <f t="shared" si="297"/>
        <v>46238.61</v>
      </c>
      <c r="H248" s="139">
        <f t="shared" ref="H248" si="298">H269+H389+H393+H402+H412+H416</f>
        <v>41876</v>
      </c>
      <c r="I248" s="139">
        <f t="shared" si="297"/>
        <v>51414</v>
      </c>
      <c r="J248" s="139">
        <f t="shared" si="297"/>
        <v>55694</v>
      </c>
      <c r="K248" s="207">
        <f t="shared" ref="K248:N248" si="299">K269+K389+K393+K402+K412+K416</f>
        <v>14347</v>
      </c>
      <c r="L248" s="139">
        <f t="shared" si="299"/>
        <v>13423</v>
      </c>
      <c r="M248" s="139">
        <f t="shared" si="299"/>
        <v>13023</v>
      </c>
      <c r="N248" s="139">
        <f t="shared" si="299"/>
        <v>14901</v>
      </c>
      <c r="O248" s="30">
        <f t="shared" si="217"/>
        <v>55694</v>
      </c>
      <c r="P248" s="100">
        <f t="shared" si="218"/>
        <v>0</v>
      </c>
      <c r="Q248" s="139">
        <f t="shared" si="297"/>
        <v>50341</v>
      </c>
      <c r="R248" s="139">
        <f t="shared" si="297"/>
        <v>51311</v>
      </c>
      <c r="S248" s="139">
        <f t="shared" si="297"/>
        <v>55879</v>
      </c>
    </row>
    <row r="249" spans="1:19" ht="14.25">
      <c r="A249" s="12"/>
      <c r="B249" s="116" t="s">
        <v>153</v>
      </c>
      <c r="C249" s="135"/>
      <c r="D249" s="104">
        <f t="shared" ref="D249:S249" si="300">D270+D390+D394+D413+D417</f>
        <v>34857.699999999997</v>
      </c>
      <c r="E249" s="104">
        <f t="shared" si="300"/>
        <v>40655.61</v>
      </c>
      <c r="F249" s="104">
        <f t="shared" si="300"/>
        <v>42858</v>
      </c>
      <c r="G249" s="104">
        <f t="shared" si="300"/>
        <v>40655.61</v>
      </c>
      <c r="H249" s="104">
        <f t="shared" ref="H249" si="301">H270+H390+H394+H413+H417</f>
        <v>36350</v>
      </c>
      <c r="I249" s="104">
        <f t="shared" si="300"/>
        <v>45614</v>
      </c>
      <c r="J249" s="104">
        <f t="shared" si="300"/>
        <v>49894</v>
      </c>
      <c r="K249" s="196">
        <f t="shared" ref="K249:N249" si="302">K270+K390+K394+K413+K417</f>
        <v>12847</v>
      </c>
      <c r="L249" s="104">
        <f t="shared" si="302"/>
        <v>11923</v>
      </c>
      <c r="M249" s="104">
        <f t="shared" si="302"/>
        <v>11523</v>
      </c>
      <c r="N249" s="104">
        <f t="shared" si="302"/>
        <v>13601</v>
      </c>
      <c r="O249" s="30">
        <f t="shared" si="217"/>
        <v>49894</v>
      </c>
      <c r="P249" s="100">
        <f t="shared" si="218"/>
        <v>0</v>
      </c>
      <c r="Q249" s="104">
        <f t="shared" si="300"/>
        <v>44541</v>
      </c>
      <c r="R249" s="104">
        <f t="shared" si="300"/>
        <v>45011</v>
      </c>
      <c r="S249" s="104">
        <f t="shared" si="300"/>
        <v>44479</v>
      </c>
    </row>
    <row r="250" spans="1:19" ht="14.25">
      <c r="A250" s="12"/>
      <c r="B250" s="116" t="s">
        <v>154</v>
      </c>
      <c r="C250" s="135">
        <v>10</v>
      </c>
      <c r="D250" s="102">
        <f t="shared" ref="D250:S250" si="303">D271+D408</f>
        <v>24379.54</v>
      </c>
      <c r="E250" s="102">
        <f t="shared" si="303"/>
        <v>25930.81</v>
      </c>
      <c r="F250" s="102">
        <f t="shared" si="303"/>
        <v>28000</v>
      </c>
      <c r="G250" s="102">
        <f t="shared" si="303"/>
        <v>25930.81</v>
      </c>
      <c r="H250" s="102">
        <f t="shared" ref="H250" si="304">H271+H408</f>
        <v>24611</v>
      </c>
      <c r="I250" s="102">
        <f t="shared" si="303"/>
        <v>29951</v>
      </c>
      <c r="J250" s="102">
        <f t="shared" si="303"/>
        <v>30000</v>
      </c>
      <c r="K250" s="208">
        <f t="shared" ref="K250:N250" si="305">K271+K408</f>
        <v>7500</v>
      </c>
      <c r="L250" s="102">
        <f t="shared" si="305"/>
        <v>7200</v>
      </c>
      <c r="M250" s="102">
        <f t="shared" si="305"/>
        <v>7200</v>
      </c>
      <c r="N250" s="102">
        <f t="shared" si="305"/>
        <v>8100</v>
      </c>
      <c r="O250" s="30">
        <f t="shared" si="217"/>
        <v>30000</v>
      </c>
      <c r="P250" s="100">
        <f t="shared" si="218"/>
        <v>0</v>
      </c>
      <c r="Q250" s="102">
        <f t="shared" si="303"/>
        <v>30000</v>
      </c>
      <c r="R250" s="102">
        <f t="shared" si="303"/>
        <v>30000</v>
      </c>
      <c r="S250" s="102">
        <f t="shared" si="303"/>
        <v>30000</v>
      </c>
    </row>
    <row r="251" spans="1:19" ht="14.25">
      <c r="A251" s="12"/>
      <c r="B251" s="116" t="s">
        <v>581</v>
      </c>
      <c r="C251" s="135">
        <v>20</v>
      </c>
      <c r="D251" s="102">
        <f t="shared" ref="D251:S251" si="306">D272+D418+D409</f>
        <v>6889.56</v>
      </c>
      <c r="E251" s="102">
        <f t="shared" si="306"/>
        <v>9889.7999999999993</v>
      </c>
      <c r="F251" s="102">
        <f t="shared" si="306"/>
        <v>9813</v>
      </c>
      <c r="G251" s="102">
        <f t="shared" si="306"/>
        <v>9889.7999999999993</v>
      </c>
      <c r="H251" s="102">
        <f t="shared" ref="H251" si="307">H272+H418+H409</f>
        <v>8088</v>
      </c>
      <c r="I251" s="102">
        <f t="shared" si="306"/>
        <v>9907</v>
      </c>
      <c r="J251" s="102">
        <f t="shared" si="306"/>
        <v>14404</v>
      </c>
      <c r="K251" s="208">
        <f t="shared" ref="K251:N251" si="308">K272+K418+K409</f>
        <v>3477</v>
      </c>
      <c r="L251" s="102">
        <f t="shared" si="308"/>
        <v>3293</v>
      </c>
      <c r="M251" s="102">
        <f t="shared" si="308"/>
        <v>3193</v>
      </c>
      <c r="N251" s="102">
        <f t="shared" si="308"/>
        <v>4441</v>
      </c>
      <c r="O251" s="30">
        <f t="shared" si="217"/>
        <v>14404</v>
      </c>
      <c r="P251" s="100">
        <f t="shared" si="218"/>
        <v>0</v>
      </c>
      <c r="Q251" s="102">
        <f t="shared" si="306"/>
        <v>8211</v>
      </c>
      <c r="R251" s="102">
        <f t="shared" si="306"/>
        <v>8611</v>
      </c>
      <c r="S251" s="102">
        <f t="shared" si="306"/>
        <v>8369</v>
      </c>
    </row>
    <row r="252" spans="1:19" ht="14.25">
      <c r="A252" s="12"/>
      <c r="B252" s="116" t="s">
        <v>156</v>
      </c>
      <c r="C252" s="135">
        <v>30</v>
      </c>
      <c r="D252" s="102">
        <f t="shared" ref="D252:S252" si="309">D419</f>
        <v>0</v>
      </c>
      <c r="E252" s="102">
        <f t="shared" si="309"/>
        <v>1000</v>
      </c>
      <c r="F252" s="102">
        <f t="shared" si="309"/>
        <v>1000</v>
      </c>
      <c r="G252" s="102">
        <f t="shared" si="309"/>
        <v>1000</v>
      </c>
      <c r="H252" s="102">
        <f t="shared" ref="H252" si="310">H419</f>
        <v>581</v>
      </c>
      <c r="I252" s="102">
        <f t="shared" si="309"/>
        <v>1740</v>
      </c>
      <c r="J252" s="102">
        <f t="shared" si="309"/>
        <v>1740</v>
      </c>
      <c r="K252" s="208">
        <f t="shared" ref="K252:N252" si="311">K419</f>
        <v>840</v>
      </c>
      <c r="L252" s="102">
        <f t="shared" si="311"/>
        <v>300</v>
      </c>
      <c r="M252" s="102">
        <f t="shared" si="311"/>
        <v>300</v>
      </c>
      <c r="N252" s="102">
        <f t="shared" si="311"/>
        <v>300</v>
      </c>
      <c r="O252" s="30">
        <f t="shared" si="217"/>
        <v>1740</v>
      </c>
      <c r="P252" s="100">
        <f t="shared" si="218"/>
        <v>0</v>
      </c>
      <c r="Q252" s="102">
        <f t="shared" si="309"/>
        <v>2580</v>
      </c>
      <c r="R252" s="102">
        <f t="shared" si="309"/>
        <v>2650</v>
      </c>
      <c r="S252" s="102">
        <f t="shared" si="309"/>
        <v>2360</v>
      </c>
    </row>
    <row r="253" spans="1:19" ht="14.25">
      <c r="A253" s="12"/>
      <c r="B253" s="116" t="s">
        <v>175</v>
      </c>
      <c r="C253" s="135">
        <v>50</v>
      </c>
      <c r="D253" s="102">
        <f t="shared" ref="D253:S253" si="312">D391</f>
        <v>0</v>
      </c>
      <c r="E253" s="102">
        <f t="shared" si="312"/>
        <v>500</v>
      </c>
      <c r="F253" s="102">
        <f t="shared" si="312"/>
        <v>500</v>
      </c>
      <c r="G253" s="102">
        <f t="shared" si="312"/>
        <v>500</v>
      </c>
      <c r="H253" s="102">
        <f t="shared" ref="H253" si="313">H391</f>
        <v>0</v>
      </c>
      <c r="I253" s="102">
        <f t="shared" si="312"/>
        <v>500</v>
      </c>
      <c r="J253" s="102">
        <f t="shared" si="312"/>
        <v>500</v>
      </c>
      <c r="K253" s="208">
        <f t="shared" ref="K253:N253" si="314">K391</f>
        <v>200</v>
      </c>
      <c r="L253" s="102">
        <f t="shared" si="314"/>
        <v>300</v>
      </c>
      <c r="M253" s="102">
        <f t="shared" si="314"/>
        <v>0</v>
      </c>
      <c r="N253" s="102">
        <f t="shared" si="314"/>
        <v>0</v>
      </c>
      <c r="O253" s="30">
        <f t="shared" si="217"/>
        <v>500</v>
      </c>
      <c r="P253" s="100">
        <f t="shared" si="218"/>
        <v>0</v>
      </c>
      <c r="Q253" s="102">
        <f t="shared" si="312"/>
        <v>500</v>
      </c>
      <c r="R253" s="102">
        <f t="shared" si="312"/>
        <v>500</v>
      </c>
      <c r="S253" s="102">
        <f t="shared" si="312"/>
        <v>500</v>
      </c>
    </row>
    <row r="254" spans="1:19" ht="14.25">
      <c r="A254" s="12"/>
      <c r="B254" s="116" t="s">
        <v>158</v>
      </c>
      <c r="C254" s="135">
        <v>51</v>
      </c>
      <c r="D254" s="102">
        <f t="shared" ref="D254:S254" si="315">D395+D414</f>
        <v>3334</v>
      </c>
      <c r="E254" s="102">
        <f t="shared" si="315"/>
        <v>2975</v>
      </c>
      <c r="F254" s="102">
        <f t="shared" si="315"/>
        <v>3255</v>
      </c>
      <c r="G254" s="102">
        <f t="shared" si="315"/>
        <v>2975</v>
      </c>
      <c r="H254" s="102">
        <f t="shared" ref="H254" si="316">H395+H414</f>
        <v>2850</v>
      </c>
      <c r="I254" s="102">
        <f t="shared" si="315"/>
        <v>3226</v>
      </c>
      <c r="J254" s="102">
        <f t="shared" si="315"/>
        <v>2950</v>
      </c>
      <c r="K254" s="208">
        <f t="shared" ref="K254:N254" si="317">K395+K414</f>
        <v>750</v>
      </c>
      <c r="L254" s="102">
        <f t="shared" si="317"/>
        <v>750</v>
      </c>
      <c r="M254" s="102">
        <f t="shared" si="317"/>
        <v>750</v>
      </c>
      <c r="N254" s="102">
        <f t="shared" si="317"/>
        <v>700</v>
      </c>
      <c r="O254" s="30">
        <f t="shared" si="217"/>
        <v>2950</v>
      </c>
      <c r="P254" s="100">
        <f t="shared" si="218"/>
        <v>0</v>
      </c>
      <c r="Q254" s="102">
        <f t="shared" si="315"/>
        <v>2950</v>
      </c>
      <c r="R254" s="102">
        <f t="shared" si="315"/>
        <v>2950</v>
      </c>
      <c r="S254" s="102">
        <f t="shared" si="315"/>
        <v>2950</v>
      </c>
    </row>
    <row r="255" spans="1:19" ht="15" customHeight="1">
      <c r="A255" s="12"/>
      <c r="B255" s="116" t="s">
        <v>159</v>
      </c>
      <c r="C255" s="135">
        <v>55</v>
      </c>
      <c r="D255" s="102">
        <f t="shared" ref="D255:S256" si="318">D273</f>
        <v>0</v>
      </c>
      <c r="E255" s="102">
        <f t="shared" si="318"/>
        <v>0</v>
      </c>
      <c r="F255" s="102">
        <f t="shared" si="318"/>
        <v>0</v>
      </c>
      <c r="G255" s="102">
        <f t="shared" si="318"/>
        <v>0</v>
      </c>
      <c r="H255" s="102">
        <f t="shared" ref="H255" si="319">H273</f>
        <v>0</v>
      </c>
      <c r="I255" s="102">
        <f t="shared" si="318"/>
        <v>0</v>
      </c>
      <c r="J255" s="102">
        <f t="shared" si="318"/>
        <v>0</v>
      </c>
      <c r="K255" s="208">
        <f t="shared" ref="K255:N255" si="320">K273</f>
        <v>0</v>
      </c>
      <c r="L255" s="102">
        <f t="shared" si="320"/>
        <v>0</v>
      </c>
      <c r="M255" s="102">
        <f t="shared" si="320"/>
        <v>0</v>
      </c>
      <c r="N255" s="102">
        <f t="shared" si="320"/>
        <v>0</v>
      </c>
      <c r="O255" s="30">
        <f t="shared" si="217"/>
        <v>0</v>
      </c>
      <c r="P255" s="100">
        <f t="shared" si="218"/>
        <v>0</v>
      </c>
      <c r="Q255" s="102">
        <f t="shared" si="318"/>
        <v>0</v>
      </c>
      <c r="R255" s="102">
        <f t="shared" si="318"/>
        <v>0</v>
      </c>
      <c r="S255" s="102">
        <f t="shared" si="318"/>
        <v>0</v>
      </c>
    </row>
    <row r="256" spans="1:19" ht="14.25">
      <c r="A256" s="12"/>
      <c r="B256" s="116" t="s">
        <v>176</v>
      </c>
      <c r="C256" s="135">
        <v>57</v>
      </c>
      <c r="D256" s="102">
        <f t="shared" si="318"/>
        <v>0</v>
      </c>
      <c r="E256" s="102">
        <f t="shared" si="318"/>
        <v>0</v>
      </c>
      <c r="F256" s="102">
        <f t="shared" si="318"/>
        <v>0</v>
      </c>
      <c r="G256" s="102">
        <f t="shared" si="318"/>
        <v>0</v>
      </c>
      <c r="H256" s="102">
        <f t="shared" ref="H256" si="321">H274</f>
        <v>0</v>
      </c>
      <c r="I256" s="102">
        <f t="shared" si="318"/>
        <v>0</v>
      </c>
      <c r="J256" s="102">
        <f t="shared" si="318"/>
        <v>0</v>
      </c>
      <c r="K256" s="208">
        <f t="shared" ref="K256:N256" si="322">K274</f>
        <v>0</v>
      </c>
      <c r="L256" s="102">
        <f t="shared" si="322"/>
        <v>0</v>
      </c>
      <c r="M256" s="102">
        <f t="shared" si="322"/>
        <v>0</v>
      </c>
      <c r="N256" s="102">
        <f t="shared" si="322"/>
        <v>0</v>
      </c>
      <c r="O256" s="30">
        <f t="shared" si="217"/>
        <v>0</v>
      </c>
      <c r="P256" s="100">
        <f t="shared" si="218"/>
        <v>0</v>
      </c>
      <c r="Q256" s="102">
        <f t="shared" si="318"/>
        <v>0</v>
      </c>
      <c r="R256" s="102">
        <f t="shared" si="318"/>
        <v>0</v>
      </c>
      <c r="S256" s="102">
        <f t="shared" si="318"/>
        <v>0</v>
      </c>
    </row>
    <row r="257" spans="1:19" ht="14.25">
      <c r="A257" s="12"/>
      <c r="B257" s="116" t="s">
        <v>177</v>
      </c>
      <c r="C257" s="135">
        <v>59</v>
      </c>
      <c r="D257" s="102">
        <f t="shared" ref="D257:S257" si="323">D276</f>
        <v>254.6</v>
      </c>
      <c r="E257" s="102">
        <f t="shared" si="323"/>
        <v>360</v>
      </c>
      <c r="F257" s="102">
        <f t="shared" si="323"/>
        <v>290</v>
      </c>
      <c r="G257" s="102">
        <f t="shared" si="323"/>
        <v>360</v>
      </c>
      <c r="H257" s="102">
        <f t="shared" ref="H257" si="324">H276</f>
        <v>220</v>
      </c>
      <c r="I257" s="102">
        <f t="shared" si="323"/>
        <v>290</v>
      </c>
      <c r="J257" s="102">
        <f t="shared" si="323"/>
        <v>300</v>
      </c>
      <c r="K257" s="208">
        <f t="shared" ref="K257:N257" si="325">K276</f>
        <v>80</v>
      </c>
      <c r="L257" s="102">
        <f t="shared" si="325"/>
        <v>80</v>
      </c>
      <c r="M257" s="102">
        <f t="shared" si="325"/>
        <v>80</v>
      </c>
      <c r="N257" s="102">
        <f t="shared" si="325"/>
        <v>60</v>
      </c>
      <c r="O257" s="30">
        <f t="shared" si="217"/>
        <v>300</v>
      </c>
      <c r="P257" s="100">
        <f t="shared" si="218"/>
        <v>0</v>
      </c>
      <c r="Q257" s="102">
        <f t="shared" si="323"/>
        <v>300</v>
      </c>
      <c r="R257" s="102">
        <f t="shared" si="323"/>
        <v>300</v>
      </c>
      <c r="S257" s="102">
        <f t="shared" si="323"/>
        <v>300</v>
      </c>
    </row>
    <row r="258" spans="1:19" ht="14.25">
      <c r="A258" s="12"/>
      <c r="B258" s="116" t="s">
        <v>162</v>
      </c>
      <c r="C258" s="135">
        <v>79</v>
      </c>
      <c r="D258" s="102">
        <f t="shared" ref="D258:S258" si="326">D403</f>
        <v>0</v>
      </c>
      <c r="E258" s="102">
        <f t="shared" si="326"/>
        <v>5800</v>
      </c>
      <c r="F258" s="102">
        <f t="shared" si="326"/>
        <v>5800</v>
      </c>
      <c r="G258" s="102">
        <f t="shared" si="326"/>
        <v>5800</v>
      </c>
      <c r="H258" s="102">
        <f t="shared" ref="H258" si="327">H403</f>
        <v>5743</v>
      </c>
      <c r="I258" s="102">
        <f t="shared" si="326"/>
        <v>5800</v>
      </c>
      <c r="J258" s="102">
        <f t="shared" si="326"/>
        <v>5800</v>
      </c>
      <c r="K258" s="208">
        <f t="shared" ref="K258:N258" si="328">K403</f>
        <v>1500</v>
      </c>
      <c r="L258" s="102">
        <f t="shared" si="328"/>
        <v>1500</v>
      </c>
      <c r="M258" s="102">
        <f t="shared" si="328"/>
        <v>1500</v>
      </c>
      <c r="N258" s="102">
        <f t="shared" si="328"/>
        <v>1300</v>
      </c>
      <c r="O258" s="30">
        <f t="shared" si="217"/>
        <v>5800</v>
      </c>
      <c r="P258" s="100">
        <f t="shared" si="218"/>
        <v>0</v>
      </c>
      <c r="Q258" s="102">
        <f t="shared" si="326"/>
        <v>5800</v>
      </c>
      <c r="R258" s="102">
        <f t="shared" si="326"/>
        <v>6300</v>
      </c>
      <c r="S258" s="102">
        <f t="shared" si="326"/>
        <v>11400</v>
      </c>
    </row>
    <row r="259" spans="1:19" ht="15.75" customHeight="1">
      <c r="A259" s="12"/>
      <c r="B259" s="116" t="s">
        <v>163</v>
      </c>
      <c r="C259" s="135">
        <v>85.01</v>
      </c>
      <c r="D259" s="46">
        <f>D275</f>
        <v>-93.78</v>
      </c>
      <c r="E259" s="46">
        <f t="shared" ref="E259:S259" si="329">E275</f>
        <v>-217</v>
      </c>
      <c r="F259" s="46">
        <f t="shared" si="329"/>
        <v>0</v>
      </c>
      <c r="G259" s="46">
        <f t="shared" si="329"/>
        <v>-217</v>
      </c>
      <c r="H259" s="46">
        <f t="shared" ref="H259" si="330">H275</f>
        <v>-217</v>
      </c>
      <c r="I259" s="46">
        <f t="shared" si="329"/>
        <v>0</v>
      </c>
      <c r="J259" s="46">
        <f t="shared" si="329"/>
        <v>0</v>
      </c>
      <c r="K259" s="201">
        <f t="shared" ref="K259:N259" si="331">K275</f>
        <v>0</v>
      </c>
      <c r="L259" s="46">
        <f t="shared" si="331"/>
        <v>0</v>
      </c>
      <c r="M259" s="46">
        <f t="shared" si="331"/>
        <v>0</v>
      </c>
      <c r="N259" s="46">
        <f t="shared" si="331"/>
        <v>0</v>
      </c>
      <c r="O259" s="30">
        <f t="shared" si="217"/>
        <v>0</v>
      </c>
      <c r="P259" s="100">
        <f t="shared" si="218"/>
        <v>0</v>
      </c>
      <c r="Q259" s="46">
        <f t="shared" si="329"/>
        <v>0</v>
      </c>
      <c r="R259" s="46">
        <f t="shared" si="329"/>
        <v>0</v>
      </c>
      <c r="S259" s="46">
        <f t="shared" si="329"/>
        <v>0</v>
      </c>
    </row>
    <row r="260" spans="1:19" ht="12.75" customHeight="1">
      <c r="A260" s="12"/>
      <c r="B260" s="129" t="s">
        <v>164</v>
      </c>
      <c r="C260" s="135"/>
      <c r="D260" s="102">
        <f>D263+D264+D266+D261+D265+D267</f>
        <v>1225.8200000000002</v>
      </c>
      <c r="E260" s="102">
        <f t="shared" ref="E260" si="332">E263+E264+E266+E261+E265+E267</f>
        <v>44485</v>
      </c>
      <c r="F260" s="102">
        <f t="shared" ref="F260:I260" si="333">F263+F264+F266+F261+F265+F267+F262</f>
        <v>43785</v>
      </c>
      <c r="G260" s="102">
        <f t="shared" si="333"/>
        <v>44485</v>
      </c>
      <c r="H260" s="102">
        <f t="shared" si="333"/>
        <v>11237</v>
      </c>
      <c r="I260" s="102">
        <f t="shared" si="333"/>
        <v>123983</v>
      </c>
      <c r="J260" s="102">
        <f>J263+J264+J266+J261+J265+J267</f>
        <v>122673</v>
      </c>
      <c r="K260" s="208">
        <f t="shared" ref="K260:S260" si="334">K263+K264+K266+K261+K265+K267</f>
        <v>2705</v>
      </c>
      <c r="L260" s="102">
        <f t="shared" si="334"/>
        <v>13522</v>
      </c>
      <c r="M260" s="102">
        <f t="shared" si="334"/>
        <v>54095</v>
      </c>
      <c r="N260" s="102">
        <f t="shared" si="334"/>
        <v>52351</v>
      </c>
      <c r="O260" s="30">
        <f t="shared" si="217"/>
        <v>122673</v>
      </c>
      <c r="P260" s="102">
        <f t="shared" si="334"/>
        <v>0</v>
      </c>
      <c r="Q260" s="102">
        <f t="shared" si="334"/>
        <v>65332</v>
      </c>
      <c r="R260" s="102">
        <f t="shared" si="334"/>
        <v>0</v>
      </c>
      <c r="S260" s="102">
        <f t="shared" si="334"/>
        <v>0</v>
      </c>
    </row>
    <row r="261" spans="1:19" ht="17.25" customHeight="1">
      <c r="A261" s="12"/>
      <c r="B261" s="116" t="s">
        <v>178</v>
      </c>
      <c r="C261" s="135">
        <v>51</v>
      </c>
      <c r="D261" s="46"/>
      <c r="E261" s="30"/>
      <c r="F261" s="46"/>
      <c r="G261" s="30"/>
      <c r="H261" s="30"/>
      <c r="I261" s="30"/>
      <c r="J261" s="30">
        <f>J400</f>
        <v>120</v>
      </c>
      <c r="K261" s="64">
        <f t="shared" ref="K261:S261" si="335">K400</f>
        <v>120</v>
      </c>
      <c r="L261" s="30">
        <f t="shared" si="335"/>
        <v>0</v>
      </c>
      <c r="M261" s="30">
        <f t="shared" si="335"/>
        <v>0</v>
      </c>
      <c r="N261" s="30">
        <f t="shared" si="335"/>
        <v>0</v>
      </c>
      <c r="O261" s="30">
        <f t="shared" si="335"/>
        <v>120</v>
      </c>
      <c r="P261" s="30">
        <f t="shared" si="335"/>
        <v>0</v>
      </c>
      <c r="Q261" s="30">
        <f t="shared" si="335"/>
        <v>0</v>
      </c>
      <c r="R261" s="30">
        <f t="shared" si="335"/>
        <v>0</v>
      </c>
      <c r="S261" s="30">
        <f t="shared" si="335"/>
        <v>0</v>
      </c>
    </row>
    <row r="262" spans="1:19" ht="15" customHeight="1">
      <c r="A262" s="12"/>
      <c r="B262" s="116" t="s">
        <v>179</v>
      </c>
      <c r="C262" s="135" t="s">
        <v>171</v>
      </c>
      <c r="D262" s="46"/>
      <c r="E262" s="30"/>
      <c r="F262" s="30">
        <f t="shared" ref="F262:I262" si="336">F400</f>
        <v>0</v>
      </c>
      <c r="G262" s="30">
        <f t="shared" si="336"/>
        <v>0</v>
      </c>
      <c r="H262" s="30">
        <f t="shared" si="336"/>
        <v>0</v>
      </c>
      <c r="I262" s="30">
        <f t="shared" si="336"/>
        <v>225</v>
      </c>
      <c r="J262" s="30">
        <f>J400</f>
        <v>120</v>
      </c>
      <c r="K262" s="64">
        <f>K400</f>
        <v>120</v>
      </c>
      <c r="L262" s="30">
        <f>L400</f>
        <v>0</v>
      </c>
      <c r="M262" s="30">
        <f>M400</f>
        <v>0</v>
      </c>
      <c r="N262" s="30">
        <f>N400</f>
        <v>0</v>
      </c>
      <c r="O262" s="30">
        <f t="shared" si="217"/>
        <v>120</v>
      </c>
      <c r="P262" s="100">
        <f t="shared" si="218"/>
        <v>0</v>
      </c>
      <c r="Q262" s="30">
        <f t="shared" ref="Q262:S262" si="337">Q400</f>
        <v>0</v>
      </c>
      <c r="R262" s="30">
        <f t="shared" si="337"/>
        <v>0</v>
      </c>
      <c r="S262" s="30">
        <f t="shared" si="337"/>
        <v>0</v>
      </c>
    </row>
    <row r="263" spans="1:19" ht="0.75" customHeight="1">
      <c r="A263" s="12"/>
      <c r="B263" s="116" t="s">
        <v>180</v>
      </c>
      <c r="C263" s="135">
        <v>55</v>
      </c>
      <c r="D263" s="46"/>
      <c r="E263" s="30"/>
      <c r="F263" s="46"/>
      <c r="G263" s="30"/>
      <c r="H263" s="30"/>
      <c r="I263" s="30"/>
      <c r="J263" s="30"/>
      <c r="K263" s="64"/>
      <c r="L263" s="30"/>
      <c r="M263" s="30"/>
      <c r="N263" s="30"/>
      <c r="O263" s="30">
        <f t="shared" si="217"/>
        <v>0</v>
      </c>
      <c r="P263" s="100">
        <f t="shared" si="218"/>
        <v>0</v>
      </c>
      <c r="Q263" s="30"/>
      <c r="R263" s="30"/>
      <c r="S263" s="30"/>
    </row>
    <row r="264" spans="1:19" ht="15" hidden="1" customHeight="1">
      <c r="A264" s="12"/>
      <c r="B264" s="116" t="s">
        <v>173</v>
      </c>
      <c r="C264" s="135">
        <v>56</v>
      </c>
      <c r="D264" s="30"/>
      <c r="E264" s="30"/>
      <c r="F264" s="30"/>
      <c r="G264" s="30"/>
      <c r="H264" s="30"/>
      <c r="I264" s="30"/>
      <c r="J264" s="30"/>
      <c r="K264" s="64"/>
      <c r="L264" s="30"/>
      <c r="M264" s="30"/>
      <c r="N264" s="30"/>
      <c r="O264" s="30">
        <f t="shared" si="217"/>
        <v>0</v>
      </c>
      <c r="P264" s="100">
        <f t="shared" si="218"/>
        <v>0</v>
      </c>
      <c r="Q264" s="30"/>
      <c r="R264" s="30"/>
      <c r="S264" s="30"/>
    </row>
    <row r="265" spans="1:19" ht="14.25">
      <c r="A265" s="12"/>
      <c r="B265" s="116" t="s">
        <v>173</v>
      </c>
      <c r="C265" s="135">
        <v>58</v>
      </c>
      <c r="D265" s="102">
        <f t="shared" ref="D265:S265" si="338">D283</f>
        <v>754</v>
      </c>
      <c r="E265" s="102">
        <f t="shared" si="338"/>
        <v>22242</v>
      </c>
      <c r="F265" s="102">
        <f t="shared" si="338"/>
        <v>21752</v>
      </c>
      <c r="G265" s="102">
        <f t="shared" si="338"/>
        <v>22242</v>
      </c>
      <c r="H265" s="102">
        <f t="shared" ref="H265" si="339">H283</f>
        <v>10785</v>
      </c>
      <c r="I265" s="102">
        <f t="shared" si="338"/>
        <v>44348</v>
      </c>
      <c r="J265" s="102">
        <f t="shared" si="338"/>
        <v>44348</v>
      </c>
      <c r="K265" s="208">
        <f t="shared" ref="K265:N265" si="340">K283</f>
        <v>1585</v>
      </c>
      <c r="L265" s="102">
        <f t="shared" si="340"/>
        <v>12952</v>
      </c>
      <c r="M265" s="102">
        <f t="shared" si="340"/>
        <v>15356</v>
      </c>
      <c r="N265" s="102">
        <f t="shared" si="340"/>
        <v>14455</v>
      </c>
      <c r="O265" s="30">
        <f t="shared" si="217"/>
        <v>44348</v>
      </c>
      <c r="P265" s="100">
        <f t="shared" si="218"/>
        <v>0</v>
      </c>
      <c r="Q265" s="102">
        <f t="shared" si="338"/>
        <v>60215</v>
      </c>
      <c r="R265" s="102">
        <f t="shared" si="338"/>
        <v>0</v>
      </c>
      <c r="S265" s="102">
        <f t="shared" si="338"/>
        <v>0</v>
      </c>
    </row>
    <row r="266" spans="1:19" ht="14.25">
      <c r="A266" s="12"/>
      <c r="B266" s="116" t="s">
        <v>174</v>
      </c>
      <c r="C266" s="135">
        <v>70</v>
      </c>
      <c r="D266" s="102">
        <f t="shared" ref="D266:S266" si="341">D292+D410</f>
        <v>493.42</v>
      </c>
      <c r="E266" s="102">
        <f t="shared" si="341"/>
        <v>22243</v>
      </c>
      <c r="F266" s="102">
        <f t="shared" si="341"/>
        <v>22033</v>
      </c>
      <c r="G266" s="102">
        <f t="shared" si="341"/>
        <v>22243</v>
      </c>
      <c r="H266" s="102">
        <f t="shared" ref="H266" si="342">H292+H410</f>
        <v>452</v>
      </c>
      <c r="I266" s="102">
        <f t="shared" si="341"/>
        <v>79410</v>
      </c>
      <c r="J266" s="102">
        <f t="shared" si="341"/>
        <v>78205</v>
      </c>
      <c r="K266" s="208">
        <f t="shared" ref="K266:N266" si="343">K292+K410</f>
        <v>1000</v>
      </c>
      <c r="L266" s="102">
        <f t="shared" si="343"/>
        <v>570</v>
      </c>
      <c r="M266" s="102">
        <f t="shared" si="343"/>
        <v>38739</v>
      </c>
      <c r="N266" s="102">
        <f t="shared" si="343"/>
        <v>37896</v>
      </c>
      <c r="O266" s="30">
        <f t="shared" si="217"/>
        <v>78205</v>
      </c>
      <c r="P266" s="100">
        <f t="shared" si="218"/>
        <v>0</v>
      </c>
      <c r="Q266" s="102">
        <f t="shared" si="341"/>
        <v>5117</v>
      </c>
      <c r="R266" s="102">
        <f t="shared" si="341"/>
        <v>0</v>
      </c>
      <c r="S266" s="102">
        <f t="shared" si="341"/>
        <v>0</v>
      </c>
    </row>
    <row r="267" spans="1:19" ht="24" customHeight="1">
      <c r="A267" s="12"/>
      <c r="B267" s="120" t="s">
        <v>645</v>
      </c>
      <c r="C267" s="135"/>
      <c r="D267" s="102">
        <f>D308</f>
        <v>-21.6</v>
      </c>
      <c r="E267" s="102">
        <f>E308</f>
        <v>0</v>
      </c>
      <c r="F267" s="102">
        <f t="shared" ref="F267:S267" si="344">F308</f>
        <v>0</v>
      </c>
      <c r="G267" s="102">
        <f t="shared" si="344"/>
        <v>0</v>
      </c>
      <c r="H267" s="102">
        <f t="shared" ref="H267" si="345">H308</f>
        <v>0</v>
      </c>
      <c r="I267" s="102">
        <f t="shared" si="344"/>
        <v>0</v>
      </c>
      <c r="J267" s="102">
        <f t="shared" si="344"/>
        <v>0</v>
      </c>
      <c r="K267" s="208">
        <f t="shared" ref="K267:N267" si="346">K308</f>
        <v>0</v>
      </c>
      <c r="L267" s="102">
        <f t="shared" si="346"/>
        <v>0</v>
      </c>
      <c r="M267" s="102">
        <f t="shared" si="346"/>
        <v>0</v>
      </c>
      <c r="N267" s="102">
        <f t="shared" si="346"/>
        <v>0</v>
      </c>
      <c r="O267" s="30">
        <f t="shared" si="217"/>
        <v>0</v>
      </c>
      <c r="P267" s="100">
        <f t="shared" si="218"/>
        <v>0</v>
      </c>
      <c r="Q267" s="102">
        <f t="shared" si="344"/>
        <v>0</v>
      </c>
      <c r="R267" s="102">
        <f t="shared" si="344"/>
        <v>0</v>
      </c>
      <c r="S267" s="102">
        <f t="shared" si="344"/>
        <v>0</v>
      </c>
    </row>
    <row r="268" spans="1:19" ht="14.25">
      <c r="A268" s="176">
        <v>1</v>
      </c>
      <c r="B268" s="241" t="s">
        <v>181</v>
      </c>
      <c r="C268" s="242" t="s">
        <v>182</v>
      </c>
      <c r="D268" s="140">
        <f t="shared" ref="D268:S268" si="347">D269+D277</f>
        <v>32655.74</v>
      </c>
      <c r="E268" s="140">
        <f t="shared" si="347"/>
        <v>80436.61</v>
      </c>
      <c r="F268" s="140">
        <f t="shared" si="347"/>
        <v>81876</v>
      </c>
      <c r="G268" s="140">
        <f t="shared" si="347"/>
        <v>80436.61</v>
      </c>
      <c r="H268" s="140">
        <f t="shared" ref="H268" si="348">H269+H277</f>
        <v>43930</v>
      </c>
      <c r="I268" s="140">
        <f t="shared" si="347"/>
        <v>163899</v>
      </c>
      <c r="J268" s="140">
        <f t="shared" si="347"/>
        <v>167247</v>
      </c>
      <c r="K268" s="209">
        <f t="shared" ref="K268:N268" si="349">K269+K277</f>
        <v>13632</v>
      </c>
      <c r="L268" s="140">
        <f t="shared" si="349"/>
        <v>24095</v>
      </c>
      <c r="M268" s="140">
        <f t="shared" si="349"/>
        <v>64568</v>
      </c>
      <c r="N268" s="140">
        <f t="shared" si="349"/>
        <v>64952</v>
      </c>
      <c r="O268" s="30">
        <f t="shared" ref="O268:O331" si="350">K268+L268+M268+N268</f>
        <v>167247</v>
      </c>
      <c r="P268" s="100">
        <f t="shared" si="218"/>
        <v>0</v>
      </c>
      <c r="Q268" s="141">
        <f t="shared" si="347"/>
        <v>103839</v>
      </c>
      <c r="R268" s="141">
        <f t="shared" si="347"/>
        <v>38909</v>
      </c>
      <c r="S268" s="141">
        <f t="shared" si="347"/>
        <v>38668</v>
      </c>
    </row>
    <row r="269" spans="1:19" ht="14.25">
      <c r="A269" s="12"/>
      <c r="B269" s="129" t="s">
        <v>152</v>
      </c>
      <c r="C269" s="37"/>
      <c r="D269" s="138">
        <f t="shared" ref="D269:S269" si="351">D270+D275</f>
        <v>31429.920000000002</v>
      </c>
      <c r="E269" s="138">
        <f t="shared" si="351"/>
        <v>35951.61</v>
      </c>
      <c r="F269" s="138">
        <f t="shared" si="351"/>
        <v>38091</v>
      </c>
      <c r="G269" s="138">
        <f t="shared" si="351"/>
        <v>35951.61</v>
      </c>
      <c r="H269" s="138">
        <f t="shared" ref="H269" si="352">H270+H275</f>
        <v>32693</v>
      </c>
      <c r="I269" s="138">
        <f t="shared" si="351"/>
        <v>40141</v>
      </c>
      <c r="J269" s="138">
        <f t="shared" si="351"/>
        <v>44694</v>
      </c>
      <c r="K269" s="206">
        <f t="shared" ref="K269:N269" si="353">K270+K275</f>
        <v>11047</v>
      </c>
      <c r="L269" s="138">
        <f t="shared" si="353"/>
        <v>10573</v>
      </c>
      <c r="M269" s="138">
        <f t="shared" si="353"/>
        <v>10473</v>
      </c>
      <c r="N269" s="138">
        <f t="shared" si="353"/>
        <v>12601</v>
      </c>
      <c r="O269" s="30">
        <f t="shared" si="350"/>
        <v>44694</v>
      </c>
      <c r="P269" s="100">
        <f t="shared" ref="P269:P332" si="354">J269-O269</f>
        <v>0</v>
      </c>
      <c r="Q269" s="138">
        <f t="shared" si="351"/>
        <v>38507</v>
      </c>
      <c r="R269" s="138">
        <f t="shared" si="351"/>
        <v>38909</v>
      </c>
      <c r="S269" s="138">
        <f t="shared" si="351"/>
        <v>38668</v>
      </c>
    </row>
    <row r="270" spans="1:19" ht="14.25">
      <c r="A270" s="12"/>
      <c r="B270" s="116" t="s">
        <v>153</v>
      </c>
      <c r="C270" s="135">
        <v>1</v>
      </c>
      <c r="D270" s="102">
        <f t="shared" ref="D270:S270" si="355">D271+D272+D273+D274+D276</f>
        <v>31523.7</v>
      </c>
      <c r="E270" s="102">
        <f t="shared" si="355"/>
        <v>36168.61</v>
      </c>
      <c r="F270" s="102">
        <f t="shared" si="355"/>
        <v>38091</v>
      </c>
      <c r="G270" s="102">
        <f t="shared" si="355"/>
        <v>36168.61</v>
      </c>
      <c r="H270" s="102">
        <f t="shared" ref="H270" si="356">H271+H272+H273+H274+H276</f>
        <v>32910</v>
      </c>
      <c r="I270" s="102">
        <f t="shared" si="355"/>
        <v>40141</v>
      </c>
      <c r="J270" s="102">
        <f t="shared" si="355"/>
        <v>44694</v>
      </c>
      <c r="K270" s="208">
        <f t="shared" ref="K270:N270" si="357">K271+K272+K273+K274+K276</f>
        <v>11047</v>
      </c>
      <c r="L270" s="102">
        <f t="shared" si="357"/>
        <v>10573</v>
      </c>
      <c r="M270" s="102">
        <f t="shared" si="357"/>
        <v>10473</v>
      </c>
      <c r="N270" s="102">
        <f t="shared" si="357"/>
        <v>12601</v>
      </c>
      <c r="O270" s="30">
        <f t="shared" si="350"/>
        <v>44694</v>
      </c>
      <c r="P270" s="100">
        <f t="shared" si="354"/>
        <v>0</v>
      </c>
      <c r="Q270" s="102">
        <f t="shared" si="355"/>
        <v>38507</v>
      </c>
      <c r="R270" s="102">
        <f t="shared" si="355"/>
        <v>38909</v>
      </c>
      <c r="S270" s="102">
        <f t="shared" si="355"/>
        <v>38668</v>
      </c>
    </row>
    <row r="271" spans="1:19" ht="14.25">
      <c r="A271" s="12"/>
      <c r="B271" s="116" t="s">
        <v>154</v>
      </c>
      <c r="C271" s="135">
        <v>10</v>
      </c>
      <c r="D271" s="46">
        <v>24379.54</v>
      </c>
      <c r="E271" s="30">
        <v>25930.81</v>
      </c>
      <c r="F271" s="46">
        <v>28000</v>
      </c>
      <c r="G271" s="114">
        <v>25930.81</v>
      </c>
      <c r="H271" s="114">
        <v>24611</v>
      </c>
      <c r="I271" s="114">
        <v>29951</v>
      </c>
      <c r="J271" s="114">
        <v>30000</v>
      </c>
      <c r="K271" s="202">
        <v>7500</v>
      </c>
      <c r="L271" s="114">
        <v>7200</v>
      </c>
      <c r="M271" s="114">
        <v>7200</v>
      </c>
      <c r="N271" s="114">
        <v>8100</v>
      </c>
      <c r="O271" s="30">
        <f t="shared" si="350"/>
        <v>30000</v>
      </c>
      <c r="P271" s="100">
        <f t="shared" si="354"/>
        <v>0</v>
      </c>
      <c r="Q271" s="114">
        <v>30000</v>
      </c>
      <c r="R271" s="114">
        <v>30000</v>
      </c>
      <c r="S271" s="114">
        <v>30000</v>
      </c>
    </row>
    <row r="272" spans="1:19" ht="16.5" customHeight="1">
      <c r="A272" s="12"/>
      <c r="B272" s="116" t="s">
        <v>581</v>
      </c>
      <c r="C272" s="135">
        <v>20</v>
      </c>
      <c r="D272" s="46">
        <v>6889.56</v>
      </c>
      <c r="E272" s="30">
        <v>9877.7999999999993</v>
      </c>
      <c r="F272" s="46">
        <f>10452-151-500</f>
        <v>9801</v>
      </c>
      <c r="G272" s="114">
        <v>9877.7999999999993</v>
      </c>
      <c r="H272" s="114">
        <v>8079</v>
      </c>
      <c r="I272" s="122">
        <v>9900</v>
      </c>
      <c r="J272" s="114">
        <f>11434+3000+40-100-300+320</f>
        <v>14394</v>
      </c>
      <c r="K272" s="202">
        <f>3800-404-100+100+71</f>
        <v>3467</v>
      </c>
      <c r="L272" s="114">
        <f>3400-150-34-100+177</f>
        <v>3293</v>
      </c>
      <c r="M272" s="114">
        <f>3400-150+43-100</f>
        <v>3193</v>
      </c>
      <c r="N272" s="114">
        <f>3774+395+300-100+72</f>
        <v>4441</v>
      </c>
      <c r="O272" s="30">
        <f t="shared" si="350"/>
        <v>14394</v>
      </c>
      <c r="P272" s="100">
        <f t="shared" si="354"/>
        <v>0</v>
      </c>
      <c r="Q272" s="114">
        <v>8207</v>
      </c>
      <c r="R272" s="114">
        <v>8609</v>
      </c>
      <c r="S272" s="114">
        <v>8368</v>
      </c>
    </row>
    <row r="273" spans="1:19" ht="16.5" hidden="1" customHeight="1">
      <c r="A273" s="12"/>
      <c r="B273" s="116" t="s">
        <v>183</v>
      </c>
      <c r="C273" s="135" t="s">
        <v>184</v>
      </c>
      <c r="D273" s="46"/>
      <c r="E273" s="30"/>
      <c r="F273" s="46"/>
      <c r="G273" s="114"/>
      <c r="H273" s="114"/>
      <c r="I273" s="122"/>
      <c r="J273" s="114"/>
      <c r="K273" s="202"/>
      <c r="L273" s="114"/>
      <c r="M273" s="114"/>
      <c r="N273" s="114"/>
      <c r="O273" s="30">
        <f t="shared" si="350"/>
        <v>0</v>
      </c>
      <c r="P273" s="100">
        <f t="shared" si="354"/>
        <v>0</v>
      </c>
      <c r="Q273" s="114"/>
      <c r="R273" s="114"/>
      <c r="S273" s="114"/>
    </row>
    <row r="274" spans="1:19" ht="16.5" hidden="1" customHeight="1">
      <c r="A274" s="12"/>
      <c r="B274" s="116" t="s">
        <v>176</v>
      </c>
      <c r="C274" s="135" t="s">
        <v>185</v>
      </c>
      <c r="D274" s="46"/>
      <c r="E274" s="30"/>
      <c r="F274" s="46"/>
      <c r="G274" s="114"/>
      <c r="H274" s="114"/>
      <c r="I274" s="122"/>
      <c r="J274" s="114"/>
      <c r="K274" s="202"/>
      <c r="L274" s="114"/>
      <c r="M274" s="114"/>
      <c r="N274" s="114"/>
      <c r="O274" s="30">
        <f t="shared" si="350"/>
        <v>0</v>
      </c>
      <c r="P274" s="100">
        <f t="shared" si="354"/>
        <v>0</v>
      </c>
      <c r="Q274" s="114"/>
      <c r="R274" s="114"/>
      <c r="S274" s="114"/>
    </row>
    <row r="275" spans="1:19" ht="0.75" customHeight="1">
      <c r="A275" s="183"/>
      <c r="B275" s="116" t="s">
        <v>163</v>
      </c>
      <c r="C275" s="135">
        <v>85.01</v>
      </c>
      <c r="D275" s="46">
        <v>-93.78</v>
      </c>
      <c r="E275" s="30">
        <v>-217</v>
      </c>
      <c r="F275" s="46"/>
      <c r="G275" s="114">
        <v>-217</v>
      </c>
      <c r="H275" s="114">
        <v>-217</v>
      </c>
      <c r="I275" s="122"/>
      <c r="J275" s="114"/>
      <c r="K275" s="202"/>
      <c r="L275" s="114"/>
      <c r="M275" s="114"/>
      <c r="N275" s="114"/>
      <c r="O275" s="30">
        <f t="shared" si="350"/>
        <v>0</v>
      </c>
      <c r="P275" s="100">
        <f t="shared" si="354"/>
        <v>0</v>
      </c>
      <c r="Q275" s="114"/>
      <c r="R275" s="114"/>
      <c r="S275" s="114"/>
    </row>
    <row r="276" spans="1:19" ht="18.75" customHeight="1">
      <c r="A276" s="183"/>
      <c r="B276" s="116" t="s">
        <v>177</v>
      </c>
      <c r="C276" s="135">
        <v>59</v>
      </c>
      <c r="D276" s="46">
        <v>254.6</v>
      </c>
      <c r="E276" s="30">
        <f>290+10+60</f>
        <v>360</v>
      </c>
      <c r="F276" s="46">
        <v>290</v>
      </c>
      <c r="G276" s="114">
        <f>290+10+60</f>
        <v>360</v>
      </c>
      <c r="H276" s="114">
        <v>220</v>
      </c>
      <c r="I276" s="122">
        <v>290</v>
      </c>
      <c r="J276" s="114">
        <v>300</v>
      </c>
      <c r="K276" s="202">
        <v>80</v>
      </c>
      <c r="L276" s="114">
        <v>80</v>
      </c>
      <c r="M276" s="114">
        <v>80</v>
      </c>
      <c r="N276" s="114">
        <v>60</v>
      </c>
      <c r="O276" s="30">
        <f t="shared" si="350"/>
        <v>300</v>
      </c>
      <c r="P276" s="100">
        <f t="shared" si="354"/>
        <v>0</v>
      </c>
      <c r="Q276" s="114">
        <v>300</v>
      </c>
      <c r="R276" s="114">
        <v>300</v>
      </c>
      <c r="S276" s="114">
        <v>300</v>
      </c>
    </row>
    <row r="277" spans="1:19" ht="20.25" customHeight="1">
      <c r="A277" s="12"/>
      <c r="B277" s="232" t="s">
        <v>164</v>
      </c>
      <c r="C277" s="234"/>
      <c r="D277" s="130">
        <f>D280+D282+D292+D307+D278+D283+D308</f>
        <v>1225.8200000000002</v>
      </c>
      <c r="E277" s="130">
        <f t="shared" ref="E277:S277" si="358">E280+E282+E292+E307+E278+E283</f>
        <v>44485</v>
      </c>
      <c r="F277" s="130">
        <f t="shared" si="358"/>
        <v>43785</v>
      </c>
      <c r="G277" s="130">
        <f t="shared" si="358"/>
        <v>44485</v>
      </c>
      <c r="H277" s="130">
        <f t="shared" ref="H277" si="359">H280+H282+H292+H307+H278+H283</f>
        <v>11237</v>
      </c>
      <c r="I277" s="130">
        <f t="shared" si="358"/>
        <v>123758</v>
      </c>
      <c r="J277" s="130">
        <f t="shared" si="358"/>
        <v>122553</v>
      </c>
      <c r="K277" s="204">
        <f t="shared" ref="K277:N277" si="360">K280+K282+K292+K307+K278+K283</f>
        <v>2585</v>
      </c>
      <c r="L277" s="130">
        <f t="shared" si="360"/>
        <v>13522</v>
      </c>
      <c r="M277" s="130">
        <f t="shared" si="360"/>
        <v>54095</v>
      </c>
      <c r="N277" s="130">
        <f t="shared" si="360"/>
        <v>52351</v>
      </c>
      <c r="O277" s="30">
        <f t="shared" si="350"/>
        <v>122553</v>
      </c>
      <c r="P277" s="100">
        <f t="shared" si="354"/>
        <v>0</v>
      </c>
      <c r="Q277" s="142">
        <f t="shared" si="358"/>
        <v>65332</v>
      </c>
      <c r="R277" s="142">
        <f t="shared" si="358"/>
        <v>0</v>
      </c>
      <c r="S277" s="142">
        <f t="shared" si="358"/>
        <v>0</v>
      </c>
    </row>
    <row r="278" spans="1:19" ht="15" hidden="1" customHeight="1">
      <c r="A278" s="12"/>
      <c r="B278" s="143" t="s">
        <v>186</v>
      </c>
      <c r="C278" s="243" t="s">
        <v>187</v>
      </c>
      <c r="D278" s="46"/>
      <c r="E278" s="30"/>
      <c r="F278" s="46"/>
      <c r="G278" s="30"/>
      <c r="H278" s="30"/>
      <c r="I278" s="30"/>
      <c r="J278" s="30"/>
      <c r="K278" s="64"/>
      <c r="L278" s="30"/>
      <c r="M278" s="30"/>
      <c r="N278" s="30"/>
      <c r="O278" s="30">
        <f t="shared" si="350"/>
        <v>0</v>
      </c>
      <c r="P278" s="100">
        <f t="shared" si="354"/>
        <v>0</v>
      </c>
      <c r="Q278" s="30"/>
      <c r="R278" s="30"/>
      <c r="S278" s="30"/>
    </row>
    <row r="279" spans="1:19" ht="45" hidden="1" customHeight="1">
      <c r="A279" s="12"/>
      <c r="B279" s="35" t="s">
        <v>188</v>
      </c>
      <c r="C279" s="135" t="s">
        <v>189</v>
      </c>
      <c r="D279" s="46"/>
      <c r="E279" s="30"/>
      <c r="F279" s="46"/>
      <c r="G279" s="30"/>
      <c r="H279" s="30"/>
      <c r="I279" s="30"/>
      <c r="J279" s="30"/>
      <c r="K279" s="64"/>
      <c r="L279" s="30"/>
      <c r="M279" s="30"/>
      <c r="N279" s="30"/>
      <c r="O279" s="30">
        <f t="shared" si="350"/>
        <v>0</v>
      </c>
      <c r="P279" s="100">
        <f t="shared" si="354"/>
        <v>0</v>
      </c>
      <c r="Q279" s="30"/>
      <c r="R279" s="30"/>
      <c r="S279" s="30"/>
    </row>
    <row r="280" spans="1:19" ht="16.5" hidden="1" customHeight="1">
      <c r="A280" s="12"/>
      <c r="B280" s="143" t="s">
        <v>180</v>
      </c>
      <c r="C280" s="243" t="s">
        <v>190</v>
      </c>
      <c r="D280" s="46"/>
      <c r="E280" s="30"/>
      <c r="F280" s="46"/>
      <c r="G280" s="30"/>
      <c r="H280" s="30"/>
      <c r="I280" s="30"/>
      <c r="J280" s="30"/>
      <c r="K280" s="64"/>
      <c r="L280" s="30"/>
      <c r="M280" s="30"/>
      <c r="N280" s="30"/>
      <c r="O280" s="30">
        <f t="shared" si="350"/>
        <v>0</v>
      </c>
      <c r="P280" s="100">
        <f t="shared" si="354"/>
        <v>0</v>
      </c>
      <c r="Q280" s="30"/>
      <c r="R280" s="30"/>
      <c r="S280" s="30"/>
    </row>
    <row r="281" spans="1:19" ht="16.5" hidden="1" customHeight="1">
      <c r="A281" s="12"/>
      <c r="B281" s="116" t="s">
        <v>191</v>
      </c>
      <c r="C281" s="135" t="s">
        <v>192</v>
      </c>
      <c r="D281" s="46"/>
      <c r="E281" s="30"/>
      <c r="F281" s="46"/>
      <c r="G281" s="30"/>
      <c r="H281" s="30"/>
      <c r="I281" s="30"/>
      <c r="J281" s="30"/>
      <c r="K281" s="64"/>
      <c r="L281" s="30"/>
      <c r="M281" s="30"/>
      <c r="N281" s="30"/>
      <c r="O281" s="30">
        <f t="shared" si="350"/>
        <v>0</v>
      </c>
      <c r="P281" s="100">
        <f t="shared" si="354"/>
        <v>0</v>
      </c>
      <c r="Q281" s="30"/>
      <c r="R281" s="30"/>
      <c r="S281" s="30"/>
    </row>
    <row r="282" spans="1:19" ht="18.75" hidden="1" customHeight="1">
      <c r="A282" s="12"/>
      <c r="B282" s="143" t="s">
        <v>173</v>
      </c>
      <c r="C282" s="243">
        <v>56</v>
      </c>
      <c r="D282" s="46"/>
      <c r="E282" s="30"/>
      <c r="F282" s="46"/>
      <c r="G282" s="30"/>
      <c r="H282" s="30"/>
      <c r="I282" s="30"/>
      <c r="J282" s="30"/>
      <c r="K282" s="64"/>
      <c r="L282" s="30"/>
      <c r="M282" s="30"/>
      <c r="N282" s="30"/>
      <c r="O282" s="30">
        <f t="shared" si="350"/>
        <v>0</v>
      </c>
      <c r="P282" s="100">
        <f t="shared" si="354"/>
        <v>0</v>
      </c>
      <c r="Q282" s="30"/>
      <c r="R282" s="30"/>
      <c r="S282" s="30"/>
    </row>
    <row r="283" spans="1:19" ht="30" customHeight="1">
      <c r="A283" s="12"/>
      <c r="B283" s="244" t="s">
        <v>442</v>
      </c>
      <c r="C283" s="245">
        <v>58</v>
      </c>
      <c r="D283" s="67">
        <f t="shared" ref="D283:S283" si="361">D284+D288</f>
        <v>754</v>
      </c>
      <c r="E283" s="67">
        <f t="shared" si="361"/>
        <v>22242</v>
      </c>
      <c r="F283" s="67">
        <f t="shared" si="361"/>
        <v>21752</v>
      </c>
      <c r="G283" s="67">
        <f t="shared" si="361"/>
        <v>22242</v>
      </c>
      <c r="H283" s="67">
        <f t="shared" ref="H283" si="362">H284+H288</f>
        <v>10785</v>
      </c>
      <c r="I283" s="67">
        <f t="shared" si="361"/>
        <v>44348</v>
      </c>
      <c r="J283" s="67">
        <f t="shared" si="361"/>
        <v>44348</v>
      </c>
      <c r="K283" s="210">
        <f t="shared" ref="K283:N283" si="363">K284+K288</f>
        <v>1585</v>
      </c>
      <c r="L283" s="67">
        <f t="shared" si="363"/>
        <v>12952</v>
      </c>
      <c r="M283" s="67">
        <f t="shared" si="363"/>
        <v>15356</v>
      </c>
      <c r="N283" s="67">
        <f t="shared" si="363"/>
        <v>14455</v>
      </c>
      <c r="O283" s="30">
        <f t="shared" si="350"/>
        <v>44348</v>
      </c>
      <c r="P283" s="100">
        <f t="shared" si="354"/>
        <v>0</v>
      </c>
      <c r="Q283" s="144">
        <f t="shared" si="361"/>
        <v>60215</v>
      </c>
      <c r="R283" s="144">
        <f t="shared" si="361"/>
        <v>0</v>
      </c>
      <c r="S283" s="144">
        <f t="shared" si="361"/>
        <v>0</v>
      </c>
    </row>
    <row r="284" spans="1:19" ht="24" customHeight="1">
      <c r="A284" s="12"/>
      <c r="B284" s="148" t="s">
        <v>511</v>
      </c>
      <c r="C284" s="246">
        <v>58.01</v>
      </c>
      <c r="D284" s="104">
        <f t="shared" ref="D284:S287" si="364">D311+D317+D323+D329+D335+D347+D353+D359+D365+D377+D383</f>
        <v>85</v>
      </c>
      <c r="E284" s="104">
        <f t="shared" si="364"/>
        <v>20078</v>
      </c>
      <c r="F284" s="104">
        <f t="shared" si="364"/>
        <v>19588</v>
      </c>
      <c r="G284" s="104">
        <f t="shared" si="364"/>
        <v>20078</v>
      </c>
      <c r="H284" s="104">
        <f t="shared" ref="H284" si="365">H311+H317+H323+H329+H335+H347+H353+H359+H365+H377+H383</f>
        <v>10026</v>
      </c>
      <c r="I284" s="104">
        <f t="shared" si="364"/>
        <v>43668</v>
      </c>
      <c r="J284" s="104">
        <f t="shared" si="364"/>
        <v>43668</v>
      </c>
      <c r="K284" s="196">
        <f t="shared" ref="K284:N284" si="366">K311+K317+K323+K329+K335+K347+K353+K359+K365+K377+K383</f>
        <v>905</v>
      </c>
      <c r="L284" s="104">
        <f t="shared" si="366"/>
        <v>12952</v>
      </c>
      <c r="M284" s="104">
        <f t="shared" si="366"/>
        <v>15356</v>
      </c>
      <c r="N284" s="104">
        <f t="shared" si="366"/>
        <v>14455</v>
      </c>
      <c r="O284" s="30">
        <f t="shared" si="350"/>
        <v>43668</v>
      </c>
      <c r="P284" s="100">
        <f t="shared" si="354"/>
        <v>0</v>
      </c>
      <c r="Q284" s="104">
        <f t="shared" si="364"/>
        <v>60215</v>
      </c>
      <c r="R284" s="104">
        <f t="shared" si="364"/>
        <v>0</v>
      </c>
      <c r="S284" s="104">
        <f t="shared" si="364"/>
        <v>0</v>
      </c>
    </row>
    <row r="285" spans="1:19" ht="14.25" customHeight="1">
      <c r="A285" s="12"/>
      <c r="B285" s="116" t="s">
        <v>472</v>
      </c>
      <c r="C285" s="135" t="s">
        <v>473</v>
      </c>
      <c r="D285" s="102">
        <f t="shared" si="364"/>
        <v>11.7</v>
      </c>
      <c r="E285" s="102">
        <f t="shared" si="364"/>
        <v>2779</v>
      </c>
      <c r="F285" s="102">
        <f t="shared" si="364"/>
        <v>2714</v>
      </c>
      <c r="G285" s="102">
        <f t="shared" si="364"/>
        <v>2779</v>
      </c>
      <c r="H285" s="102">
        <f t="shared" ref="H285" si="367">H312+H318+H324+H330+H336+H348+H354+H360+H366+H378+H384</f>
        <v>1260</v>
      </c>
      <c r="I285" s="102">
        <f t="shared" si="364"/>
        <v>7735</v>
      </c>
      <c r="J285" s="102">
        <f t="shared" si="364"/>
        <v>7735</v>
      </c>
      <c r="K285" s="208">
        <f t="shared" ref="K285:N285" si="368">K312+K318+K324+K330+K336+K348+K354+K360+K366+K378+K384</f>
        <v>175</v>
      </c>
      <c r="L285" s="102">
        <f t="shared" si="368"/>
        <v>2150</v>
      </c>
      <c r="M285" s="102">
        <f t="shared" si="368"/>
        <v>2729</v>
      </c>
      <c r="N285" s="102">
        <f t="shared" si="368"/>
        <v>2681</v>
      </c>
      <c r="O285" s="30">
        <f t="shared" si="350"/>
        <v>7735</v>
      </c>
      <c r="P285" s="100">
        <f t="shared" si="354"/>
        <v>0</v>
      </c>
      <c r="Q285" s="102">
        <f t="shared" si="364"/>
        <v>9929</v>
      </c>
      <c r="R285" s="102">
        <f t="shared" si="364"/>
        <v>0</v>
      </c>
      <c r="S285" s="102">
        <f t="shared" si="364"/>
        <v>0</v>
      </c>
    </row>
    <row r="286" spans="1:19" ht="18.75" customHeight="1">
      <c r="A286" s="12"/>
      <c r="B286" s="116" t="s">
        <v>474</v>
      </c>
      <c r="C286" s="135" t="s">
        <v>444</v>
      </c>
      <c r="D286" s="102">
        <f t="shared" si="364"/>
        <v>64.199999999999989</v>
      </c>
      <c r="E286" s="102">
        <f t="shared" si="364"/>
        <v>16243</v>
      </c>
      <c r="F286" s="102">
        <f t="shared" si="364"/>
        <v>15818</v>
      </c>
      <c r="G286" s="102">
        <f t="shared" si="364"/>
        <v>16243</v>
      </c>
      <c r="H286" s="102">
        <f t="shared" ref="H286" si="369">H313+H319+H325+H331+H337+H349+H355+H361+H367+H379+H385</f>
        <v>8228</v>
      </c>
      <c r="I286" s="102">
        <f t="shared" si="364"/>
        <v>35888</v>
      </c>
      <c r="J286" s="102">
        <f t="shared" si="364"/>
        <v>35888</v>
      </c>
      <c r="K286" s="208">
        <f t="shared" ref="K286:N286" si="370">K313+K319+K325+K331+K337+K349+K355+K361+K367+K379+K385</f>
        <v>685</v>
      </c>
      <c r="L286" s="102">
        <f t="shared" si="370"/>
        <v>10802</v>
      </c>
      <c r="M286" s="102">
        <f t="shared" si="370"/>
        <v>12627</v>
      </c>
      <c r="N286" s="102">
        <f t="shared" si="370"/>
        <v>11774</v>
      </c>
      <c r="O286" s="30">
        <f t="shared" si="350"/>
        <v>35888</v>
      </c>
      <c r="P286" s="100">
        <f t="shared" si="354"/>
        <v>0</v>
      </c>
      <c r="Q286" s="102">
        <f t="shared" si="364"/>
        <v>44220</v>
      </c>
      <c r="R286" s="102">
        <f t="shared" si="364"/>
        <v>0</v>
      </c>
      <c r="S286" s="102">
        <f t="shared" si="364"/>
        <v>0</v>
      </c>
    </row>
    <row r="287" spans="1:19" ht="15.75" customHeight="1">
      <c r="A287" s="12"/>
      <c r="B287" s="116" t="s">
        <v>475</v>
      </c>
      <c r="C287" s="135" t="s">
        <v>445</v>
      </c>
      <c r="D287" s="102">
        <f t="shared" si="364"/>
        <v>9.0999999999999979</v>
      </c>
      <c r="E287" s="102">
        <f t="shared" si="364"/>
        <v>1056</v>
      </c>
      <c r="F287" s="102">
        <f t="shared" si="364"/>
        <v>1056</v>
      </c>
      <c r="G287" s="102">
        <f t="shared" si="364"/>
        <v>1056</v>
      </c>
      <c r="H287" s="102">
        <f t="shared" ref="H287" si="371">H314+H320+H326+H332+H338+H350+H356+H362+H368+H380+H386</f>
        <v>538</v>
      </c>
      <c r="I287" s="102">
        <f t="shared" si="364"/>
        <v>45</v>
      </c>
      <c r="J287" s="102">
        <f t="shared" si="364"/>
        <v>45</v>
      </c>
      <c r="K287" s="208">
        <f t="shared" ref="K287:N287" si="372">K314+K320+K326+K332+K338+K350+K356+K362+K368+K380+K386</f>
        <v>45</v>
      </c>
      <c r="L287" s="102">
        <f t="shared" si="372"/>
        <v>0</v>
      </c>
      <c r="M287" s="102">
        <f t="shared" si="372"/>
        <v>0</v>
      </c>
      <c r="N287" s="102">
        <f t="shared" si="372"/>
        <v>0</v>
      </c>
      <c r="O287" s="30">
        <f t="shared" si="350"/>
        <v>45</v>
      </c>
      <c r="P287" s="100">
        <f t="shared" si="354"/>
        <v>0</v>
      </c>
      <c r="Q287" s="102">
        <f t="shared" si="364"/>
        <v>6066</v>
      </c>
      <c r="R287" s="102">
        <f t="shared" si="364"/>
        <v>0</v>
      </c>
      <c r="S287" s="102">
        <f t="shared" si="364"/>
        <v>0</v>
      </c>
    </row>
    <row r="288" spans="1:19" ht="15.75" customHeight="1">
      <c r="A288" s="12"/>
      <c r="B288" s="116" t="s">
        <v>512</v>
      </c>
      <c r="C288" s="135" t="s">
        <v>513</v>
      </c>
      <c r="D288" s="102">
        <f t="shared" ref="D288:S291" si="373">D341+D371</f>
        <v>669</v>
      </c>
      <c r="E288" s="102">
        <f t="shared" si="373"/>
        <v>2164</v>
      </c>
      <c r="F288" s="102">
        <f t="shared" si="373"/>
        <v>2164</v>
      </c>
      <c r="G288" s="102">
        <f t="shared" si="373"/>
        <v>2164</v>
      </c>
      <c r="H288" s="102">
        <f t="shared" ref="H288" si="374">H341+H371</f>
        <v>759</v>
      </c>
      <c r="I288" s="102">
        <f t="shared" si="373"/>
        <v>680</v>
      </c>
      <c r="J288" s="102">
        <f t="shared" si="373"/>
        <v>680</v>
      </c>
      <c r="K288" s="208">
        <f t="shared" ref="K288:N288" si="375">K341+K371</f>
        <v>680</v>
      </c>
      <c r="L288" s="102">
        <f t="shared" si="375"/>
        <v>0</v>
      </c>
      <c r="M288" s="102">
        <f t="shared" si="375"/>
        <v>0</v>
      </c>
      <c r="N288" s="102">
        <f t="shared" si="375"/>
        <v>0</v>
      </c>
      <c r="O288" s="30">
        <f t="shared" si="350"/>
        <v>680</v>
      </c>
      <c r="P288" s="100">
        <f t="shared" si="354"/>
        <v>0</v>
      </c>
      <c r="Q288" s="102">
        <f t="shared" si="373"/>
        <v>0</v>
      </c>
      <c r="R288" s="102">
        <f t="shared" si="373"/>
        <v>0</v>
      </c>
      <c r="S288" s="102">
        <f t="shared" si="373"/>
        <v>0</v>
      </c>
    </row>
    <row r="289" spans="1:19" ht="15.75" customHeight="1">
      <c r="A289" s="12"/>
      <c r="B289" s="116" t="s">
        <v>472</v>
      </c>
      <c r="C289" s="135" t="s">
        <v>484</v>
      </c>
      <c r="D289" s="102">
        <f t="shared" si="373"/>
        <v>61</v>
      </c>
      <c r="E289" s="102">
        <f t="shared" si="373"/>
        <v>281</v>
      </c>
      <c r="F289" s="102">
        <f t="shared" si="373"/>
        <v>281</v>
      </c>
      <c r="G289" s="102">
        <f t="shared" si="373"/>
        <v>281</v>
      </c>
      <c r="H289" s="102">
        <f t="shared" ref="H289" si="376">H342+H372</f>
        <v>83</v>
      </c>
      <c r="I289" s="102">
        <f t="shared" si="373"/>
        <v>88</v>
      </c>
      <c r="J289" s="102">
        <f t="shared" si="373"/>
        <v>88</v>
      </c>
      <c r="K289" s="208">
        <f t="shared" ref="K289:N289" si="377">K342+K372</f>
        <v>88</v>
      </c>
      <c r="L289" s="102">
        <f t="shared" si="377"/>
        <v>0</v>
      </c>
      <c r="M289" s="102">
        <f t="shared" si="377"/>
        <v>0</v>
      </c>
      <c r="N289" s="102">
        <f t="shared" si="377"/>
        <v>0</v>
      </c>
      <c r="O289" s="30">
        <f t="shared" si="350"/>
        <v>88</v>
      </c>
      <c r="P289" s="100">
        <f t="shared" si="354"/>
        <v>0</v>
      </c>
      <c r="Q289" s="102">
        <f t="shared" si="373"/>
        <v>0</v>
      </c>
      <c r="R289" s="102">
        <f t="shared" si="373"/>
        <v>0</v>
      </c>
      <c r="S289" s="102">
        <f t="shared" si="373"/>
        <v>0</v>
      </c>
    </row>
    <row r="290" spans="1:19" ht="15.75" customHeight="1">
      <c r="A290" s="12"/>
      <c r="B290" s="116" t="s">
        <v>474</v>
      </c>
      <c r="C290" s="135" t="s">
        <v>485</v>
      </c>
      <c r="D290" s="102">
        <f t="shared" si="373"/>
        <v>608</v>
      </c>
      <c r="E290" s="102">
        <f t="shared" si="373"/>
        <v>1839</v>
      </c>
      <c r="F290" s="102">
        <f t="shared" si="373"/>
        <v>1839</v>
      </c>
      <c r="G290" s="102">
        <f t="shared" si="373"/>
        <v>1839</v>
      </c>
      <c r="H290" s="102">
        <f t="shared" ref="H290" si="378">H343+H373</f>
        <v>676</v>
      </c>
      <c r="I290" s="102">
        <f t="shared" si="373"/>
        <v>578</v>
      </c>
      <c r="J290" s="102">
        <f t="shared" si="373"/>
        <v>578</v>
      </c>
      <c r="K290" s="208">
        <f t="shared" ref="K290:N290" si="379">K343+K373</f>
        <v>578</v>
      </c>
      <c r="L290" s="102">
        <f t="shared" si="379"/>
        <v>0</v>
      </c>
      <c r="M290" s="102">
        <f t="shared" si="379"/>
        <v>0</v>
      </c>
      <c r="N290" s="102">
        <f t="shared" si="379"/>
        <v>0</v>
      </c>
      <c r="O290" s="30">
        <f t="shared" si="350"/>
        <v>578</v>
      </c>
      <c r="P290" s="100">
        <f t="shared" si="354"/>
        <v>0</v>
      </c>
      <c r="Q290" s="102">
        <f t="shared" si="373"/>
        <v>0</v>
      </c>
      <c r="R290" s="102">
        <f t="shared" si="373"/>
        <v>0</v>
      </c>
      <c r="S290" s="102">
        <f t="shared" si="373"/>
        <v>0</v>
      </c>
    </row>
    <row r="291" spans="1:19" ht="15.75" customHeight="1">
      <c r="A291" s="12"/>
      <c r="B291" s="116" t="s">
        <v>475</v>
      </c>
      <c r="C291" s="135" t="s">
        <v>486</v>
      </c>
      <c r="D291" s="102">
        <f t="shared" si="373"/>
        <v>0</v>
      </c>
      <c r="E291" s="102">
        <f t="shared" si="373"/>
        <v>44</v>
      </c>
      <c r="F291" s="102">
        <f t="shared" si="373"/>
        <v>44</v>
      </c>
      <c r="G291" s="102">
        <f t="shared" si="373"/>
        <v>44</v>
      </c>
      <c r="H291" s="102">
        <f t="shared" ref="H291" si="380">H344+H374</f>
        <v>0</v>
      </c>
      <c r="I291" s="102">
        <f t="shared" si="373"/>
        <v>14</v>
      </c>
      <c r="J291" s="102">
        <f t="shared" si="373"/>
        <v>14</v>
      </c>
      <c r="K291" s="208">
        <f t="shared" ref="K291:N291" si="381">K344+K374</f>
        <v>14</v>
      </c>
      <c r="L291" s="102">
        <f t="shared" si="381"/>
        <v>0</v>
      </c>
      <c r="M291" s="102">
        <f t="shared" si="381"/>
        <v>0</v>
      </c>
      <c r="N291" s="102">
        <f t="shared" si="381"/>
        <v>0</v>
      </c>
      <c r="O291" s="30">
        <f t="shared" si="350"/>
        <v>14</v>
      </c>
      <c r="P291" s="100">
        <f t="shared" si="354"/>
        <v>0</v>
      </c>
      <c r="Q291" s="102">
        <f t="shared" si="373"/>
        <v>0</v>
      </c>
      <c r="R291" s="102">
        <f t="shared" si="373"/>
        <v>0</v>
      </c>
      <c r="S291" s="102">
        <f t="shared" si="373"/>
        <v>0</v>
      </c>
    </row>
    <row r="292" spans="1:19" ht="15.75" customHeight="1">
      <c r="A292" s="12"/>
      <c r="B292" s="145" t="s">
        <v>193</v>
      </c>
      <c r="C292" s="245">
        <v>70</v>
      </c>
      <c r="D292" s="146">
        <v>493.42</v>
      </c>
      <c r="E292" s="68">
        <v>22243</v>
      </c>
      <c r="F292" s="146">
        <f>376+1257+400+20000</f>
        <v>22033</v>
      </c>
      <c r="G292" s="68">
        <v>22243</v>
      </c>
      <c r="H292" s="68">
        <v>452</v>
      </c>
      <c r="I292" s="68">
        <v>79410</v>
      </c>
      <c r="J292" s="68">
        <f>1652+590+75963</f>
        <v>78205</v>
      </c>
      <c r="K292" s="211">
        <f>171+193+636</f>
        <v>1000</v>
      </c>
      <c r="L292" s="68">
        <f>570</f>
        <v>570</v>
      </c>
      <c r="M292" s="68">
        <f>20+37896+1459-636</f>
        <v>38739</v>
      </c>
      <c r="N292" s="68">
        <f>37896</f>
        <v>37896</v>
      </c>
      <c r="O292" s="30">
        <f t="shared" si="350"/>
        <v>78205</v>
      </c>
      <c r="P292" s="100">
        <f t="shared" si="354"/>
        <v>0</v>
      </c>
      <c r="Q292" s="30">
        <f>2886+2231</f>
        <v>5117</v>
      </c>
      <c r="R292" s="30"/>
      <c r="S292" s="30"/>
    </row>
    <row r="293" spans="1:19" ht="18" hidden="1" customHeight="1">
      <c r="A293" s="12"/>
      <c r="B293" s="116" t="s">
        <v>194</v>
      </c>
      <c r="C293" s="135" t="s">
        <v>195</v>
      </c>
      <c r="D293" s="46"/>
      <c r="E293" s="30"/>
      <c r="F293" s="46"/>
      <c r="G293" s="30"/>
      <c r="H293" s="30"/>
      <c r="I293" s="30"/>
      <c r="J293" s="30"/>
      <c r="K293" s="64"/>
      <c r="L293" s="30"/>
      <c r="M293" s="30"/>
      <c r="N293" s="30"/>
      <c r="O293" s="30">
        <f t="shared" si="350"/>
        <v>0</v>
      </c>
      <c r="P293" s="100">
        <f t="shared" si="354"/>
        <v>0</v>
      </c>
      <c r="Q293" s="30"/>
      <c r="R293" s="30"/>
      <c r="S293" s="30"/>
    </row>
    <row r="294" spans="1:19" ht="18" hidden="1" customHeight="1">
      <c r="A294" s="12"/>
      <c r="B294" s="116" t="s">
        <v>196</v>
      </c>
      <c r="C294" s="135" t="s">
        <v>197</v>
      </c>
      <c r="D294" s="46"/>
      <c r="E294" s="30"/>
      <c r="F294" s="46"/>
      <c r="G294" s="30"/>
      <c r="H294" s="30"/>
      <c r="I294" s="30"/>
      <c r="J294" s="30"/>
      <c r="K294" s="64"/>
      <c r="L294" s="30"/>
      <c r="M294" s="30"/>
      <c r="N294" s="30"/>
      <c r="O294" s="30">
        <f t="shared" si="350"/>
        <v>0</v>
      </c>
      <c r="P294" s="100">
        <f t="shared" si="354"/>
        <v>0</v>
      </c>
      <c r="Q294" s="30"/>
      <c r="R294" s="30"/>
      <c r="S294" s="30"/>
    </row>
    <row r="295" spans="1:19" ht="21" hidden="1" customHeight="1">
      <c r="A295" s="12"/>
      <c r="B295" s="147" t="s">
        <v>198</v>
      </c>
      <c r="C295" s="135" t="s">
        <v>199</v>
      </c>
      <c r="D295" s="46"/>
      <c r="E295" s="30"/>
      <c r="F295" s="46"/>
      <c r="G295" s="30"/>
      <c r="H295" s="30"/>
      <c r="I295" s="30"/>
      <c r="J295" s="30"/>
      <c r="K295" s="64"/>
      <c r="L295" s="30"/>
      <c r="M295" s="30"/>
      <c r="N295" s="30"/>
      <c r="O295" s="30">
        <f t="shared" si="350"/>
        <v>0</v>
      </c>
      <c r="P295" s="100">
        <f t="shared" si="354"/>
        <v>0</v>
      </c>
      <c r="Q295" s="30"/>
      <c r="R295" s="30"/>
      <c r="S295" s="30"/>
    </row>
    <row r="296" spans="1:19" ht="21" hidden="1" customHeight="1">
      <c r="A296" s="12"/>
      <c r="B296" s="147" t="s">
        <v>200</v>
      </c>
      <c r="C296" s="135" t="s">
        <v>201</v>
      </c>
      <c r="D296" s="46"/>
      <c r="E296" s="30"/>
      <c r="F296" s="46"/>
      <c r="G296" s="30"/>
      <c r="H296" s="30"/>
      <c r="I296" s="30"/>
      <c r="J296" s="30"/>
      <c r="K296" s="64"/>
      <c r="L296" s="30"/>
      <c r="M296" s="30"/>
      <c r="N296" s="30"/>
      <c r="O296" s="30">
        <f t="shared" si="350"/>
        <v>0</v>
      </c>
      <c r="P296" s="100">
        <f t="shared" si="354"/>
        <v>0</v>
      </c>
      <c r="Q296" s="30"/>
      <c r="R296" s="30"/>
      <c r="S296" s="30"/>
    </row>
    <row r="297" spans="1:19" ht="25.5" hidden="1" customHeight="1">
      <c r="A297" s="12"/>
      <c r="B297" s="147" t="s">
        <v>202</v>
      </c>
      <c r="C297" s="135">
        <v>71.03</v>
      </c>
      <c r="D297" s="46"/>
      <c r="E297" s="30"/>
      <c r="F297" s="46"/>
      <c r="G297" s="30"/>
      <c r="H297" s="30"/>
      <c r="I297" s="30"/>
      <c r="J297" s="30"/>
      <c r="K297" s="64"/>
      <c r="L297" s="30"/>
      <c r="M297" s="30"/>
      <c r="N297" s="30"/>
      <c r="O297" s="30">
        <f t="shared" si="350"/>
        <v>0</v>
      </c>
      <c r="P297" s="100">
        <f t="shared" si="354"/>
        <v>0</v>
      </c>
      <c r="Q297" s="30"/>
      <c r="R297" s="30"/>
      <c r="S297" s="30"/>
    </row>
    <row r="298" spans="1:19" ht="33" hidden="1" customHeight="1">
      <c r="A298" s="12"/>
      <c r="B298" s="148" t="s">
        <v>481</v>
      </c>
      <c r="C298" s="135"/>
      <c r="D298" s="46"/>
      <c r="E298" s="30"/>
      <c r="F298" s="46"/>
      <c r="G298" s="30"/>
      <c r="H298" s="30"/>
      <c r="I298" s="30"/>
      <c r="J298" s="30"/>
      <c r="K298" s="64"/>
      <c r="L298" s="30"/>
      <c r="M298" s="30"/>
      <c r="N298" s="30"/>
      <c r="O298" s="30">
        <f t="shared" si="350"/>
        <v>0</v>
      </c>
      <c r="P298" s="100">
        <f t="shared" si="354"/>
        <v>0</v>
      </c>
      <c r="Q298" s="30"/>
      <c r="R298" s="30"/>
      <c r="S298" s="30"/>
    </row>
    <row r="299" spans="1:19" ht="4.5" hidden="1" customHeight="1">
      <c r="A299" s="12"/>
      <c r="B299" s="148" t="s">
        <v>431</v>
      </c>
      <c r="C299" s="135"/>
      <c r="D299" s="46"/>
      <c r="E299" s="30"/>
      <c r="F299" s="46"/>
      <c r="G299" s="30"/>
      <c r="H299" s="30"/>
      <c r="I299" s="30"/>
      <c r="J299" s="30"/>
      <c r="K299" s="64"/>
      <c r="L299" s="30"/>
      <c r="M299" s="30"/>
      <c r="N299" s="30"/>
      <c r="O299" s="30">
        <f t="shared" si="350"/>
        <v>0</v>
      </c>
      <c r="P299" s="100">
        <f t="shared" si="354"/>
        <v>0</v>
      </c>
      <c r="Q299" s="30"/>
      <c r="R299" s="30"/>
      <c r="S299" s="30"/>
    </row>
    <row r="300" spans="1:19" ht="73.5" hidden="1" customHeight="1">
      <c r="A300" s="12"/>
      <c r="B300" s="148" t="s">
        <v>422</v>
      </c>
      <c r="C300" s="135"/>
      <c r="D300" s="46"/>
      <c r="E300" s="30"/>
      <c r="F300" s="46"/>
      <c r="G300" s="30"/>
      <c r="H300" s="30"/>
      <c r="I300" s="30"/>
      <c r="J300" s="30"/>
      <c r="K300" s="64"/>
      <c r="L300" s="30"/>
      <c r="M300" s="30"/>
      <c r="N300" s="30"/>
      <c r="O300" s="30">
        <f t="shared" si="350"/>
        <v>0</v>
      </c>
      <c r="P300" s="100">
        <f t="shared" si="354"/>
        <v>0</v>
      </c>
      <c r="Q300" s="30"/>
      <c r="R300" s="30"/>
      <c r="S300" s="30"/>
    </row>
    <row r="301" spans="1:19" ht="27.75" hidden="1" customHeight="1">
      <c r="A301" s="12"/>
      <c r="B301" s="148" t="s">
        <v>423</v>
      </c>
      <c r="C301" s="135"/>
      <c r="D301" s="46"/>
      <c r="E301" s="30"/>
      <c r="F301" s="46"/>
      <c r="G301" s="30"/>
      <c r="H301" s="30"/>
      <c r="I301" s="30"/>
      <c r="J301" s="30"/>
      <c r="K301" s="64"/>
      <c r="L301" s="30"/>
      <c r="M301" s="30"/>
      <c r="N301" s="30"/>
      <c r="O301" s="30">
        <f t="shared" si="350"/>
        <v>0</v>
      </c>
      <c r="P301" s="100">
        <f t="shared" si="354"/>
        <v>0</v>
      </c>
      <c r="Q301" s="30"/>
      <c r="R301" s="30"/>
      <c r="S301" s="30"/>
    </row>
    <row r="302" spans="1:19" ht="32.25" hidden="1" customHeight="1">
      <c r="A302" s="12"/>
      <c r="B302" s="148" t="s">
        <v>424</v>
      </c>
      <c r="C302" s="135"/>
      <c r="D302" s="46"/>
      <c r="E302" s="30"/>
      <c r="F302" s="46"/>
      <c r="G302" s="30"/>
      <c r="H302" s="30"/>
      <c r="I302" s="30"/>
      <c r="J302" s="30"/>
      <c r="K302" s="64"/>
      <c r="L302" s="30"/>
      <c r="M302" s="30"/>
      <c r="N302" s="30"/>
      <c r="O302" s="30">
        <f t="shared" si="350"/>
        <v>0</v>
      </c>
      <c r="P302" s="100">
        <f t="shared" si="354"/>
        <v>0</v>
      </c>
      <c r="Q302" s="30"/>
      <c r="R302" s="30"/>
      <c r="S302" s="30"/>
    </row>
    <row r="303" spans="1:19" ht="25.5" hidden="1" customHeight="1">
      <c r="A303" s="12"/>
      <c r="B303" s="148" t="s">
        <v>425</v>
      </c>
      <c r="C303" s="135"/>
      <c r="D303" s="46"/>
      <c r="E303" s="30"/>
      <c r="F303" s="46"/>
      <c r="G303" s="30"/>
      <c r="H303" s="30"/>
      <c r="I303" s="30"/>
      <c r="J303" s="30"/>
      <c r="K303" s="64"/>
      <c r="L303" s="30"/>
      <c r="M303" s="30"/>
      <c r="N303" s="30"/>
      <c r="O303" s="30">
        <f t="shared" si="350"/>
        <v>0</v>
      </c>
      <c r="P303" s="100">
        <f t="shared" si="354"/>
        <v>0</v>
      </c>
      <c r="Q303" s="30"/>
      <c r="R303" s="30"/>
      <c r="S303" s="30"/>
    </row>
    <row r="304" spans="1:19" ht="31.5" hidden="1" customHeight="1">
      <c r="A304" s="12"/>
      <c r="B304" s="148" t="s">
        <v>446</v>
      </c>
      <c r="C304" s="135"/>
      <c r="D304" s="46"/>
      <c r="E304" s="30"/>
      <c r="F304" s="46"/>
      <c r="G304" s="30"/>
      <c r="H304" s="30"/>
      <c r="I304" s="30"/>
      <c r="J304" s="30"/>
      <c r="K304" s="64"/>
      <c r="L304" s="30"/>
      <c r="M304" s="30"/>
      <c r="N304" s="30"/>
      <c r="O304" s="30">
        <f t="shared" si="350"/>
        <v>0</v>
      </c>
      <c r="P304" s="100">
        <f t="shared" si="354"/>
        <v>0</v>
      </c>
      <c r="Q304" s="30"/>
      <c r="R304" s="30"/>
      <c r="S304" s="30"/>
    </row>
    <row r="305" spans="1:19" ht="25.5" hidden="1" customHeight="1">
      <c r="A305" s="12"/>
      <c r="B305" s="148" t="s">
        <v>447</v>
      </c>
      <c r="C305" s="135"/>
      <c r="D305" s="46"/>
      <c r="E305" s="30"/>
      <c r="F305" s="46"/>
      <c r="G305" s="30"/>
      <c r="H305" s="30"/>
      <c r="I305" s="30"/>
      <c r="J305" s="30"/>
      <c r="K305" s="64"/>
      <c r="L305" s="30"/>
      <c r="M305" s="30"/>
      <c r="N305" s="30"/>
      <c r="O305" s="30">
        <f t="shared" si="350"/>
        <v>0</v>
      </c>
      <c r="P305" s="100">
        <f t="shared" si="354"/>
        <v>0</v>
      </c>
      <c r="Q305" s="30"/>
      <c r="R305" s="30"/>
      <c r="S305" s="30"/>
    </row>
    <row r="306" spans="1:19" ht="25.5" hidden="1" customHeight="1">
      <c r="A306" s="12"/>
      <c r="B306" s="116" t="s">
        <v>202</v>
      </c>
      <c r="C306" s="135">
        <v>0</v>
      </c>
      <c r="D306" s="46"/>
      <c r="E306" s="30"/>
      <c r="F306" s="46"/>
      <c r="G306" s="30"/>
      <c r="H306" s="30"/>
      <c r="I306" s="30"/>
      <c r="J306" s="30"/>
      <c r="K306" s="64"/>
      <c r="L306" s="30"/>
      <c r="M306" s="30"/>
      <c r="N306" s="30"/>
      <c r="O306" s="30">
        <f t="shared" si="350"/>
        <v>0</v>
      </c>
      <c r="P306" s="100">
        <f t="shared" si="354"/>
        <v>0</v>
      </c>
      <c r="Q306" s="30"/>
      <c r="R306" s="30"/>
      <c r="S306" s="30"/>
    </row>
    <row r="307" spans="1:19" ht="21" hidden="1" customHeight="1">
      <c r="A307" s="12"/>
      <c r="B307" s="116" t="s">
        <v>163</v>
      </c>
      <c r="C307" s="135">
        <v>85.01</v>
      </c>
      <c r="D307" s="46"/>
      <c r="E307" s="30"/>
      <c r="F307" s="46"/>
      <c r="G307" s="30"/>
      <c r="H307" s="30"/>
      <c r="I307" s="30"/>
      <c r="J307" s="30"/>
      <c r="K307" s="64"/>
      <c r="L307" s="30"/>
      <c r="M307" s="30"/>
      <c r="N307" s="30"/>
      <c r="O307" s="30">
        <f t="shared" si="350"/>
        <v>0</v>
      </c>
      <c r="P307" s="100">
        <f t="shared" si="354"/>
        <v>0</v>
      </c>
      <c r="Q307" s="30"/>
      <c r="R307" s="30"/>
      <c r="S307" s="30"/>
    </row>
    <row r="308" spans="1:19" ht="49.5" hidden="1" customHeight="1">
      <c r="A308" s="12"/>
      <c r="B308" s="121" t="s">
        <v>645</v>
      </c>
      <c r="C308" s="135" t="s">
        <v>646</v>
      </c>
      <c r="D308" s="46">
        <v>-21.6</v>
      </c>
      <c r="E308" s="30"/>
      <c r="F308" s="46"/>
      <c r="G308" s="30"/>
      <c r="H308" s="30"/>
      <c r="I308" s="30"/>
      <c r="J308" s="30"/>
      <c r="K308" s="64"/>
      <c r="L308" s="30"/>
      <c r="M308" s="30"/>
      <c r="N308" s="30"/>
      <c r="O308" s="30">
        <f t="shared" si="350"/>
        <v>0</v>
      </c>
      <c r="P308" s="100">
        <f t="shared" si="354"/>
        <v>0</v>
      </c>
      <c r="Q308" s="30"/>
      <c r="R308" s="30"/>
      <c r="S308" s="30"/>
    </row>
    <row r="309" spans="1:19" ht="47.25" customHeight="1">
      <c r="A309" s="12"/>
      <c r="B309" s="247" t="s">
        <v>416</v>
      </c>
      <c r="C309" s="245"/>
      <c r="D309" s="67">
        <f t="shared" ref="D309:S310" si="382">D310</f>
        <v>29.400000000000002</v>
      </c>
      <c r="E309" s="67">
        <f t="shared" si="382"/>
        <v>6511</v>
      </c>
      <c r="F309" s="67">
        <f t="shared" si="382"/>
        <v>6511</v>
      </c>
      <c r="G309" s="67">
        <f t="shared" si="382"/>
        <v>6511</v>
      </c>
      <c r="H309" s="67">
        <f t="shared" si="382"/>
        <v>387</v>
      </c>
      <c r="I309" s="67">
        <f t="shared" si="382"/>
        <v>6829</v>
      </c>
      <c r="J309" s="67">
        <f t="shared" si="382"/>
        <v>6829</v>
      </c>
      <c r="K309" s="210">
        <f t="shared" si="382"/>
        <v>0</v>
      </c>
      <c r="L309" s="67">
        <f t="shared" si="382"/>
        <v>2500</v>
      </c>
      <c r="M309" s="67">
        <f t="shared" si="382"/>
        <v>3000</v>
      </c>
      <c r="N309" s="67">
        <f t="shared" si="382"/>
        <v>1329</v>
      </c>
      <c r="O309" s="30">
        <f t="shared" si="350"/>
        <v>6829</v>
      </c>
      <c r="P309" s="100">
        <f t="shared" si="354"/>
        <v>0</v>
      </c>
      <c r="Q309" s="67">
        <f t="shared" si="382"/>
        <v>12035</v>
      </c>
      <c r="R309" s="67">
        <f t="shared" si="382"/>
        <v>0</v>
      </c>
      <c r="S309" s="67">
        <f t="shared" si="382"/>
        <v>0</v>
      </c>
    </row>
    <row r="310" spans="1:19" ht="21" customHeight="1">
      <c r="A310" s="12"/>
      <c r="B310" s="116" t="s">
        <v>164</v>
      </c>
      <c r="C310" s="135"/>
      <c r="D310" s="102">
        <f t="shared" si="382"/>
        <v>29.400000000000002</v>
      </c>
      <c r="E310" s="102">
        <f t="shared" si="382"/>
        <v>6511</v>
      </c>
      <c r="F310" s="102">
        <f t="shared" si="382"/>
        <v>6511</v>
      </c>
      <c r="G310" s="114">
        <f t="shared" si="382"/>
        <v>6511</v>
      </c>
      <c r="H310" s="114">
        <f t="shared" si="382"/>
        <v>387</v>
      </c>
      <c r="I310" s="114">
        <f t="shared" si="382"/>
        <v>6829</v>
      </c>
      <c r="J310" s="114">
        <f t="shared" si="382"/>
        <v>6829</v>
      </c>
      <c r="K310" s="202">
        <f t="shared" si="382"/>
        <v>0</v>
      </c>
      <c r="L310" s="114">
        <f t="shared" si="382"/>
        <v>2500</v>
      </c>
      <c r="M310" s="114">
        <f t="shared" si="382"/>
        <v>3000</v>
      </c>
      <c r="N310" s="114">
        <f t="shared" si="382"/>
        <v>1329</v>
      </c>
      <c r="O310" s="30">
        <f t="shared" si="350"/>
        <v>6829</v>
      </c>
      <c r="P310" s="100">
        <f t="shared" si="354"/>
        <v>0</v>
      </c>
      <c r="Q310" s="114">
        <f t="shared" si="382"/>
        <v>12035</v>
      </c>
      <c r="R310" s="114">
        <f t="shared" si="382"/>
        <v>0</v>
      </c>
      <c r="S310" s="114">
        <f t="shared" si="382"/>
        <v>0</v>
      </c>
    </row>
    <row r="311" spans="1:19" ht="28.5" customHeight="1">
      <c r="A311" s="12"/>
      <c r="B311" s="35" t="s">
        <v>442</v>
      </c>
      <c r="C311" s="135">
        <v>58</v>
      </c>
      <c r="D311" s="102">
        <f t="shared" ref="D311:S311" si="383">D312+D313+D314</f>
        <v>29.400000000000002</v>
      </c>
      <c r="E311" s="102">
        <f t="shared" si="383"/>
        <v>6511</v>
      </c>
      <c r="F311" s="102">
        <f t="shared" si="383"/>
        <v>6511</v>
      </c>
      <c r="G311" s="114">
        <f t="shared" si="383"/>
        <v>6511</v>
      </c>
      <c r="H311" s="114">
        <f t="shared" ref="H311" si="384">H312+H313+H314</f>
        <v>387</v>
      </c>
      <c r="I311" s="114">
        <f t="shared" si="383"/>
        <v>6829</v>
      </c>
      <c r="J311" s="114">
        <f t="shared" si="383"/>
        <v>6829</v>
      </c>
      <c r="K311" s="202">
        <f t="shared" ref="K311:N311" si="385">K312+K313+K314</f>
        <v>0</v>
      </c>
      <c r="L311" s="114">
        <f t="shared" si="385"/>
        <v>2500</v>
      </c>
      <c r="M311" s="114">
        <f t="shared" si="385"/>
        <v>3000</v>
      </c>
      <c r="N311" s="114">
        <f t="shared" si="385"/>
        <v>1329</v>
      </c>
      <c r="O311" s="30">
        <f t="shared" si="350"/>
        <v>6829</v>
      </c>
      <c r="P311" s="100">
        <f t="shared" si="354"/>
        <v>0</v>
      </c>
      <c r="Q311" s="114">
        <f t="shared" si="383"/>
        <v>12035</v>
      </c>
      <c r="R311" s="114">
        <f t="shared" si="383"/>
        <v>0</v>
      </c>
      <c r="S311" s="114">
        <f t="shared" si="383"/>
        <v>0</v>
      </c>
    </row>
    <row r="312" spans="1:19" ht="14.25" customHeight="1">
      <c r="A312" s="12"/>
      <c r="B312" s="116" t="s">
        <v>472</v>
      </c>
      <c r="C312" s="135" t="s">
        <v>473</v>
      </c>
      <c r="D312" s="30">
        <v>3.8</v>
      </c>
      <c r="E312" s="30">
        <v>842</v>
      </c>
      <c r="F312" s="46">
        <v>842</v>
      </c>
      <c r="G312" s="30">
        <v>842</v>
      </c>
      <c r="H312" s="30">
        <v>50</v>
      </c>
      <c r="I312" s="30">
        <v>906</v>
      </c>
      <c r="J312" s="30">
        <v>906</v>
      </c>
      <c r="K312" s="64">
        <v>0</v>
      </c>
      <c r="L312" s="30">
        <v>350</v>
      </c>
      <c r="M312" s="30">
        <v>370</v>
      </c>
      <c r="N312" s="30">
        <v>186</v>
      </c>
      <c r="O312" s="30">
        <f t="shared" si="350"/>
        <v>906</v>
      </c>
      <c r="P312" s="100">
        <f t="shared" si="354"/>
        <v>0</v>
      </c>
      <c r="Q312" s="30">
        <v>1576</v>
      </c>
      <c r="R312" s="30">
        <v>0</v>
      </c>
      <c r="S312" s="30">
        <v>0</v>
      </c>
    </row>
    <row r="313" spans="1:19" ht="15" customHeight="1">
      <c r="A313" s="12"/>
      <c r="B313" s="116" t="s">
        <v>474</v>
      </c>
      <c r="C313" s="135" t="s">
        <v>444</v>
      </c>
      <c r="D313" s="30">
        <v>25</v>
      </c>
      <c r="E313" s="30">
        <v>5507</v>
      </c>
      <c r="F313" s="46">
        <v>5507</v>
      </c>
      <c r="G313" s="30">
        <v>5507</v>
      </c>
      <c r="H313" s="30">
        <v>329</v>
      </c>
      <c r="I313" s="30">
        <v>5923</v>
      </c>
      <c r="J313" s="30">
        <v>5923</v>
      </c>
      <c r="K313" s="64">
        <v>0</v>
      </c>
      <c r="L313" s="30">
        <v>2150</v>
      </c>
      <c r="M313" s="30">
        <v>2630</v>
      </c>
      <c r="N313" s="30">
        <v>1143</v>
      </c>
      <c r="O313" s="30">
        <f t="shared" si="350"/>
        <v>5923</v>
      </c>
      <c r="P313" s="100">
        <f t="shared" si="354"/>
        <v>0</v>
      </c>
      <c r="Q313" s="30">
        <v>10305</v>
      </c>
      <c r="R313" s="30">
        <v>0</v>
      </c>
      <c r="S313" s="30">
        <v>0</v>
      </c>
    </row>
    <row r="314" spans="1:19" ht="15.75" customHeight="1">
      <c r="A314" s="12"/>
      <c r="B314" s="116" t="s">
        <v>475</v>
      </c>
      <c r="C314" s="135" t="s">
        <v>445</v>
      </c>
      <c r="D314" s="30">
        <v>0.6</v>
      </c>
      <c r="E314" s="30">
        <v>162</v>
      </c>
      <c r="F314" s="46">
        <v>162</v>
      </c>
      <c r="G314" s="30">
        <v>162</v>
      </c>
      <c r="H314" s="30">
        <v>8</v>
      </c>
      <c r="I314" s="30">
        <f>171-171</f>
        <v>0</v>
      </c>
      <c r="J314" s="30"/>
      <c r="K314" s="64"/>
      <c r="L314" s="30"/>
      <c r="M314" s="30"/>
      <c r="N314" s="30"/>
      <c r="O314" s="30">
        <f t="shared" si="350"/>
        <v>0</v>
      </c>
      <c r="P314" s="100">
        <f t="shared" si="354"/>
        <v>0</v>
      </c>
      <c r="Q314" s="30">
        <v>154</v>
      </c>
      <c r="R314" s="30">
        <v>0</v>
      </c>
      <c r="S314" s="30">
        <v>0</v>
      </c>
    </row>
    <row r="315" spans="1:19" ht="36" customHeight="1">
      <c r="A315" s="12"/>
      <c r="B315" s="247" t="s">
        <v>417</v>
      </c>
      <c r="C315" s="245"/>
      <c r="D315" s="67">
        <f t="shared" ref="D315:S316" si="386">D316</f>
        <v>36.800000000000004</v>
      </c>
      <c r="E315" s="67">
        <f t="shared" si="386"/>
        <v>6151</v>
      </c>
      <c r="F315" s="67">
        <f t="shared" si="386"/>
        <v>6151</v>
      </c>
      <c r="G315" s="67">
        <f t="shared" si="386"/>
        <v>6151</v>
      </c>
      <c r="H315" s="67">
        <f t="shared" si="386"/>
        <v>6150</v>
      </c>
      <c r="I315" s="67">
        <f t="shared" si="386"/>
        <v>10069</v>
      </c>
      <c r="J315" s="67">
        <f t="shared" si="386"/>
        <v>10069</v>
      </c>
      <c r="K315" s="210">
        <f t="shared" si="386"/>
        <v>500</v>
      </c>
      <c r="L315" s="67">
        <f t="shared" si="386"/>
        <v>3500</v>
      </c>
      <c r="M315" s="67">
        <f t="shared" si="386"/>
        <v>3500</v>
      </c>
      <c r="N315" s="67">
        <f t="shared" si="386"/>
        <v>2569</v>
      </c>
      <c r="O315" s="30">
        <f t="shared" si="350"/>
        <v>10069</v>
      </c>
      <c r="P315" s="100">
        <f t="shared" si="354"/>
        <v>0</v>
      </c>
      <c r="Q315" s="67">
        <f t="shared" si="386"/>
        <v>4900</v>
      </c>
      <c r="R315" s="67">
        <f t="shared" si="386"/>
        <v>0</v>
      </c>
      <c r="S315" s="67">
        <f t="shared" si="386"/>
        <v>0</v>
      </c>
    </row>
    <row r="316" spans="1:19" ht="20.25" customHeight="1">
      <c r="A316" s="12"/>
      <c r="B316" s="116" t="s">
        <v>164</v>
      </c>
      <c r="C316" s="135"/>
      <c r="D316" s="104">
        <f t="shared" si="386"/>
        <v>36.800000000000004</v>
      </c>
      <c r="E316" s="104">
        <f t="shared" si="386"/>
        <v>6151</v>
      </c>
      <c r="F316" s="104">
        <f t="shared" si="386"/>
        <v>6151</v>
      </c>
      <c r="G316" s="104">
        <f t="shared" si="386"/>
        <v>6151</v>
      </c>
      <c r="H316" s="104">
        <f t="shared" si="386"/>
        <v>6150</v>
      </c>
      <c r="I316" s="104">
        <f t="shared" si="386"/>
        <v>10069</v>
      </c>
      <c r="J316" s="104">
        <f t="shared" si="386"/>
        <v>10069</v>
      </c>
      <c r="K316" s="196">
        <f t="shared" si="386"/>
        <v>500</v>
      </c>
      <c r="L316" s="104">
        <f t="shared" si="386"/>
        <v>3500</v>
      </c>
      <c r="M316" s="104">
        <f t="shared" si="386"/>
        <v>3500</v>
      </c>
      <c r="N316" s="104">
        <f t="shared" si="386"/>
        <v>2569</v>
      </c>
      <c r="O316" s="30">
        <f t="shared" si="350"/>
        <v>10069</v>
      </c>
      <c r="P316" s="100">
        <f t="shared" si="354"/>
        <v>0</v>
      </c>
      <c r="Q316" s="104">
        <f t="shared" si="386"/>
        <v>4900</v>
      </c>
      <c r="R316" s="104">
        <f t="shared" si="386"/>
        <v>0</v>
      </c>
      <c r="S316" s="104">
        <f t="shared" si="386"/>
        <v>0</v>
      </c>
    </row>
    <row r="317" spans="1:19" ht="25.5" customHeight="1">
      <c r="A317" s="12"/>
      <c r="B317" s="35" t="s">
        <v>442</v>
      </c>
      <c r="C317" s="135">
        <v>58</v>
      </c>
      <c r="D317" s="102">
        <f t="shared" ref="D317:S317" si="387">D318+D319+D320</f>
        <v>36.800000000000004</v>
      </c>
      <c r="E317" s="102">
        <f t="shared" si="387"/>
        <v>6151</v>
      </c>
      <c r="F317" s="102">
        <f t="shared" si="387"/>
        <v>6151</v>
      </c>
      <c r="G317" s="114">
        <f t="shared" si="387"/>
        <v>6151</v>
      </c>
      <c r="H317" s="114">
        <f t="shared" ref="H317" si="388">H318+H319+H320</f>
        <v>6150</v>
      </c>
      <c r="I317" s="114">
        <f t="shared" si="387"/>
        <v>10069</v>
      </c>
      <c r="J317" s="114">
        <f t="shared" si="387"/>
        <v>10069</v>
      </c>
      <c r="K317" s="202">
        <f t="shared" ref="K317:N317" si="389">K318+K319+K320</f>
        <v>500</v>
      </c>
      <c r="L317" s="114">
        <f t="shared" si="389"/>
        <v>3500</v>
      </c>
      <c r="M317" s="114">
        <f t="shared" si="389"/>
        <v>3500</v>
      </c>
      <c r="N317" s="114">
        <f t="shared" si="389"/>
        <v>2569</v>
      </c>
      <c r="O317" s="30">
        <f t="shared" si="350"/>
        <v>10069</v>
      </c>
      <c r="P317" s="100">
        <f t="shared" si="354"/>
        <v>0</v>
      </c>
      <c r="Q317" s="114">
        <f t="shared" si="387"/>
        <v>4900</v>
      </c>
      <c r="R317" s="114">
        <f t="shared" si="387"/>
        <v>0</v>
      </c>
      <c r="S317" s="114">
        <f t="shared" si="387"/>
        <v>0</v>
      </c>
    </row>
    <row r="318" spans="1:19" ht="19.5" customHeight="1">
      <c r="A318" s="12"/>
      <c r="B318" s="116" t="s">
        <v>472</v>
      </c>
      <c r="C318" s="135" t="s">
        <v>473</v>
      </c>
      <c r="D318" s="30">
        <v>4.8</v>
      </c>
      <c r="E318" s="30">
        <v>800</v>
      </c>
      <c r="F318" s="46">
        <v>800</v>
      </c>
      <c r="G318" s="30">
        <v>800</v>
      </c>
      <c r="H318" s="30">
        <v>799</v>
      </c>
      <c r="I318" s="30">
        <v>1336</v>
      </c>
      <c r="J318" s="30">
        <v>1336</v>
      </c>
      <c r="K318" s="64">
        <v>70</v>
      </c>
      <c r="L318" s="30">
        <v>490</v>
      </c>
      <c r="M318" s="30">
        <v>490</v>
      </c>
      <c r="N318" s="30">
        <v>286</v>
      </c>
      <c r="O318" s="30">
        <f t="shared" si="350"/>
        <v>1336</v>
      </c>
      <c r="P318" s="100">
        <f t="shared" si="354"/>
        <v>0</v>
      </c>
      <c r="Q318" s="30">
        <v>650</v>
      </c>
      <c r="R318" s="30">
        <v>0</v>
      </c>
      <c r="S318" s="30">
        <v>0</v>
      </c>
    </row>
    <row r="319" spans="1:19" ht="16.5" customHeight="1">
      <c r="A319" s="12"/>
      <c r="B319" s="116" t="s">
        <v>474</v>
      </c>
      <c r="C319" s="135" t="s">
        <v>444</v>
      </c>
      <c r="D319" s="30">
        <v>31.3</v>
      </c>
      <c r="E319" s="30">
        <v>5228</v>
      </c>
      <c r="F319" s="46">
        <v>5228</v>
      </c>
      <c r="G319" s="30">
        <v>5228</v>
      </c>
      <c r="H319" s="30">
        <v>5228</v>
      </c>
      <c r="I319" s="30">
        <v>8733</v>
      </c>
      <c r="J319" s="30">
        <v>8733</v>
      </c>
      <c r="K319" s="64">
        <v>430</v>
      </c>
      <c r="L319" s="30">
        <v>3010</v>
      </c>
      <c r="M319" s="30">
        <v>3010</v>
      </c>
      <c r="N319" s="30">
        <v>2283</v>
      </c>
      <c r="O319" s="30">
        <f t="shared" si="350"/>
        <v>8733</v>
      </c>
      <c r="P319" s="100">
        <f t="shared" si="354"/>
        <v>0</v>
      </c>
      <c r="Q319" s="30">
        <v>4250</v>
      </c>
      <c r="R319" s="30">
        <v>0</v>
      </c>
      <c r="S319" s="30">
        <v>0</v>
      </c>
    </row>
    <row r="320" spans="1:19" ht="13.5" customHeight="1">
      <c r="A320" s="12"/>
      <c r="B320" s="116" t="s">
        <v>475</v>
      </c>
      <c r="C320" s="135" t="s">
        <v>445</v>
      </c>
      <c r="D320" s="30">
        <v>0.7</v>
      </c>
      <c r="E320" s="30">
        <v>123</v>
      </c>
      <c r="F320" s="46">
        <v>123</v>
      </c>
      <c r="G320" s="30">
        <v>123</v>
      </c>
      <c r="H320" s="30">
        <v>123</v>
      </c>
      <c r="I320" s="30">
        <f>205-205</f>
        <v>0</v>
      </c>
      <c r="J320" s="30"/>
      <c r="K320" s="64"/>
      <c r="L320" s="30"/>
      <c r="M320" s="30"/>
      <c r="N320" s="30"/>
      <c r="O320" s="30">
        <f t="shared" si="350"/>
        <v>0</v>
      </c>
      <c r="P320" s="100">
        <f t="shared" si="354"/>
        <v>0</v>
      </c>
      <c r="Q320" s="30">
        <v>0</v>
      </c>
      <c r="R320" s="30">
        <v>0</v>
      </c>
      <c r="S320" s="30">
        <v>0</v>
      </c>
    </row>
    <row r="321" spans="1:19" ht="26.25" customHeight="1">
      <c r="A321" s="12"/>
      <c r="B321" s="247" t="s">
        <v>418</v>
      </c>
      <c r="C321" s="245"/>
      <c r="D321" s="67">
        <f t="shared" ref="D321:S322" si="390">D322</f>
        <v>0</v>
      </c>
      <c r="E321" s="67">
        <f t="shared" si="390"/>
        <v>1000</v>
      </c>
      <c r="F321" s="67">
        <f t="shared" si="390"/>
        <v>1000</v>
      </c>
      <c r="G321" s="67">
        <f t="shared" si="390"/>
        <v>1000</v>
      </c>
      <c r="H321" s="67">
        <f t="shared" si="390"/>
        <v>20</v>
      </c>
      <c r="I321" s="67">
        <f t="shared" si="390"/>
        <v>5117</v>
      </c>
      <c r="J321" s="67">
        <f t="shared" si="390"/>
        <v>5117</v>
      </c>
      <c r="K321" s="210">
        <f t="shared" si="390"/>
        <v>0</v>
      </c>
      <c r="L321" s="67">
        <f t="shared" si="390"/>
        <v>1706</v>
      </c>
      <c r="M321" s="67">
        <f t="shared" si="390"/>
        <v>1706</v>
      </c>
      <c r="N321" s="67">
        <f t="shared" si="390"/>
        <v>1705</v>
      </c>
      <c r="O321" s="30">
        <f t="shared" si="350"/>
        <v>5117</v>
      </c>
      <c r="P321" s="100">
        <f t="shared" si="354"/>
        <v>0</v>
      </c>
      <c r="Q321" s="67">
        <f t="shared" si="390"/>
        <v>4443</v>
      </c>
      <c r="R321" s="67">
        <f t="shared" si="390"/>
        <v>0</v>
      </c>
      <c r="S321" s="67">
        <f t="shared" si="390"/>
        <v>0</v>
      </c>
    </row>
    <row r="322" spans="1:19" ht="18.75" customHeight="1">
      <c r="A322" s="12"/>
      <c r="B322" s="116" t="s">
        <v>164</v>
      </c>
      <c r="C322" s="135"/>
      <c r="D322" s="102">
        <f t="shared" si="390"/>
        <v>0</v>
      </c>
      <c r="E322" s="102">
        <f t="shared" si="390"/>
        <v>1000</v>
      </c>
      <c r="F322" s="102">
        <f t="shared" si="390"/>
        <v>1000</v>
      </c>
      <c r="G322" s="114">
        <f t="shared" si="390"/>
        <v>1000</v>
      </c>
      <c r="H322" s="114">
        <f t="shared" si="390"/>
        <v>20</v>
      </c>
      <c r="I322" s="114">
        <f t="shared" si="390"/>
        <v>5117</v>
      </c>
      <c r="J322" s="114">
        <f t="shared" si="390"/>
        <v>5117</v>
      </c>
      <c r="K322" s="202">
        <f t="shared" si="390"/>
        <v>0</v>
      </c>
      <c r="L322" s="114">
        <f t="shared" si="390"/>
        <v>1706</v>
      </c>
      <c r="M322" s="114">
        <f t="shared" si="390"/>
        <v>1706</v>
      </c>
      <c r="N322" s="114">
        <f t="shared" si="390"/>
        <v>1705</v>
      </c>
      <c r="O322" s="30">
        <f t="shared" si="350"/>
        <v>5117</v>
      </c>
      <c r="P322" s="100">
        <f t="shared" si="354"/>
        <v>0</v>
      </c>
      <c r="Q322" s="114">
        <f t="shared" si="390"/>
        <v>4443</v>
      </c>
      <c r="R322" s="114">
        <f t="shared" si="390"/>
        <v>0</v>
      </c>
      <c r="S322" s="114">
        <f t="shared" si="390"/>
        <v>0</v>
      </c>
    </row>
    <row r="323" spans="1:19" ht="26.25" customHeight="1">
      <c r="A323" s="12"/>
      <c r="B323" s="35" t="s">
        <v>442</v>
      </c>
      <c r="C323" s="135">
        <v>58</v>
      </c>
      <c r="D323" s="102">
        <f t="shared" ref="D323:S323" si="391">D324+D325+D326</f>
        <v>0</v>
      </c>
      <c r="E323" s="102">
        <f t="shared" si="391"/>
        <v>1000</v>
      </c>
      <c r="F323" s="102">
        <f t="shared" si="391"/>
        <v>1000</v>
      </c>
      <c r="G323" s="114">
        <f t="shared" si="391"/>
        <v>1000</v>
      </c>
      <c r="H323" s="114">
        <f t="shared" ref="H323" si="392">H324+H325+H326</f>
        <v>20</v>
      </c>
      <c r="I323" s="114">
        <f t="shared" si="391"/>
        <v>5117</v>
      </c>
      <c r="J323" s="114">
        <f t="shared" si="391"/>
        <v>5117</v>
      </c>
      <c r="K323" s="202">
        <f t="shared" ref="K323:N323" si="393">K324+K325+K326</f>
        <v>0</v>
      </c>
      <c r="L323" s="114">
        <f t="shared" si="393"/>
        <v>1706</v>
      </c>
      <c r="M323" s="114">
        <f t="shared" si="393"/>
        <v>1706</v>
      </c>
      <c r="N323" s="114">
        <f t="shared" si="393"/>
        <v>1705</v>
      </c>
      <c r="O323" s="30">
        <f t="shared" si="350"/>
        <v>5117</v>
      </c>
      <c r="P323" s="100">
        <f t="shared" si="354"/>
        <v>0</v>
      </c>
      <c r="Q323" s="114">
        <f t="shared" si="391"/>
        <v>4443</v>
      </c>
      <c r="R323" s="114">
        <f t="shared" si="391"/>
        <v>0</v>
      </c>
      <c r="S323" s="114">
        <f t="shared" si="391"/>
        <v>0</v>
      </c>
    </row>
    <row r="324" spans="1:19" ht="16.5" customHeight="1">
      <c r="A324" s="12"/>
      <c r="B324" s="116" t="s">
        <v>472</v>
      </c>
      <c r="C324" s="135" t="s">
        <v>473</v>
      </c>
      <c r="D324" s="30">
        <v>0</v>
      </c>
      <c r="E324" s="30">
        <v>130</v>
      </c>
      <c r="F324" s="46">
        <v>130</v>
      </c>
      <c r="G324" s="30">
        <v>130</v>
      </c>
      <c r="H324" s="30">
        <v>0</v>
      </c>
      <c r="I324" s="30">
        <v>679</v>
      </c>
      <c r="J324" s="30">
        <v>679</v>
      </c>
      <c r="K324" s="64">
        <v>0</v>
      </c>
      <c r="L324" s="30">
        <v>239</v>
      </c>
      <c r="M324" s="30">
        <v>239</v>
      </c>
      <c r="N324" s="30">
        <v>201</v>
      </c>
      <c r="O324" s="30">
        <f t="shared" si="350"/>
        <v>679</v>
      </c>
      <c r="P324" s="100">
        <f t="shared" si="354"/>
        <v>0</v>
      </c>
      <c r="Q324" s="30">
        <v>589</v>
      </c>
      <c r="R324" s="30">
        <v>0</v>
      </c>
      <c r="S324" s="30">
        <v>0</v>
      </c>
    </row>
    <row r="325" spans="1:19" ht="17.25" customHeight="1">
      <c r="A325" s="12"/>
      <c r="B325" s="116" t="s">
        <v>474</v>
      </c>
      <c r="C325" s="135" t="s">
        <v>444</v>
      </c>
      <c r="D325" s="30">
        <v>0</v>
      </c>
      <c r="E325" s="30">
        <v>850</v>
      </c>
      <c r="F325" s="46">
        <v>850</v>
      </c>
      <c r="G325" s="30">
        <v>850</v>
      </c>
      <c r="H325" s="30">
        <v>0</v>
      </c>
      <c r="I325" s="30">
        <v>4438</v>
      </c>
      <c r="J325" s="30">
        <v>4438</v>
      </c>
      <c r="K325" s="64">
        <v>0</v>
      </c>
      <c r="L325" s="30">
        <v>1467</v>
      </c>
      <c r="M325" s="30">
        <v>1467</v>
      </c>
      <c r="N325" s="30">
        <v>1504</v>
      </c>
      <c r="O325" s="30">
        <f t="shared" si="350"/>
        <v>4438</v>
      </c>
      <c r="P325" s="100">
        <f t="shared" si="354"/>
        <v>0</v>
      </c>
      <c r="Q325" s="30">
        <v>3853</v>
      </c>
      <c r="R325" s="30">
        <v>0</v>
      </c>
      <c r="S325" s="30">
        <v>0</v>
      </c>
    </row>
    <row r="326" spans="1:19" ht="21" customHeight="1">
      <c r="A326" s="12"/>
      <c r="B326" s="116" t="s">
        <v>475</v>
      </c>
      <c r="C326" s="135" t="s">
        <v>445</v>
      </c>
      <c r="D326" s="30">
        <v>0</v>
      </c>
      <c r="E326" s="30">
        <v>20</v>
      </c>
      <c r="F326" s="46">
        <v>20</v>
      </c>
      <c r="G326" s="30">
        <v>20</v>
      </c>
      <c r="H326" s="30">
        <v>20</v>
      </c>
      <c r="I326" s="30">
        <f>6171-6171</f>
        <v>0</v>
      </c>
      <c r="J326" s="30"/>
      <c r="K326" s="64"/>
      <c r="L326" s="30"/>
      <c r="M326" s="30"/>
      <c r="N326" s="30"/>
      <c r="O326" s="30">
        <f t="shared" si="350"/>
        <v>0</v>
      </c>
      <c r="P326" s="100">
        <f t="shared" si="354"/>
        <v>0</v>
      </c>
      <c r="Q326" s="30">
        <v>1</v>
      </c>
      <c r="R326" s="30">
        <v>0</v>
      </c>
      <c r="S326" s="30">
        <v>0</v>
      </c>
    </row>
    <row r="327" spans="1:19" ht="0.75" customHeight="1">
      <c r="A327" s="12"/>
      <c r="B327" s="247" t="s">
        <v>419</v>
      </c>
      <c r="C327" s="248"/>
      <c r="D327" s="149">
        <f t="shared" ref="D327:S328" si="394">D328</f>
        <v>7.6</v>
      </c>
      <c r="E327" s="149">
        <f t="shared" si="394"/>
        <v>3612</v>
      </c>
      <c r="F327" s="149">
        <f t="shared" si="394"/>
        <v>3122</v>
      </c>
      <c r="G327" s="149">
        <f t="shared" si="394"/>
        <v>3612</v>
      </c>
      <c r="H327" s="149">
        <f t="shared" si="394"/>
        <v>3403</v>
      </c>
      <c r="I327" s="149">
        <f t="shared" si="394"/>
        <v>0</v>
      </c>
      <c r="J327" s="149">
        <f t="shared" si="394"/>
        <v>0</v>
      </c>
      <c r="K327" s="212">
        <f t="shared" si="394"/>
        <v>0</v>
      </c>
      <c r="L327" s="149">
        <f t="shared" si="394"/>
        <v>0</v>
      </c>
      <c r="M327" s="149">
        <f t="shared" si="394"/>
        <v>0</v>
      </c>
      <c r="N327" s="149">
        <f t="shared" si="394"/>
        <v>0</v>
      </c>
      <c r="O327" s="30">
        <f t="shared" si="350"/>
        <v>0</v>
      </c>
      <c r="P327" s="100">
        <f t="shared" si="354"/>
        <v>0</v>
      </c>
      <c r="Q327" s="149">
        <f t="shared" si="394"/>
        <v>0</v>
      </c>
      <c r="R327" s="149">
        <f t="shared" si="394"/>
        <v>0</v>
      </c>
      <c r="S327" s="149">
        <f t="shared" si="394"/>
        <v>0</v>
      </c>
    </row>
    <row r="328" spans="1:19" ht="21" hidden="1" customHeight="1">
      <c r="A328" s="12"/>
      <c r="B328" s="116" t="s">
        <v>164</v>
      </c>
      <c r="C328" s="135"/>
      <c r="D328" s="102">
        <f t="shared" si="394"/>
        <v>7.6</v>
      </c>
      <c r="E328" s="102">
        <f t="shared" si="394"/>
        <v>3612</v>
      </c>
      <c r="F328" s="102">
        <f t="shared" si="394"/>
        <v>3122</v>
      </c>
      <c r="G328" s="114">
        <f t="shared" si="394"/>
        <v>3612</v>
      </c>
      <c r="H328" s="114">
        <f t="shared" si="394"/>
        <v>3403</v>
      </c>
      <c r="I328" s="114">
        <f t="shared" si="394"/>
        <v>0</v>
      </c>
      <c r="J328" s="114">
        <f t="shared" si="394"/>
        <v>0</v>
      </c>
      <c r="K328" s="202">
        <f t="shared" si="394"/>
        <v>0</v>
      </c>
      <c r="L328" s="114">
        <f t="shared" si="394"/>
        <v>0</v>
      </c>
      <c r="M328" s="114">
        <f t="shared" si="394"/>
        <v>0</v>
      </c>
      <c r="N328" s="114">
        <f t="shared" si="394"/>
        <v>0</v>
      </c>
      <c r="O328" s="30">
        <f t="shared" si="350"/>
        <v>0</v>
      </c>
      <c r="P328" s="100">
        <f t="shared" si="354"/>
        <v>0</v>
      </c>
      <c r="Q328" s="114">
        <f t="shared" si="394"/>
        <v>0</v>
      </c>
      <c r="R328" s="114">
        <f t="shared" si="394"/>
        <v>0</v>
      </c>
      <c r="S328" s="114">
        <f t="shared" si="394"/>
        <v>0</v>
      </c>
    </row>
    <row r="329" spans="1:19" ht="30" hidden="1" customHeight="1">
      <c r="A329" s="12"/>
      <c r="B329" s="35" t="s">
        <v>442</v>
      </c>
      <c r="C329" s="135">
        <v>58</v>
      </c>
      <c r="D329" s="102">
        <f t="shared" ref="D329:S329" si="395">D330+D331+D332</f>
        <v>7.6</v>
      </c>
      <c r="E329" s="102">
        <f t="shared" si="395"/>
        <v>3612</v>
      </c>
      <c r="F329" s="102">
        <f t="shared" si="395"/>
        <v>3122</v>
      </c>
      <c r="G329" s="114">
        <f t="shared" si="395"/>
        <v>3612</v>
      </c>
      <c r="H329" s="114">
        <f t="shared" ref="H329" si="396">H330+H331+H332</f>
        <v>3403</v>
      </c>
      <c r="I329" s="114">
        <f t="shared" si="395"/>
        <v>0</v>
      </c>
      <c r="J329" s="114">
        <f t="shared" si="395"/>
        <v>0</v>
      </c>
      <c r="K329" s="202">
        <f t="shared" ref="K329:N329" si="397">K330+K331+K332</f>
        <v>0</v>
      </c>
      <c r="L329" s="114">
        <f t="shared" si="397"/>
        <v>0</v>
      </c>
      <c r="M329" s="114">
        <f t="shared" si="397"/>
        <v>0</v>
      </c>
      <c r="N329" s="114">
        <f t="shared" si="397"/>
        <v>0</v>
      </c>
      <c r="O329" s="30">
        <f t="shared" si="350"/>
        <v>0</v>
      </c>
      <c r="P329" s="100">
        <f t="shared" si="354"/>
        <v>0</v>
      </c>
      <c r="Q329" s="114">
        <f t="shared" si="395"/>
        <v>0</v>
      </c>
      <c r="R329" s="114">
        <f t="shared" si="395"/>
        <v>0</v>
      </c>
      <c r="S329" s="114">
        <f t="shared" si="395"/>
        <v>0</v>
      </c>
    </row>
    <row r="330" spans="1:19" ht="18" hidden="1" customHeight="1">
      <c r="A330" s="12"/>
      <c r="B330" s="116" t="s">
        <v>472</v>
      </c>
      <c r="C330" s="135" t="s">
        <v>473</v>
      </c>
      <c r="D330" s="30">
        <v>0</v>
      </c>
      <c r="E330" s="30">
        <v>401</v>
      </c>
      <c r="F330" s="46">
        <v>336</v>
      </c>
      <c r="G330" s="30">
        <v>401</v>
      </c>
      <c r="H330" s="30">
        <v>400</v>
      </c>
      <c r="I330" s="30">
        <v>0</v>
      </c>
      <c r="J330" s="30">
        <v>0</v>
      </c>
      <c r="K330" s="64">
        <v>0</v>
      </c>
      <c r="L330" s="30">
        <v>0</v>
      </c>
      <c r="M330" s="30">
        <v>0</v>
      </c>
      <c r="N330" s="30">
        <v>0</v>
      </c>
      <c r="O330" s="30">
        <f t="shared" si="350"/>
        <v>0</v>
      </c>
      <c r="P330" s="100">
        <f t="shared" si="354"/>
        <v>0</v>
      </c>
      <c r="Q330" s="30">
        <v>0</v>
      </c>
      <c r="R330" s="30">
        <v>0</v>
      </c>
      <c r="S330" s="30">
        <v>0</v>
      </c>
    </row>
    <row r="331" spans="1:19" ht="19.5" hidden="1" customHeight="1">
      <c r="A331" s="12"/>
      <c r="B331" s="116" t="s">
        <v>474</v>
      </c>
      <c r="C331" s="135" t="s">
        <v>444</v>
      </c>
      <c r="D331" s="30">
        <v>0</v>
      </c>
      <c r="E331" s="30">
        <v>2618</v>
      </c>
      <c r="F331" s="46">
        <v>2193</v>
      </c>
      <c r="G331" s="30">
        <v>2618</v>
      </c>
      <c r="H331" s="30">
        <v>2618</v>
      </c>
      <c r="I331" s="30">
        <v>0</v>
      </c>
      <c r="J331" s="30">
        <v>0</v>
      </c>
      <c r="K331" s="64">
        <v>0</v>
      </c>
      <c r="L331" s="30">
        <v>0</v>
      </c>
      <c r="M331" s="30">
        <v>0</v>
      </c>
      <c r="N331" s="30">
        <v>0</v>
      </c>
      <c r="O331" s="30">
        <f t="shared" si="350"/>
        <v>0</v>
      </c>
      <c r="P331" s="100">
        <f t="shared" si="354"/>
        <v>0</v>
      </c>
      <c r="Q331" s="30">
        <v>0</v>
      </c>
      <c r="R331" s="30">
        <v>0</v>
      </c>
      <c r="S331" s="30">
        <v>0</v>
      </c>
    </row>
    <row r="332" spans="1:19" ht="20.25" hidden="1" customHeight="1">
      <c r="A332" s="12"/>
      <c r="B332" s="116" t="s">
        <v>475</v>
      </c>
      <c r="C332" s="135" t="s">
        <v>445</v>
      </c>
      <c r="D332" s="30">
        <v>7.6</v>
      </c>
      <c r="E332" s="30">
        <v>593</v>
      </c>
      <c r="F332" s="46">
        <v>593</v>
      </c>
      <c r="G332" s="30">
        <v>593</v>
      </c>
      <c r="H332" s="30">
        <v>385</v>
      </c>
      <c r="I332" s="30">
        <f>100-100</f>
        <v>0</v>
      </c>
      <c r="J332" s="30">
        <f>52-52</f>
        <v>0</v>
      </c>
      <c r="K332" s="64">
        <f>52-52</f>
        <v>0</v>
      </c>
      <c r="L332" s="30">
        <f>52-52</f>
        <v>0</v>
      </c>
      <c r="M332" s="30">
        <f>52-52</f>
        <v>0</v>
      </c>
      <c r="N332" s="30">
        <f>52-52</f>
        <v>0</v>
      </c>
      <c r="O332" s="30">
        <f t="shared" ref="O332:O395" si="398">K332+L332+M332+N332</f>
        <v>0</v>
      </c>
      <c r="P332" s="100">
        <f t="shared" si="354"/>
        <v>0</v>
      </c>
      <c r="Q332" s="30">
        <v>0</v>
      </c>
      <c r="R332" s="30">
        <v>0</v>
      </c>
      <c r="S332" s="30">
        <v>0</v>
      </c>
    </row>
    <row r="333" spans="1:19" ht="33" customHeight="1">
      <c r="A333" s="12"/>
      <c r="B333" s="247" t="s">
        <v>476</v>
      </c>
      <c r="C333" s="248"/>
      <c r="D333" s="149">
        <f t="shared" ref="D333:S334" si="399">D334</f>
        <v>0</v>
      </c>
      <c r="E333" s="149">
        <f t="shared" si="399"/>
        <v>1000</v>
      </c>
      <c r="F333" s="149">
        <f t="shared" si="399"/>
        <v>1000</v>
      </c>
      <c r="G333" s="149">
        <f t="shared" si="399"/>
        <v>1000</v>
      </c>
      <c r="H333" s="149">
        <f t="shared" si="399"/>
        <v>49</v>
      </c>
      <c r="I333" s="149">
        <f t="shared" si="399"/>
        <v>8886</v>
      </c>
      <c r="J333" s="149">
        <f t="shared" si="399"/>
        <v>8886</v>
      </c>
      <c r="K333" s="212">
        <f t="shared" si="399"/>
        <v>0</v>
      </c>
      <c r="L333" s="149">
        <f t="shared" si="399"/>
        <v>3000</v>
      </c>
      <c r="M333" s="149">
        <f t="shared" si="399"/>
        <v>3000</v>
      </c>
      <c r="N333" s="149">
        <f t="shared" si="399"/>
        <v>2886</v>
      </c>
      <c r="O333" s="30">
        <f t="shared" si="398"/>
        <v>8886</v>
      </c>
      <c r="P333" s="100">
        <f t="shared" ref="P333:P396" si="400">J333-O333</f>
        <v>0</v>
      </c>
      <c r="Q333" s="149">
        <f t="shared" si="399"/>
        <v>15096</v>
      </c>
      <c r="R333" s="149">
        <f t="shared" si="399"/>
        <v>0</v>
      </c>
      <c r="S333" s="149">
        <f t="shared" si="399"/>
        <v>0</v>
      </c>
    </row>
    <row r="334" spans="1:19" ht="20.25" customHeight="1">
      <c r="A334" s="12"/>
      <c r="B334" s="116" t="s">
        <v>164</v>
      </c>
      <c r="C334" s="135"/>
      <c r="D334" s="102">
        <f t="shared" si="399"/>
        <v>0</v>
      </c>
      <c r="E334" s="102">
        <f t="shared" si="399"/>
        <v>1000</v>
      </c>
      <c r="F334" s="102">
        <f t="shared" si="399"/>
        <v>1000</v>
      </c>
      <c r="G334" s="114">
        <f t="shared" si="399"/>
        <v>1000</v>
      </c>
      <c r="H334" s="114">
        <f t="shared" si="399"/>
        <v>49</v>
      </c>
      <c r="I334" s="114">
        <f t="shared" si="399"/>
        <v>8886</v>
      </c>
      <c r="J334" s="114">
        <f t="shared" si="399"/>
        <v>8886</v>
      </c>
      <c r="K334" s="202">
        <f t="shared" si="399"/>
        <v>0</v>
      </c>
      <c r="L334" s="114">
        <f t="shared" si="399"/>
        <v>3000</v>
      </c>
      <c r="M334" s="114">
        <f t="shared" si="399"/>
        <v>3000</v>
      </c>
      <c r="N334" s="114">
        <f t="shared" si="399"/>
        <v>2886</v>
      </c>
      <c r="O334" s="30">
        <f t="shared" si="398"/>
        <v>8886</v>
      </c>
      <c r="P334" s="100">
        <f t="shared" si="400"/>
        <v>0</v>
      </c>
      <c r="Q334" s="114">
        <f t="shared" si="399"/>
        <v>15096</v>
      </c>
      <c r="R334" s="114">
        <f t="shared" si="399"/>
        <v>0</v>
      </c>
      <c r="S334" s="114">
        <f t="shared" si="399"/>
        <v>0</v>
      </c>
    </row>
    <row r="335" spans="1:19" ht="26.25" customHeight="1">
      <c r="A335" s="12"/>
      <c r="B335" s="35" t="s">
        <v>442</v>
      </c>
      <c r="C335" s="135">
        <v>58</v>
      </c>
      <c r="D335" s="102">
        <f t="shared" ref="D335:S335" si="401">D336+D337+D338</f>
        <v>0</v>
      </c>
      <c r="E335" s="102">
        <f t="shared" si="401"/>
        <v>1000</v>
      </c>
      <c r="F335" s="102">
        <f t="shared" si="401"/>
        <v>1000</v>
      </c>
      <c r="G335" s="114">
        <f t="shared" si="401"/>
        <v>1000</v>
      </c>
      <c r="H335" s="114">
        <f t="shared" ref="H335" si="402">H336+H337+H338</f>
        <v>49</v>
      </c>
      <c r="I335" s="114">
        <f t="shared" si="401"/>
        <v>8886</v>
      </c>
      <c r="J335" s="114">
        <f t="shared" si="401"/>
        <v>8886</v>
      </c>
      <c r="K335" s="202">
        <f t="shared" ref="K335:N335" si="403">K336+K337+K338</f>
        <v>0</v>
      </c>
      <c r="L335" s="114">
        <f t="shared" si="403"/>
        <v>3000</v>
      </c>
      <c r="M335" s="114">
        <f t="shared" si="403"/>
        <v>3000</v>
      </c>
      <c r="N335" s="114">
        <f t="shared" si="403"/>
        <v>2886</v>
      </c>
      <c r="O335" s="30">
        <f t="shared" si="398"/>
        <v>8886</v>
      </c>
      <c r="P335" s="100">
        <f t="shared" si="400"/>
        <v>0</v>
      </c>
      <c r="Q335" s="114">
        <f t="shared" si="401"/>
        <v>15096</v>
      </c>
      <c r="R335" s="114">
        <f t="shared" si="401"/>
        <v>0</v>
      </c>
      <c r="S335" s="114">
        <f t="shared" si="401"/>
        <v>0</v>
      </c>
    </row>
    <row r="336" spans="1:19" ht="17.25" customHeight="1">
      <c r="A336" s="12"/>
      <c r="B336" s="116" t="s">
        <v>472</v>
      </c>
      <c r="C336" s="135" t="s">
        <v>473</v>
      </c>
      <c r="D336" s="30">
        <v>0</v>
      </c>
      <c r="E336" s="30">
        <v>130</v>
      </c>
      <c r="F336" s="46">
        <v>130</v>
      </c>
      <c r="G336" s="30">
        <v>130</v>
      </c>
      <c r="H336" s="30">
        <v>6</v>
      </c>
      <c r="I336" s="30">
        <v>1179</v>
      </c>
      <c r="J336" s="30">
        <v>1179</v>
      </c>
      <c r="K336" s="64">
        <v>0</v>
      </c>
      <c r="L336" s="30">
        <v>420</v>
      </c>
      <c r="M336" s="30">
        <v>420</v>
      </c>
      <c r="N336" s="30">
        <v>339</v>
      </c>
      <c r="O336" s="30">
        <f t="shared" si="398"/>
        <v>1179</v>
      </c>
      <c r="P336" s="100">
        <f t="shared" si="400"/>
        <v>0</v>
      </c>
      <c r="Q336" s="30">
        <v>1988</v>
      </c>
      <c r="R336" s="30">
        <v>0</v>
      </c>
      <c r="S336" s="30">
        <v>0</v>
      </c>
    </row>
    <row r="337" spans="1:19" ht="17.25" customHeight="1">
      <c r="A337" s="12"/>
      <c r="B337" s="116" t="s">
        <v>474</v>
      </c>
      <c r="C337" s="135" t="s">
        <v>444</v>
      </c>
      <c r="D337" s="30">
        <v>0</v>
      </c>
      <c r="E337" s="30">
        <v>850</v>
      </c>
      <c r="F337" s="46">
        <v>850</v>
      </c>
      <c r="G337" s="30">
        <v>850</v>
      </c>
      <c r="H337" s="30">
        <v>42</v>
      </c>
      <c r="I337" s="30">
        <v>7707</v>
      </c>
      <c r="J337" s="30">
        <v>7707</v>
      </c>
      <c r="K337" s="64">
        <v>0</v>
      </c>
      <c r="L337" s="30">
        <v>2580</v>
      </c>
      <c r="M337" s="30">
        <v>2580</v>
      </c>
      <c r="N337" s="30">
        <v>2547</v>
      </c>
      <c r="O337" s="30">
        <f t="shared" si="398"/>
        <v>7707</v>
      </c>
      <c r="P337" s="100">
        <f t="shared" si="400"/>
        <v>0</v>
      </c>
      <c r="Q337" s="30">
        <v>13000</v>
      </c>
      <c r="R337" s="30">
        <v>0</v>
      </c>
      <c r="S337" s="30">
        <v>0</v>
      </c>
    </row>
    <row r="338" spans="1:19" ht="17.25" customHeight="1">
      <c r="A338" s="12"/>
      <c r="B338" s="116" t="s">
        <v>475</v>
      </c>
      <c r="C338" s="135" t="s">
        <v>445</v>
      </c>
      <c r="D338" s="30">
        <v>0</v>
      </c>
      <c r="E338" s="30">
        <v>20</v>
      </c>
      <c r="F338" s="46">
        <v>20</v>
      </c>
      <c r="G338" s="30">
        <v>20</v>
      </c>
      <c r="H338" s="30">
        <v>1</v>
      </c>
      <c r="I338" s="30">
        <f>5472-5472</f>
        <v>0</v>
      </c>
      <c r="J338" s="30"/>
      <c r="K338" s="64"/>
      <c r="L338" s="30"/>
      <c r="M338" s="30"/>
      <c r="N338" s="30"/>
      <c r="O338" s="30">
        <f t="shared" si="398"/>
        <v>0</v>
      </c>
      <c r="P338" s="100">
        <f t="shared" si="400"/>
        <v>0</v>
      </c>
      <c r="Q338" s="30">
        <v>108</v>
      </c>
      <c r="R338" s="30">
        <v>0</v>
      </c>
      <c r="S338" s="30">
        <v>0</v>
      </c>
    </row>
    <row r="339" spans="1:19" ht="1.5" hidden="1" customHeight="1">
      <c r="A339" s="12"/>
      <c r="B339" s="247" t="s">
        <v>477</v>
      </c>
      <c r="C339" s="245"/>
      <c r="D339" s="46"/>
      <c r="E339" s="30"/>
      <c r="F339" s="46"/>
      <c r="G339" s="30"/>
      <c r="H339" s="31"/>
      <c r="I339" s="31"/>
      <c r="J339" s="30"/>
      <c r="K339" s="64"/>
      <c r="L339" s="30"/>
      <c r="M339" s="30"/>
      <c r="N339" s="30"/>
      <c r="O339" s="30">
        <f t="shared" si="398"/>
        <v>0</v>
      </c>
      <c r="P339" s="100">
        <f t="shared" si="400"/>
        <v>0</v>
      </c>
      <c r="Q339" s="30"/>
      <c r="R339" s="30"/>
      <c r="S339" s="30"/>
    </row>
    <row r="340" spans="1:19" ht="17.25" hidden="1" customHeight="1">
      <c r="A340" s="12"/>
      <c r="B340" s="116" t="s">
        <v>164</v>
      </c>
      <c r="C340" s="135"/>
      <c r="D340" s="46"/>
      <c r="E340" s="30"/>
      <c r="F340" s="46"/>
      <c r="G340" s="30"/>
      <c r="H340" s="31"/>
      <c r="I340" s="31"/>
      <c r="J340" s="30"/>
      <c r="K340" s="64"/>
      <c r="L340" s="30"/>
      <c r="M340" s="30"/>
      <c r="N340" s="30"/>
      <c r="O340" s="30">
        <f t="shared" si="398"/>
        <v>0</v>
      </c>
      <c r="P340" s="100">
        <f t="shared" si="400"/>
        <v>0</v>
      </c>
      <c r="Q340" s="30"/>
      <c r="R340" s="30"/>
      <c r="S340" s="30"/>
    </row>
    <row r="341" spans="1:19" ht="28.5" hidden="1" customHeight="1">
      <c r="A341" s="12"/>
      <c r="B341" s="35" t="s">
        <v>442</v>
      </c>
      <c r="C341" s="135">
        <v>58</v>
      </c>
      <c r="D341" s="46"/>
      <c r="E341" s="30"/>
      <c r="F341" s="46"/>
      <c r="G341" s="30"/>
      <c r="H341" s="31"/>
      <c r="I341" s="31"/>
      <c r="J341" s="30"/>
      <c r="K341" s="64"/>
      <c r="L341" s="30"/>
      <c r="M341" s="30"/>
      <c r="N341" s="30"/>
      <c r="O341" s="30">
        <f t="shared" si="398"/>
        <v>0</v>
      </c>
      <c r="P341" s="100">
        <f t="shared" si="400"/>
        <v>0</v>
      </c>
      <c r="Q341" s="30"/>
      <c r="R341" s="30"/>
      <c r="S341" s="30"/>
    </row>
    <row r="342" spans="1:19" ht="17.25" hidden="1" customHeight="1">
      <c r="A342" s="12"/>
      <c r="B342" s="116" t="s">
        <v>472</v>
      </c>
      <c r="C342" s="135" t="s">
        <v>484</v>
      </c>
      <c r="D342" s="46"/>
      <c r="E342" s="30"/>
      <c r="F342" s="46"/>
      <c r="G342" s="30"/>
      <c r="H342" s="31"/>
      <c r="I342" s="31"/>
      <c r="J342" s="30"/>
      <c r="K342" s="64"/>
      <c r="L342" s="30"/>
      <c r="M342" s="30"/>
      <c r="N342" s="30"/>
      <c r="O342" s="30">
        <f t="shared" si="398"/>
        <v>0</v>
      </c>
      <c r="P342" s="100">
        <f t="shared" si="400"/>
        <v>0</v>
      </c>
      <c r="Q342" s="30"/>
      <c r="R342" s="30"/>
      <c r="S342" s="30"/>
    </row>
    <row r="343" spans="1:19" ht="17.25" hidden="1" customHeight="1">
      <c r="A343" s="12"/>
      <c r="B343" s="116" t="s">
        <v>474</v>
      </c>
      <c r="C343" s="135" t="s">
        <v>485</v>
      </c>
      <c r="D343" s="46"/>
      <c r="E343" s="30"/>
      <c r="F343" s="46"/>
      <c r="G343" s="30"/>
      <c r="H343" s="31"/>
      <c r="I343" s="31"/>
      <c r="J343" s="30"/>
      <c r="K343" s="64"/>
      <c r="L343" s="30"/>
      <c r="M343" s="30"/>
      <c r="N343" s="30"/>
      <c r="O343" s="30">
        <f t="shared" si="398"/>
        <v>0</v>
      </c>
      <c r="P343" s="100">
        <f t="shared" si="400"/>
        <v>0</v>
      </c>
      <c r="Q343" s="30"/>
      <c r="R343" s="30"/>
      <c r="S343" s="30"/>
    </row>
    <row r="344" spans="1:19" ht="17.25" hidden="1" customHeight="1">
      <c r="A344" s="12"/>
      <c r="B344" s="116" t="s">
        <v>475</v>
      </c>
      <c r="C344" s="135" t="s">
        <v>486</v>
      </c>
      <c r="D344" s="46"/>
      <c r="E344" s="30"/>
      <c r="F344" s="46"/>
      <c r="G344" s="30"/>
      <c r="H344" s="31"/>
      <c r="I344" s="31"/>
      <c r="J344" s="30"/>
      <c r="K344" s="64"/>
      <c r="L344" s="30"/>
      <c r="M344" s="30"/>
      <c r="N344" s="30"/>
      <c r="O344" s="30">
        <f t="shared" si="398"/>
        <v>0</v>
      </c>
      <c r="P344" s="100">
        <f t="shared" si="400"/>
        <v>0</v>
      </c>
      <c r="Q344" s="30"/>
      <c r="R344" s="30"/>
      <c r="S344" s="30"/>
    </row>
    <row r="345" spans="1:19" ht="59.25" hidden="1" customHeight="1">
      <c r="A345" s="12"/>
      <c r="B345" s="247" t="s">
        <v>500</v>
      </c>
      <c r="C345" s="245"/>
      <c r="D345" s="46"/>
      <c r="E345" s="30"/>
      <c r="F345" s="46"/>
      <c r="G345" s="30"/>
      <c r="H345" s="31"/>
      <c r="I345" s="31"/>
      <c r="J345" s="30"/>
      <c r="K345" s="64"/>
      <c r="L345" s="30"/>
      <c r="M345" s="30"/>
      <c r="N345" s="30"/>
      <c r="O345" s="30">
        <f t="shared" si="398"/>
        <v>0</v>
      </c>
      <c r="P345" s="100">
        <f t="shared" si="400"/>
        <v>0</v>
      </c>
      <c r="Q345" s="30"/>
      <c r="R345" s="30"/>
      <c r="S345" s="30"/>
    </row>
    <row r="346" spans="1:19" ht="23.25" hidden="1" customHeight="1">
      <c r="A346" s="12"/>
      <c r="B346" s="116" t="s">
        <v>164</v>
      </c>
      <c r="C346" s="246"/>
      <c r="D346" s="46"/>
      <c r="E346" s="30"/>
      <c r="F346" s="46"/>
      <c r="G346" s="30"/>
      <c r="H346" s="31"/>
      <c r="I346" s="31"/>
      <c r="J346" s="30"/>
      <c r="K346" s="64"/>
      <c r="L346" s="30"/>
      <c r="M346" s="30"/>
      <c r="N346" s="30"/>
      <c r="O346" s="30">
        <f t="shared" si="398"/>
        <v>0</v>
      </c>
      <c r="P346" s="100">
        <f t="shared" si="400"/>
        <v>0</v>
      </c>
      <c r="Q346" s="30"/>
      <c r="R346" s="30"/>
      <c r="S346" s="30"/>
    </row>
    <row r="347" spans="1:19" ht="3.75" hidden="1" customHeight="1">
      <c r="A347" s="12"/>
      <c r="B347" s="35" t="s">
        <v>442</v>
      </c>
      <c r="C347" s="135">
        <v>58</v>
      </c>
      <c r="D347" s="46"/>
      <c r="E347" s="30"/>
      <c r="F347" s="46"/>
      <c r="G347" s="30"/>
      <c r="H347" s="31"/>
      <c r="I347" s="31"/>
      <c r="J347" s="30"/>
      <c r="K347" s="64"/>
      <c r="L347" s="30"/>
      <c r="M347" s="30"/>
      <c r="N347" s="30"/>
      <c r="O347" s="30">
        <f t="shared" si="398"/>
        <v>0</v>
      </c>
      <c r="P347" s="100">
        <f t="shared" si="400"/>
        <v>0</v>
      </c>
      <c r="Q347" s="30"/>
      <c r="R347" s="30"/>
      <c r="S347" s="30"/>
    </row>
    <row r="348" spans="1:19" ht="17.25" hidden="1" customHeight="1">
      <c r="A348" s="12"/>
      <c r="B348" s="116" t="s">
        <v>472</v>
      </c>
      <c r="C348" s="135" t="s">
        <v>473</v>
      </c>
      <c r="D348" s="46"/>
      <c r="E348" s="30"/>
      <c r="F348" s="46"/>
      <c r="G348" s="30"/>
      <c r="H348" s="31"/>
      <c r="I348" s="31"/>
      <c r="J348" s="30"/>
      <c r="K348" s="64"/>
      <c r="L348" s="30"/>
      <c r="M348" s="30"/>
      <c r="N348" s="30"/>
      <c r="O348" s="30">
        <f t="shared" si="398"/>
        <v>0</v>
      </c>
      <c r="P348" s="100">
        <f t="shared" si="400"/>
        <v>0</v>
      </c>
      <c r="Q348" s="30"/>
      <c r="R348" s="30"/>
      <c r="S348" s="30"/>
    </row>
    <row r="349" spans="1:19" ht="17.25" hidden="1" customHeight="1">
      <c r="A349" s="12"/>
      <c r="B349" s="116" t="s">
        <v>474</v>
      </c>
      <c r="C349" s="135" t="s">
        <v>444</v>
      </c>
      <c r="D349" s="46"/>
      <c r="E349" s="30"/>
      <c r="F349" s="46"/>
      <c r="G349" s="30"/>
      <c r="H349" s="31"/>
      <c r="I349" s="31"/>
      <c r="J349" s="30"/>
      <c r="K349" s="64"/>
      <c r="L349" s="30"/>
      <c r="M349" s="30"/>
      <c r="N349" s="30"/>
      <c r="O349" s="30">
        <f t="shared" si="398"/>
        <v>0</v>
      </c>
      <c r="P349" s="100">
        <f t="shared" si="400"/>
        <v>0</v>
      </c>
      <c r="Q349" s="30"/>
      <c r="R349" s="30"/>
      <c r="S349" s="30"/>
    </row>
    <row r="350" spans="1:19" ht="17.25" hidden="1" customHeight="1">
      <c r="A350" s="12"/>
      <c r="B350" s="116" t="s">
        <v>475</v>
      </c>
      <c r="C350" s="135" t="s">
        <v>445</v>
      </c>
      <c r="D350" s="46"/>
      <c r="E350" s="30"/>
      <c r="F350" s="46"/>
      <c r="G350" s="30"/>
      <c r="H350" s="31"/>
      <c r="I350" s="31"/>
      <c r="J350" s="30"/>
      <c r="K350" s="64"/>
      <c r="L350" s="30"/>
      <c r="M350" s="30"/>
      <c r="N350" s="30"/>
      <c r="O350" s="30">
        <f t="shared" si="398"/>
        <v>0</v>
      </c>
      <c r="P350" s="100">
        <f t="shared" si="400"/>
        <v>0</v>
      </c>
      <c r="Q350" s="30"/>
      <c r="R350" s="30"/>
      <c r="S350" s="30"/>
    </row>
    <row r="351" spans="1:19" ht="44.25" hidden="1" customHeight="1">
      <c r="A351" s="12"/>
      <c r="B351" s="247" t="s">
        <v>499</v>
      </c>
      <c r="C351" s="245"/>
      <c r="D351" s="46"/>
      <c r="E351" s="30"/>
      <c r="F351" s="46"/>
      <c r="G351" s="30"/>
      <c r="H351" s="31"/>
      <c r="I351" s="31"/>
      <c r="J351" s="30"/>
      <c r="K351" s="64"/>
      <c r="L351" s="30"/>
      <c r="M351" s="30"/>
      <c r="N351" s="30"/>
      <c r="O351" s="30">
        <f t="shared" si="398"/>
        <v>0</v>
      </c>
      <c r="P351" s="100">
        <f t="shared" si="400"/>
        <v>0</v>
      </c>
      <c r="Q351" s="30"/>
      <c r="R351" s="30"/>
      <c r="S351" s="30"/>
    </row>
    <row r="352" spans="1:19" ht="24.75" hidden="1" customHeight="1">
      <c r="A352" s="184"/>
      <c r="B352" s="116" t="s">
        <v>164</v>
      </c>
      <c r="C352" s="246"/>
      <c r="D352" s="46"/>
      <c r="E352" s="30"/>
      <c r="F352" s="46"/>
      <c r="G352" s="30"/>
      <c r="H352" s="31"/>
      <c r="I352" s="31"/>
      <c r="J352" s="30"/>
      <c r="K352" s="64"/>
      <c r="L352" s="30"/>
      <c r="M352" s="30"/>
      <c r="N352" s="30"/>
      <c r="O352" s="30">
        <f t="shared" si="398"/>
        <v>0</v>
      </c>
      <c r="P352" s="100">
        <f t="shared" si="400"/>
        <v>0</v>
      </c>
      <c r="Q352" s="30"/>
      <c r="R352" s="30"/>
      <c r="S352" s="30"/>
    </row>
    <row r="353" spans="1:19" ht="28.5" hidden="1" customHeight="1">
      <c r="A353" s="12"/>
      <c r="B353" s="35" t="s">
        <v>442</v>
      </c>
      <c r="C353" s="135">
        <v>58</v>
      </c>
      <c r="D353" s="46"/>
      <c r="E353" s="30"/>
      <c r="F353" s="46"/>
      <c r="G353" s="30"/>
      <c r="H353" s="31"/>
      <c r="I353" s="31"/>
      <c r="J353" s="30"/>
      <c r="K353" s="64"/>
      <c r="L353" s="30"/>
      <c r="M353" s="30"/>
      <c r="N353" s="30"/>
      <c r="O353" s="30">
        <f t="shared" si="398"/>
        <v>0</v>
      </c>
      <c r="P353" s="100">
        <f t="shared" si="400"/>
        <v>0</v>
      </c>
      <c r="Q353" s="30"/>
      <c r="R353" s="30"/>
      <c r="S353" s="30"/>
    </row>
    <row r="354" spans="1:19" ht="17.25" hidden="1" customHeight="1">
      <c r="A354" s="12"/>
      <c r="B354" s="116" t="s">
        <v>472</v>
      </c>
      <c r="C354" s="135" t="s">
        <v>473</v>
      </c>
      <c r="D354" s="46"/>
      <c r="E354" s="30"/>
      <c r="F354" s="46"/>
      <c r="G354" s="30"/>
      <c r="H354" s="31"/>
      <c r="I354" s="31"/>
      <c r="J354" s="30"/>
      <c r="K354" s="64"/>
      <c r="L354" s="30"/>
      <c r="M354" s="30"/>
      <c r="N354" s="30"/>
      <c r="O354" s="30">
        <f t="shared" si="398"/>
        <v>0</v>
      </c>
      <c r="P354" s="100">
        <f t="shared" si="400"/>
        <v>0</v>
      </c>
      <c r="Q354" s="30"/>
      <c r="R354" s="30"/>
      <c r="S354" s="30"/>
    </row>
    <row r="355" spans="1:19" ht="17.25" hidden="1" customHeight="1">
      <c r="A355" s="12"/>
      <c r="B355" s="116" t="s">
        <v>474</v>
      </c>
      <c r="C355" s="135" t="s">
        <v>444</v>
      </c>
      <c r="D355" s="46"/>
      <c r="E355" s="30"/>
      <c r="F355" s="46"/>
      <c r="G355" s="30"/>
      <c r="H355" s="31"/>
      <c r="I355" s="31"/>
      <c r="J355" s="30"/>
      <c r="K355" s="64"/>
      <c r="L355" s="30"/>
      <c r="M355" s="30"/>
      <c r="N355" s="30"/>
      <c r="O355" s="30">
        <f t="shared" si="398"/>
        <v>0</v>
      </c>
      <c r="P355" s="100">
        <f t="shared" si="400"/>
        <v>0</v>
      </c>
      <c r="Q355" s="30"/>
      <c r="R355" s="30"/>
      <c r="S355" s="30"/>
    </row>
    <row r="356" spans="1:19" ht="17.25" hidden="1" customHeight="1">
      <c r="A356" s="12"/>
      <c r="B356" s="116" t="s">
        <v>475</v>
      </c>
      <c r="C356" s="135" t="s">
        <v>445</v>
      </c>
      <c r="D356" s="46"/>
      <c r="E356" s="30"/>
      <c r="F356" s="46"/>
      <c r="G356" s="30"/>
      <c r="H356" s="31"/>
      <c r="I356" s="31"/>
      <c r="J356" s="30"/>
      <c r="K356" s="64"/>
      <c r="L356" s="30"/>
      <c r="M356" s="30"/>
      <c r="N356" s="30"/>
      <c r="O356" s="30">
        <f t="shared" si="398"/>
        <v>0</v>
      </c>
      <c r="P356" s="100">
        <f t="shared" si="400"/>
        <v>0</v>
      </c>
      <c r="Q356" s="30"/>
      <c r="R356" s="30"/>
      <c r="S356" s="30"/>
    </row>
    <row r="357" spans="1:19" ht="27.75" customHeight="1">
      <c r="A357" s="12"/>
      <c r="B357" s="247" t="s">
        <v>510</v>
      </c>
      <c r="C357" s="245"/>
      <c r="D357" s="67">
        <f t="shared" ref="D357:S358" si="404">D358</f>
        <v>8.2999999999999989</v>
      </c>
      <c r="E357" s="67">
        <f t="shared" si="404"/>
        <v>1000</v>
      </c>
      <c r="F357" s="67">
        <f t="shared" si="404"/>
        <v>1000</v>
      </c>
      <c r="G357" s="67">
        <f t="shared" si="404"/>
        <v>1000</v>
      </c>
      <c r="H357" s="67">
        <f t="shared" si="404"/>
        <v>0</v>
      </c>
      <c r="I357" s="67">
        <f t="shared" si="404"/>
        <v>2853</v>
      </c>
      <c r="J357" s="67">
        <f t="shared" si="404"/>
        <v>2853</v>
      </c>
      <c r="K357" s="210">
        <f t="shared" si="404"/>
        <v>15</v>
      </c>
      <c r="L357" s="67">
        <f t="shared" si="404"/>
        <v>1000</v>
      </c>
      <c r="M357" s="67">
        <f t="shared" si="404"/>
        <v>1200</v>
      </c>
      <c r="N357" s="67">
        <f t="shared" si="404"/>
        <v>638</v>
      </c>
      <c r="O357" s="30">
        <f t="shared" si="398"/>
        <v>2853</v>
      </c>
      <c r="P357" s="100">
        <f t="shared" si="400"/>
        <v>0</v>
      </c>
      <c r="Q357" s="144">
        <f t="shared" si="404"/>
        <v>352</v>
      </c>
      <c r="R357" s="144">
        <f t="shared" si="404"/>
        <v>0</v>
      </c>
      <c r="S357" s="144">
        <f t="shared" si="404"/>
        <v>0</v>
      </c>
    </row>
    <row r="358" spans="1:19" ht="17.25" customHeight="1">
      <c r="A358" s="12"/>
      <c r="B358" s="116" t="s">
        <v>164</v>
      </c>
      <c r="C358" s="135"/>
      <c r="D358" s="114">
        <f t="shared" si="404"/>
        <v>8.2999999999999989</v>
      </c>
      <c r="E358" s="114">
        <f t="shared" si="404"/>
        <v>1000</v>
      </c>
      <c r="F358" s="114">
        <f t="shared" si="404"/>
        <v>1000</v>
      </c>
      <c r="G358" s="114">
        <f t="shared" si="404"/>
        <v>1000</v>
      </c>
      <c r="H358" s="114">
        <f t="shared" si="404"/>
        <v>0</v>
      </c>
      <c r="I358" s="114">
        <f t="shared" si="404"/>
        <v>2853</v>
      </c>
      <c r="J358" s="114">
        <f t="shared" si="404"/>
        <v>2853</v>
      </c>
      <c r="K358" s="202">
        <f t="shared" si="404"/>
        <v>15</v>
      </c>
      <c r="L358" s="114">
        <f t="shared" si="404"/>
        <v>1000</v>
      </c>
      <c r="M358" s="114">
        <f t="shared" si="404"/>
        <v>1200</v>
      </c>
      <c r="N358" s="114">
        <f t="shared" si="404"/>
        <v>638</v>
      </c>
      <c r="O358" s="30">
        <f t="shared" si="398"/>
        <v>2853</v>
      </c>
      <c r="P358" s="100">
        <f t="shared" si="400"/>
        <v>0</v>
      </c>
      <c r="Q358" s="114">
        <f t="shared" si="404"/>
        <v>352</v>
      </c>
      <c r="R358" s="114">
        <f t="shared" si="404"/>
        <v>0</v>
      </c>
      <c r="S358" s="114">
        <f t="shared" si="404"/>
        <v>0</v>
      </c>
    </row>
    <row r="359" spans="1:19" ht="28.5" customHeight="1">
      <c r="A359" s="12"/>
      <c r="B359" s="35" t="s">
        <v>442</v>
      </c>
      <c r="C359" s="135">
        <v>58</v>
      </c>
      <c r="D359" s="114">
        <f t="shared" ref="D359:S359" si="405">D360+D361+D362</f>
        <v>8.2999999999999989</v>
      </c>
      <c r="E359" s="114">
        <f t="shared" si="405"/>
        <v>1000</v>
      </c>
      <c r="F359" s="114">
        <f t="shared" si="405"/>
        <v>1000</v>
      </c>
      <c r="G359" s="114">
        <f t="shared" si="405"/>
        <v>1000</v>
      </c>
      <c r="H359" s="114">
        <f t="shared" ref="H359" si="406">H360+H361+H362</f>
        <v>0</v>
      </c>
      <c r="I359" s="114">
        <f t="shared" si="405"/>
        <v>2853</v>
      </c>
      <c r="J359" s="114">
        <f t="shared" si="405"/>
        <v>2853</v>
      </c>
      <c r="K359" s="202">
        <f t="shared" ref="K359:N359" si="407">K360+K361+K362</f>
        <v>15</v>
      </c>
      <c r="L359" s="114">
        <f t="shared" si="407"/>
        <v>1000</v>
      </c>
      <c r="M359" s="114">
        <f t="shared" si="407"/>
        <v>1200</v>
      </c>
      <c r="N359" s="114">
        <f t="shared" si="407"/>
        <v>638</v>
      </c>
      <c r="O359" s="30">
        <f t="shared" si="398"/>
        <v>2853</v>
      </c>
      <c r="P359" s="100">
        <f t="shared" si="400"/>
        <v>0</v>
      </c>
      <c r="Q359" s="114">
        <f t="shared" si="405"/>
        <v>352</v>
      </c>
      <c r="R359" s="114">
        <f t="shared" si="405"/>
        <v>0</v>
      </c>
      <c r="S359" s="114">
        <f t="shared" si="405"/>
        <v>0</v>
      </c>
    </row>
    <row r="360" spans="1:19" ht="17.25" customHeight="1">
      <c r="A360" s="12"/>
      <c r="B360" s="116" t="s">
        <v>472</v>
      </c>
      <c r="C360" s="135" t="s">
        <v>473</v>
      </c>
      <c r="D360" s="30">
        <v>2.2999999999999998</v>
      </c>
      <c r="E360" s="30">
        <v>279</v>
      </c>
      <c r="F360" s="46">
        <v>279</v>
      </c>
      <c r="G360" s="30">
        <v>279</v>
      </c>
      <c r="H360" s="30"/>
      <c r="I360" s="30">
        <v>811</v>
      </c>
      <c r="J360" s="30">
        <v>811</v>
      </c>
      <c r="K360" s="64">
        <v>0</v>
      </c>
      <c r="L360" s="30">
        <v>290</v>
      </c>
      <c r="M360" s="30">
        <v>348</v>
      </c>
      <c r="N360" s="30">
        <v>173</v>
      </c>
      <c r="O360" s="30">
        <f t="shared" si="398"/>
        <v>811</v>
      </c>
      <c r="P360" s="100">
        <f t="shared" si="400"/>
        <v>0</v>
      </c>
      <c r="Q360" s="30">
        <v>99</v>
      </c>
      <c r="R360" s="30">
        <v>0</v>
      </c>
      <c r="S360" s="30">
        <v>0</v>
      </c>
    </row>
    <row r="361" spans="1:19" ht="17.25" customHeight="1">
      <c r="A361" s="12"/>
      <c r="B361" s="116" t="s">
        <v>474</v>
      </c>
      <c r="C361" s="135" t="s">
        <v>444</v>
      </c>
      <c r="D361" s="30">
        <v>5.8</v>
      </c>
      <c r="E361" s="30">
        <v>697</v>
      </c>
      <c r="F361" s="46">
        <v>697</v>
      </c>
      <c r="G361" s="30">
        <v>697</v>
      </c>
      <c r="H361" s="30"/>
      <c r="I361" s="30">
        <v>2027</v>
      </c>
      <c r="J361" s="30">
        <v>2027</v>
      </c>
      <c r="K361" s="64">
        <v>0</v>
      </c>
      <c r="L361" s="30">
        <v>710</v>
      </c>
      <c r="M361" s="30">
        <v>852</v>
      </c>
      <c r="N361" s="30">
        <v>465</v>
      </c>
      <c r="O361" s="30">
        <f t="shared" si="398"/>
        <v>2027</v>
      </c>
      <c r="P361" s="100">
        <f t="shared" si="400"/>
        <v>0</v>
      </c>
      <c r="Q361" s="30">
        <v>246</v>
      </c>
      <c r="R361" s="30">
        <v>0</v>
      </c>
      <c r="S361" s="30">
        <v>0</v>
      </c>
    </row>
    <row r="362" spans="1:19" ht="17.25" customHeight="1">
      <c r="A362" s="12"/>
      <c r="B362" s="116" t="s">
        <v>475</v>
      </c>
      <c r="C362" s="135" t="s">
        <v>445</v>
      </c>
      <c r="D362" s="30">
        <v>0.2</v>
      </c>
      <c r="E362" s="30">
        <v>24</v>
      </c>
      <c r="F362" s="46">
        <v>24</v>
      </c>
      <c r="G362" s="30">
        <v>24</v>
      </c>
      <c r="H362" s="31"/>
      <c r="I362" s="30">
        <f>62-47</f>
        <v>15</v>
      </c>
      <c r="J362" s="30">
        <v>15</v>
      </c>
      <c r="K362" s="64">
        <v>15</v>
      </c>
      <c r="L362" s="30"/>
      <c r="M362" s="30"/>
      <c r="N362" s="30"/>
      <c r="O362" s="30">
        <f t="shared" si="398"/>
        <v>15</v>
      </c>
      <c r="P362" s="100">
        <f t="shared" si="400"/>
        <v>0</v>
      </c>
      <c r="Q362" s="30">
        <f>7-0</f>
        <v>7</v>
      </c>
      <c r="R362" s="30">
        <v>0</v>
      </c>
      <c r="S362" s="30">
        <v>0</v>
      </c>
    </row>
    <row r="363" spans="1:19" ht="43.5" customHeight="1">
      <c r="A363" s="12"/>
      <c r="B363" s="247" t="s">
        <v>534</v>
      </c>
      <c r="C363" s="245"/>
      <c r="D363" s="67">
        <f t="shared" ref="D363:S364" si="408">D364</f>
        <v>0</v>
      </c>
      <c r="E363" s="67">
        <f t="shared" si="408"/>
        <v>250</v>
      </c>
      <c r="F363" s="67">
        <f t="shared" si="408"/>
        <v>250</v>
      </c>
      <c r="G363" s="67">
        <f t="shared" si="408"/>
        <v>250</v>
      </c>
      <c r="H363" s="67">
        <f t="shared" si="408"/>
        <v>13</v>
      </c>
      <c r="I363" s="67">
        <f t="shared" si="408"/>
        <v>2940</v>
      </c>
      <c r="J363" s="67">
        <f t="shared" si="408"/>
        <v>2940</v>
      </c>
      <c r="K363" s="210">
        <f t="shared" si="408"/>
        <v>300</v>
      </c>
      <c r="L363" s="67">
        <f t="shared" si="408"/>
        <v>900</v>
      </c>
      <c r="M363" s="67">
        <f t="shared" si="408"/>
        <v>900</v>
      </c>
      <c r="N363" s="67">
        <f t="shared" si="408"/>
        <v>840</v>
      </c>
      <c r="O363" s="30">
        <f t="shared" si="398"/>
        <v>2940</v>
      </c>
      <c r="P363" s="100">
        <f t="shared" si="400"/>
        <v>0</v>
      </c>
      <c r="Q363" s="67">
        <f t="shared" si="408"/>
        <v>3692</v>
      </c>
      <c r="R363" s="67">
        <f t="shared" si="408"/>
        <v>0</v>
      </c>
      <c r="S363" s="67">
        <f t="shared" si="408"/>
        <v>0</v>
      </c>
    </row>
    <row r="364" spans="1:19" ht="17.25" customHeight="1">
      <c r="A364" s="12"/>
      <c r="B364" s="116" t="s">
        <v>164</v>
      </c>
      <c r="C364" s="135"/>
      <c r="D364" s="104">
        <f t="shared" si="408"/>
        <v>0</v>
      </c>
      <c r="E364" s="104">
        <f t="shared" si="408"/>
        <v>250</v>
      </c>
      <c r="F364" s="104">
        <f t="shared" si="408"/>
        <v>250</v>
      </c>
      <c r="G364" s="104">
        <f t="shared" si="408"/>
        <v>250</v>
      </c>
      <c r="H364" s="104">
        <f t="shared" si="408"/>
        <v>13</v>
      </c>
      <c r="I364" s="104">
        <f t="shared" si="408"/>
        <v>2940</v>
      </c>
      <c r="J364" s="104">
        <f t="shared" si="408"/>
        <v>2940</v>
      </c>
      <c r="K364" s="196">
        <f t="shared" si="408"/>
        <v>300</v>
      </c>
      <c r="L364" s="104">
        <f t="shared" si="408"/>
        <v>900</v>
      </c>
      <c r="M364" s="104">
        <f t="shared" si="408"/>
        <v>900</v>
      </c>
      <c r="N364" s="104">
        <f t="shared" si="408"/>
        <v>840</v>
      </c>
      <c r="O364" s="30">
        <f t="shared" si="398"/>
        <v>2940</v>
      </c>
      <c r="P364" s="100">
        <f t="shared" si="400"/>
        <v>0</v>
      </c>
      <c r="Q364" s="104">
        <f t="shared" si="408"/>
        <v>3692</v>
      </c>
      <c r="R364" s="104">
        <f t="shared" si="408"/>
        <v>0</v>
      </c>
      <c r="S364" s="104">
        <f t="shared" si="408"/>
        <v>0</v>
      </c>
    </row>
    <row r="365" spans="1:19" ht="24.75" customHeight="1">
      <c r="A365" s="12"/>
      <c r="B365" s="35" t="s">
        <v>442</v>
      </c>
      <c r="C365" s="135">
        <v>58</v>
      </c>
      <c r="D365" s="104">
        <f t="shared" ref="D365:S365" si="409">D366+D367+D368</f>
        <v>0</v>
      </c>
      <c r="E365" s="104">
        <f t="shared" si="409"/>
        <v>250</v>
      </c>
      <c r="F365" s="104">
        <f t="shared" si="409"/>
        <v>250</v>
      </c>
      <c r="G365" s="104">
        <f t="shared" si="409"/>
        <v>250</v>
      </c>
      <c r="H365" s="104">
        <f t="shared" ref="H365" si="410">H366+H367+H368</f>
        <v>13</v>
      </c>
      <c r="I365" s="104">
        <f t="shared" si="409"/>
        <v>2940</v>
      </c>
      <c r="J365" s="104">
        <f t="shared" si="409"/>
        <v>2940</v>
      </c>
      <c r="K365" s="196">
        <f t="shared" ref="K365:N365" si="411">K366+K367+K368</f>
        <v>300</v>
      </c>
      <c r="L365" s="104">
        <f t="shared" si="411"/>
        <v>900</v>
      </c>
      <c r="M365" s="104">
        <f t="shared" si="411"/>
        <v>900</v>
      </c>
      <c r="N365" s="104">
        <f t="shared" si="411"/>
        <v>840</v>
      </c>
      <c r="O365" s="30">
        <f t="shared" si="398"/>
        <v>2940</v>
      </c>
      <c r="P365" s="100">
        <f t="shared" si="400"/>
        <v>0</v>
      </c>
      <c r="Q365" s="104">
        <f t="shared" si="409"/>
        <v>3692</v>
      </c>
      <c r="R365" s="104">
        <f t="shared" si="409"/>
        <v>0</v>
      </c>
      <c r="S365" s="104">
        <f t="shared" si="409"/>
        <v>0</v>
      </c>
    </row>
    <row r="366" spans="1:19" ht="17.25" customHeight="1">
      <c r="A366" s="12"/>
      <c r="B366" s="116" t="s">
        <v>472</v>
      </c>
      <c r="C366" s="135" t="s">
        <v>473</v>
      </c>
      <c r="D366" s="30">
        <v>0</v>
      </c>
      <c r="E366" s="30">
        <v>70</v>
      </c>
      <c r="F366" s="46">
        <v>70</v>
      </c>
      <c r="G366" s="30">
        <v>70</v>
      </c>
      <c r="H366" s="30">
        <v>3</v>
      </c>
      <c r="I366" s="30">
        <v>840</v>
      </c>
      <c r="J366" s="30">
        <v>840</v>
      </c>
      <c r="K366" s="64">
        <v>87</v>
      </c>
      <c r="L366" s="30">
        <v>261</v>
      </c>
      <c r="M366" s="30">
        <v>261</v>
      </c>
      <c r="N366" s="30">
        <v>231</v>
      </c>
      <c r="O366" s="30">
        <f t="shared" si="398"/>
        <v>840</v>
      </c>
      <c r="P366" s="100">
        <f t="shared" si="400"/>
        <v>0</v>
      </c>
      <c r="Q366" s="30">
        <v>1017</v>
      </c>
      <c r="R366" s="30">
        <v>0</v>
      </c>
      <c r="S366" s="30">
        <v>0</v>
      </c>
    </row>
    <row r="367" spans="1:19" ht="17.25" customHeight="1">
      <c r="A367" s="12"/>
      <c r="B367" s="116" t="s">
        <v>474</v>
      </c>
      <c r="C367" s="135" t="s">
        <v>444</v>
      </c>
      <c r="D367" s="30">
        <v>0</v>
      </c>
      <c r="E367" s="30">
        <v>175</v>
      </c>
      <c r="F367" s="46">
        <v>175</v>
      </c>
      <c r="G367" s="30">
        <v>175</v>
      </c>
      <c r="H367" s="30">
        <v>9</v>
      </c>
      <c r="I367" s="30">
        <v>2100</v>
      </c>
      <c r="J367" s="30">
        <v>2100</v>
      </c>
      <c r="K367" s="64">
        <v>213</v>
      </c>
      <c r="L367" s="30">
        <v>639</v>
      </c>
      <c r="M367" s="30">
        <v>639</v>
      </c>
      <c r="N367" s="30">
        <v>609</v>
      </c>
      <c r="O367" s="30">
        <f t="shared" si="398"/>
        <v>2100</v>
      </c>
      <c r="P367" s="100">
        <f t="shared" si="400"/>
        <v>0</v>
      </c>
      <c r="Q367" s="30">
        <v>2542</v>
      </c>
      <c r="R367" s="30">
        <v>0</v>
      </c>
      <c r="S367" s="30">
        <v>0</v>
      </c>
    </row>
    <row r="368" spans="1:19" ht="17.25" customHeight="1">
      <c r="A368" s="12"/>
      <c r="B368" s="116" t="s">
        <v>475</v>
      </c>
      <c r="C368" s="135" t="s">
        <v>445</v>
      </c>
      <c r="D368" s="30">
        <v>0</v>
      </c>
      <c r="E368" s="30">
        <v>5</v>
      </c>
      <c r="F368" s="46">
        <v>5</v>
      </c>
      <c r="G368" s="30">
        <v>5</v>
      </c>
      <c r="H368" s="30">
        <v>1</v>
      </c>
      <c r="I368" s="30">
        <f>1560-1560</f>
        <v>0</v>
      </c>
      <c r="J368" s="30"/>
      <c r="K368" s="64"/>
      <c r="L368" s="30"/>
      <c r="M368" s="30"/>
      <c r="N368" s="30"/>
      <c r="O368" s="30">
        <f t="shared" si="398"/>
        <v>0</v>
      </c>
      <c r="P368" s="100">
        <f t="shared" si="400"/>
        <v>0</v>
      </c>
      <c r="Q368" s="30">
        <f>4830-4697</f>
        <v>133</v>
      </c>
      <c r="R368" s="30">
        <v>0</v>
      </c>
      <c r="S368" s="30">
        <v>0</v>
      </c>
    </row>
    <row r="369" spans="1:19" ht="39" customHeight="1">
      <c r="A369" s="12"/>
      <c r="B369" s="247" t="s">
        <v>583</v>
      </c>
      <c r="C369" s="67"/>
      <c r="D369" s="67">
        <f t="shared" ref="D369:S370" si="412">D370</f>
        <v>669</v>
      </c>
      <c r="E369" s="67">
        <f t="shared" si="412"/>
        <v>2164</v>
      </c>
      <c r="F369" s="67">
        <f t="shared" si="412"/>
        <v>2164</v>
      </c>
      <c r="G369" s="67">
        <f t="shared" si="412"/>
        <v>2164</v>
      </c>
      <c r="H369" s="67">
        <f t="shared" si="412"/>
        <v>759</v>
      </c>
      <c r="I369" s="67">
        <f t="shared" si="412"/>
        <v>680</v>
      </c>
      <c r="J369" s="67">
        <f t="shared" si="412"/>
        <v>680</v>
      </c>
      <c r="K369" s="210">
        <f t="shared" si="412"/>
        <v>680</v>
      </c>
      <c r="L369" s="67">
        <f t="shared" si="412"/>
        <v>0</v>
      </c>
      <c r="M369" s="67">
        <f t="shared" si="412"/>
        <v>0</v>
      </c>
      <c r="N369" s="67">
        <f t="shared" si="412"/>
        <v>0</v>
      </c>
      <c r="O369" s="30">
        <f t="shared" si="398"/>
        <v>680</v>
      </c>
      <c r="P369" s="100">
        <f t="shared" si="400"/>
        <v>0</v>
      </c>
      <c r="Q369" s="144">
        <f t="shared" si="412"/>
        <v>0</v>
      </c>
      <c r="R369" s="144">
        <f t="shared" si="412"/>
        <v>0</v>
      </c>
      <c r="S369" s="144">
        <f t="shared" si="412"/>
        <v>0</v>
      </c>
    </row>
    <row r="370" spans="1:19" ht="17.25" customHeight="1">
      <c r="A370" s="12"/>
      <c r="B370" s="116" t="s">
        <v>164</v>
      </c>
      <c r="C370" s="135"/>
      <c r="D370" s="104">
        <f t="shared" si="412"/>
        <v>669</v>
      </c>
      <c r="E370" s="104">
        <f t="shared" si="412"/>
        <v>2164</v>
      </c>
      <c r="F370" s="104">
        <f t="shared" si="412"/>
        <v>2164</v>
      </c>
      <c r="G370" s="104">
        <f t="shared" si="412"/>
        <v>2164</v>
      </c>
      <c r="H370" s="104">
        <f t="shared" si="412"/>
        <v>759</v>
      </c>
      <c r="I370" s="104">
        <f t="shared" si="412"/>
        <v>680</v>
      </c>
      <c r="J370" s="104">
        <f t="shared" si="412"/>
        <v>680</v>
      </c>
      <c r="K370" s="196">
        <f t="shared" si="412"/>
        <v>680</v>
      </c>
      <c r="L370" s="104">
        <f t="shared" si="412"/>
        <v>0</v>
      </c>
      <c r="M370" s="104">
        <f t="shared" si="412"/>
        <v>0</v>
      </c>
      <c r="N370" s="104">
        <f t="shared" si="412"/>
        <v>0</v>
      </c>
      <c r="O370" s="30">
        <f t="shared" si="398"/>
        <v>680</v>
      </c>
      <c r="P370" s="100">
        <f t="shared" si="400"/>
        <v>0</v>
      </c>
      <c r="Q370" s="104">
        <f t="shared" si="412"/>
        <v>0</v>
      </c>
      <c r="R370" s="104">
        <f t="shared" si="412"/>
        <v>0</v>
      </c>
      <c r="S370" s="104">
        <f t="shared" si="412"/>
        <v>0</v>
      </c>
    </row>
    <row r="371" spans="1:19" ht="28.5" customHeight="1">
      <c r="A371" s="12"/>
      <c r="B371" s="35" t="s">
        <v>442</v>
      </c>
      <c r="C371" s="135">
        <v>58</v>
      </c>
      <c r="D371" s="104">
        <f t="shared" ref="D371:S371" si="413">D372+D373+D374</f>
        <v>669</v>
      </c>
      <c r="E371" s="104">
        <f t="shared" si="413"/>
        <v>2164</v>
      </c>
      <c r="F371" s="104">
        <f t="shared" si="413"/>
        <v>2164</v>
      </c>
      <c r="G371" s="104">
        <f t="shared" si="413"/>
        <v>2164</v>
      </c>
      <c r="H371" s="104">
        <f t="shared" ref="H371" si="414">H372+H373+H374</f>
        <v>759</v>
      </c>
      <c r="I371" s="104">
        <f t="shared" si="413"/>
        <v>680</v>
      </c>
      <c r="J371" s="104">
        <f t="shared" si="413"/>
        <v>680</v>
      </c>
      <c r="K371" s="196">
        <f t="shared" ref="K371:N371" si="415">K372+K373+K374</f>
        <v>680</v>
      </c>
      <c r="L371" s="104">
        <f t="shared" si="415"/>
        <v>0</v>
      </c>
      <c r="M371" s="104">
        <f t="shared" si="415"/>
        <v>0</v>
      </c>
      <c r="N371" s="104">
        <f t="shared" si="415"/>
        <v>0</v>
      </c>
      <c r="O371" s="30">
        <f t="shared" si="398"/>
        <v>680</v>
      </c>
      <c r="P371" s="100">
        <f t="shared" si="400"/>
        <v>0</v>
      </c>
      <c r="Q371" s="104">
        <f t="shared" si="413"/>
        <v>0</v>
      </c>
      <c r="R371" s="104">
        <f t="shared" si="413"/>
        <v>0</v>
      </c>
      <c r="S371" s="104">
        <f t="shared" si="413"/>
        <v>0</v>
      </c>
    </row>
    <row r="372" spans="1:19" ht="17.25" customHeight="1">
      <c r="A372" s="12"/>
      <c r="B372" s="116" t="s">
        <v>472</v>
      </c>
      <c r="C372" s="135" t="s">
        <v>484</v>
      </c>
      <c r="D372" s="30">
        <v>61</v>
      </c>
      <c r="E372" s="30">
        <v>281</v>
      </c>
      <c r="F372" s="46">
        <v>281</v>
      </c>
      <c r="G372" s="30">
        <v>281</v>
      </c>
      <c r="H372" s="30">
        <v>83</v>
      </c>
      <c r="I372" s="30">
        <v>88</v>
      </c>
      <c r="J372" s="30">
        <v>88</v>
      </c>
      <c r="K372" s="64">
        <v>88</v>
      </c>
      <c r="L372" s="30"/>
      <c r="M372" s="30"/>
      <c r="N372" s="30"/>
      <c r="O372" s="30">
        <f t="shared" si="398"/>
        <v>88</v>
      </c>
      <c r="P372" s="100">
        <f t="shared" si="400"/>
        <v>0</v>
      </c>
      <c r="Q372" s="30">
        <v>0</v>
      </c>
      <c r="R372" s="30">
        <v>0</v>
      </c>
      <c r="S372" s="30">
        <v>0</v>
      </c>
    </row>
    <row r="373" spans="1:19" ht="17.25" customHeight="1">
      <c r="A373" s="12"/>
      <c r="B373" s="116" t="s">
        <v>474</v>
      </c>
      <c r="C373" s="135" t="s">
        <v>485</v>
      </c>
      <c r="D373" s="30">
        <v>608</v>
      </c>
      <c r="E373" s="30">
        <v>1839</v>
      </c>
      <c r="F373" s="46">
        <v>1839</v>
      </c>
      <c r="G373" s="30">
        <v>1839</v>
      </c>
      <c r="H373" s="30">
        <v>676</v>
      </c>
      <c r="I373" s="30">
        <v>578</v>
      </c>
      <c r="J373" s="30">
        <v>578</v>
      </c>
      <c r="K373" s="64">
        <v>578</v>
      </c>
      <c r="L373" s="30"/>
      <c r="M373" s="30"/>
      <c r="N373" s="30"/>
      <c r="O373" s="30">
        <f t="shared" si="398"/>
        <v>578</v>
      </c>
      <c r="P373" s="100">
        <f t="shared" si="400"/>
        <v>0</v>
      </c>
      <c r="Q373" s="30">
        <v>0</v>
      </c>
      <c r="R373" s="30">
        <v>0</v>
      </c>
      <c r="S373" s="30">
        <v>0</v>
      </c>
    </row>
    <row r="374" spans="1:19" ht="17.25" customHeight="1">
      <c r="A374" s="12"/>
      <c r="B374" s="116" t="s">
        <v>475</v>
      </c>
      <c r="C374" s="135" t="s">
        <v>486</v>
      </c>
      <c r="D374" s="30">
        <v>0</v>
      </c>
      <c r="E374" s="30">
        <v>44</v>
      </c>
      <c r="F374" s="46">
        <v>44</v>
      </c>
      <c r="G374" s="30">
        <v>44</v>
      </c>
      <c r="H374" s="30">
        <v>0</v>
      </c>
      <c r="I374" s="30">
        <v>14</v>
      </c>
      <c r="J374" s="30">
        <v>14</v>
      </c>
      <c r="K374" s="64">
        <v>14</v>
      </c>
      <c r="L374" s="30"/>
      <c r="M374" s="30"/>
      <c r="N374" s="30"/>
      <c r="O374" s="30">
        <f t="shared" si="398"/>
        <v>14</v>
      </c>
      <c r="P374" s="100">
        <f t="shared" si="400"/>
        <v>0</v>
      </c>
      <c r="Q374" s="30">
        <v>0</v>
      </c>
      <c r="R374" s="30">
        <v>0</v>
      </c>
      <c r="S374" s="30">
        <v>0</v>
      </c>
    </row>
    <row r="375" spans="1:19" ht="45.75" customHeight="1">
      <c r="A375" s="12"/>
      <c r="B375" s="247" t="s">
        <v>558</v>
      </c>
      <c r="C375" s="245"/>
      <c r="D375" s="67">
        <f t="shared" ref="D375:S376" si="416">D376</f>
        <v>2.9000000000000004</v>
      </c>
      <c r="E375" s="67">
        <f t="shared" si="416"/>
        <v>303</v>
      </c>
      <c r="F375" s="67">
        <f t="shared" si="416"/>
        <v>303</v>
      </c>
      <c r="G375" s="67">
        <f t="shared" si="416"/>
        <v>303</v>
      </c>
      <c r="H375" s="67">
        <f t="shared" si="416"/>
        <v>2</v>
      </c>
      <c r="I375" s="67">
        <f t="shared" si="416"/>
        <v>3747</v>
      </c>
      <c r="J375" s="67">
        <f t="shared" si="416"/>
        <v>3747</v>
      </c>
      <c r="K375" s="210">
        <f t="shared" si="416"/>
        <v>35</v>
      </c>
      <c r="L375" s="67">
        <f t="shared" si="416"/>
        <v>186</v>
      </c>
      <c r="M375" s="67">
        <f t="shared" si="416"/>
        <v>1115</v>
      </c>
      <c r="N375" s="67">
        <f t="shared" si="416"/>
        <v>2411</v>
      </c>
      <c r="O375" s="30">
        <f t="shared" si="398"/>
        <v>3747</v>
      </c>
      <c r="P375" s="100">
        <f t="shared" si="400"/>
        <v>0</v>
      </c>
      <c r="Q375" s="144">
        <f t="shared" si="416"/>
        <v>9888</v>
      </c>
      <c r="R375" s="144">
        <f t="shared" si="416"/>
        <v>0</v>
      </c>
      <c r="S375" s="144">
        <f t="shared" si="416"/>
        <v>0</v>
      </c>
    </row>
    <row r="376" spans="1:19" ht="17.25" customHeight="1">
      <c r="A376" s="12"/>
      <c r="B376" s="116" t="s">
        <v>164</v>
      </c>
      <c r="C376" s="135"/>
      <c r="D376" s="104">
        <f t="shared" si="416"/>
        <v>2.9000000000000004</v>
      </c>
      <c r="E376" s="104">
        <f t="shared" si="416"/>
        <v>303</v>
      </c>
      <c r="F376" s="104">
        <f t="shared" si="416"/>
        <v>303</v>
      </c>
      <c r="G376" s="104">
        <f t="shared" si="416"/>
        <v>303</v>
      </c>
      <c r="H376" s="104">
        <f t="shared" si="416"/>
        <v>2</v>
      </c>
      <c r="I376" s="104">
        <f t="shared" si="416"/>
        <v>3747</v>
      </c>
      <c r="J376" s="104">
        <f t="shared" si="416"/>
        <v>3747</v>
      </c>
      <c r="K376" s="196">
        <f t="shared" si="416"/>
        <v>35</v>
      </c>
      <c r="L376" s="104">
        <f t="shared" si="416"/>
        <v>186</v>
      </c>
      <c r="M376" s="104">
        <f t="shared" si="416"/>
        <v>1115</v>
      </c>
      <c r="N376" s="104">
        <f t="shared" si="416"/>
        <v>2411</v>
      </c>
      <c r="O376" s="30">
        <f t="shared" si="398"/>
        <v>3747</v>
      </c>
      <c r="P376" s="100">
        <f t="shared" si="400"/>
        <v>0</v>
      </c>
      <c r="Q376" s="104">
        <f t="shared" si="416"/>
        <v>9888</v>
      </c>
      <c r="R376" s="104">
        <f t="shared" si="416"/>
        <v>0</v>
      </c>
      <c r="S376" s="104">
        <f t="shared" si="416"/>
        <v>0</v>
      </c>
    </row>
    <row r="377" spans="1:19" ht="26.25" customHeight="1">
      <c r="A377" s="12"/>
      <c r="B377" s="35" t="s">
        <v>442</v>
      </c>
      <c r="C377" s="135">
        <v>58</v>
      </c>
      <c r="D377" s="104">
        <f t="shared" ref="D377:S377" si="417">D378+D379+D380</f>
        <v>2.9000000000000004</v>
      </c>
      <c r="E377" s="104">
        <f t="shared" si="417"/>
        <v>303</v>
      </c>
      <c r="F377" s="104">
        <f t="shared" si="417"/>
        <v>303</v>
      </c>
      <c r="G377" s="104">
        <f t="shared" si="417"/>
        <v>303</v>
      </c>
      <c r="H377" s="104">
        <f t="shared" ref="H377" si="418">H378+H379+H380</f>
        <v>2</v>
      </c>
      <c r="I377" s="104">
        <f t="shared" si="417"/>
        <v>3747</v>
      </c>
      <c r="J377" s="104">
        <f t="shared" si="417"/>
        <v>3747</v>
      </c>
      <c r="K377" s="196">
        <f t="shared" ref="K377:N377" si="419">K378+K379+K380</f>
        <v>35</v>
      </c>
      <c r="L377" s="104">
        <f t="shared" si="419"/>
        <v>186</v>
      </c>
      <c r="M377" s="104">
        <f t="shared" si="419"/>
        <v>1115</v>
      </c>
      <c r="N377" s="104">
        <f t="shared" si="419"/>
        <v>2411</v>
      </c>
      <c r="O377" s="30">
        <f t="shared" si="398"/>
        <v>3747</v>
      </c>
      <c r="P377" s="100">
        <f t="shared" si="400"/>
        <v>0</v>
      </c>
      <c r="Q377" s="104">
        <f t="shared" si="417"/>
        <v>9888</v>
      </c>
      <c r="R377" s="104">
        <f t="shared" si="417"/>
        <v>0</v>
      </c>
      <c r="S377" s="104">
        <f t="shared" si="417"/>
        <v>0</v>
      </c>
    </row>
    <row r="378" spans="1:19" ht="17.25" customHeight="1">
      <c r="A378" s="12"/>
      <c r="B378" s="116" t="s">
        <v>472</v>
      </c>
      <c r="C378" s="135" t="s">
        <v>473</v>
      </c>
      <c r="D378" s="30">
        <v>0.8</v>
      </c>
      <c r="E378" s="30">
        <v>85</v>
      </c>
      <c r="F378" s="46">
        <v>85</v>
      </c>
      <c r="G378" s="30">
        <v>85</v>
      </c>
      <c r="H378" s="30">
        <v>1</v>
      </c>
      <c r="I378" s="30">
        <v>1069</v>
      </c>
      <c r="J378" s="30">
        <v>1069</v>
      </c>
      <c r="K378" s="64">
        <v>9</v>
      </c>
      <c r="L378" s="30">
        <v>54</v>
      </c>
      <c r="M378" s="30">
        <v>323</v>
      </c>
      <c r="N378" s="30">
        <v>683</v>
      </c>
      <c r="O378" s="30">
        <f t="shared" si="398"/>
        <v>1069</v>
      </c>
      <c r="P378" s="100">
        <f t="shared" si="400"/>
        <v>0</v>
      </c>
      <c r="Q378" s="30">
        <v>1929</v>
      </c>
      <c r="R378" s="30">
        <v>0</v>
      </c>
      <c r="S378" s="30">
        <v>0</v>
      </c>
    </row>
    <row r="379" spans="1:19" ht="17.25" customHeight="1">
      <c r="A379" s="12"/>
      <c r="B379" s="116" t="s">
        <v>474</v>
      </c>
      <c r="C379" s="135" t="s">
        <v>444</v>
      </c>
      <c r="D379" s="30">
        <v>2.1</v>
      </c>
      <c r="E379" s="30">
        <v>212</v>
      </c>
      <c r="F379" s="46">
        <v>212</v>
      </c>
      <c r="G379" s="30">
        <v>212</v>
      </c>
      <c r="H379" s="30">
        <v>1</v>
      </c>
      <c r="I379" s="30">
        <v>2673</v>
      </c>
      <c r="J379" s="30">
        <v>2673</v>
      </c>
      <c r="K379" s="64">
        <v>21</v>
      </c>
      <c r="L379" s="30">
        <v>132</v>
      </c>
      <c r="M379" s="30">
        <v>792</v>
      </c>
      <c r="N379" s="30">
        <v>1728</v>
      </c>
      <c r="O379" s="30">
        <f t="shared" si="398"/>
        <v>2673</v>
      </c>
      <c r="P379" s="100">
        <f t="shared" si="400"/>
        <v>0</v>
      </c>
      <c r="Q379" s="30">
        <v>4822</v>
      </c>
      <c r="R379" s="30">
        <v>0</v>
      </c>
      <c r="S379" s="30">
        <v>0</v>
      </c>
    </row>
    <row r="380" spans="1:19" ht="17.25" customHeight="1">
      <c r="A380" s="12"/>
      <c r="B380" s="116" t="s">
        <v>475</v>
      </c>
      <c r="C380" s="135" t="s">
        <v>445</v>
      </c>
      <c r="D380" s="30">
        <v>0</v>
      </c>
      <c r="E380" s="30">
        <v>6</v>
      </c>
      <c r="F380" s="46">
        <v>6</v>
      </c>
      <c r="G380" s="30">
        <v>6</v>
      </c>
      <c r="H380" s="30">
        <v>0</v>
      </c>
      <c r="I380" s="30">
        <f>2076-2071</f>
        <v>5</v>
      </c>
      <c r="J380" s="30">
        <v>5</v>
      </c>
      <c r="K380" s="64">
        <v>5</v>
      </c>
      <c r="L380" s="30"/>
      <c r="M380" s="30"/>
      <c r="N380" s="30"/>
      <c r="O380" s="30">
        <f t="shared" si="398"/>
        <v>5</v>
      </c>
      <c r="P380" s="100">
        <f t="shared" si="400"/>
        <v>0</v>
      </c>
      <c r="Q380" s="30">
        <v>3137</v>
      </c>
      <c r="R380" s="30">
        <v>0</v>
      </c>
      <c r="S380" s="30">
        <v>0</v>
      </c>
    </row>
    <row r="381" spans="1:19" ht="43.5" customHeight="1">
      <c r="A381" s="12"/>
      <c r="B381" s="247" t="s">
        <v>557</v>
      </c>
      <c r="C381" s="245"/>
      <c r="D381" s="67">
        <f t="shared" ref="D381:S382" si="420">D382</f>
        <v>0</v>
      </c>
      <c r="E381" s="67">
        <f t="shared" si="420"/>
        <v>251</v>
      </c>
      <c r="F381" s="67">
        <f t="shared" si="420"/>
        <v>251</v>
      </c>
      <c r="G381" s="67">
        <f t="shared" si="420"/>
        <v>251</v>
      </c>
      <c r="H381" s="67">
        <f t="shared" si="420"/>
        <v>2</v>
      </c>
      <c r="I381" s="67">
        <f t="shared" si="420"/>
        <v>3227</v>
      </c>
      <c r="J381" s="67">
        <f t="shared" si="420"/>
        <v>3227</v>
      </c>
      <c r="K381" s="210">
        <f t="shared" si="420"/>
        <v>55</v>
      </c>
      <c r="L381" s="67">
        <f t="shared" si="420"/>
        <v>160</v>
      </c>
      <c r="M381" s="67">
        <f t="shared" si="420"/>
        <v>935</v>
      </c>
      <c r="N381" s="67">
        <f t="shared" si="420"/>
        <v>2077</v>
      </c>
      <c r="O381" s="30">
        <f t="shared" si="398"/>
        <v>3227</v>
      </c>
      <c r="P381" s="100">
        <f t="shared" si="400"/>
        <v>0</v>
      </c>
      <c r="Q381" s="144">
        <f t="shared" si="420"/>
        <v>9809</v>
      </c>
      <c r="R381" s="144">
        <f t="shared" si="420"/>
        <v>0</v>
      </c>
      <c r="S381" s="144">
        <f t="shared" si="420"/>
        <v>0</v>
      </c>
    </row>
    <row r="382" spans="1:19" ht="17.25" customHeight="1">
      <c r="A382" s="12"/>
      <c r="B382" s="116" t="s">
        <v>164</v>
      </c>
      <c r="C382" s="135"/>
      <c r="D382" s="104">
        <f t="shared" si="420"/>
        <v>0</v>
      </c>
      <c r="E382" s="104">
        <f t="shared" si="420"/>
        <v>251</v>
      </c>
      <c r="F382" s="104">
        <f t="shared" si="420"/>
        <v>251</v>
      </c>
      <c r="G382" s="104">
        <f t="shared" si="420"/>
        <v>251</v>
      </c>
      <c r="H382" s="104">
        <f t="shared" si="420"/>
        <v>2</v>
      </c>
      <c r="I382" s="104">
        <f t="shared" si="420"/>
        <v>3227</v>
      </c>
      <c r="J382" s="104">
        <f t="shared" si="420"/>
        <v>3227</v>
      </c>
      <c r="K382" s="196">
        <f t="shared" si="420"/>
        <v>55</v>
      </c>
      <c r="L382" s="104">
        <f t="shared" si="420"/>
        <v>160</v>
      </c>
      <c r="M382" s="104">
        <f t="shared" si="420"/>
        <v>935</v>
      </c>
      <c r="N382" s="104">
        <f t="shared" si="420"/>
        <v>2077</v>
      </c>
      <c r="O382" s="30">
        <f t="shared" si="398"/>
        <v>3227</v>
      </c>
      <c r="P382" s="100">
        <f t="shared" si="400"/>
        <v>0</v>
      </c>
      <c r="Q382" s="104">
        <f t="shared" si="420"/>
        <v>9809</v>
      </c>
      <c r="R382" s="104">
        <f t="shared" si="420"/>
        <v>0</v>
      </c>
      <c r="S382" s="104">
        <f t="shared" si="420"/>
        <v>0</v>
      </c>
    </row>
    <row r="383" spans="1:19" ht="26.25" customHeight="1">
      <c r="A383" s="12"/>
      <c r="B383" s="35" t="s">
        <v>442</v>
      </c>
      <c r="C383" s="135">
        <v>58</v>
      </c>
      <c r="D383" s="104">
        <f t="shared" ref="D383:S383" si="421">D384+D385+D386</f>
        <v>0</v>
      </c>
      <c r="E383" s="104">
        <f t="shared" si="421"/>
        <v>251</v>
      </c>
      <c r="F383" s="104">
        <f t="shared" si="421"/>
        <v>251</v>
      </c>
      <c r="G383" s="104">
        <f t="shared" si="421"/>
        <v>251</v>
      </c>
      <c r="H383" s="104">
        <f t="shared" ref="H383" si="422">H384+H385+H386</f>
        <v>2</v>
      </c>
      <c r="I383" s="104">
        <f t="shared" si="421"/>
        <v>3227</v>
      </c>
      <c r="J383" s="104">
        <f t="shared" si="421"/>
        <v>3227</v>
      </c>
      <c r="K383" s="196">
        <f t="shared" ref="K383:N383" si="423">K384+K385+K386</f>
        <v>55</v>
      </c>
      <c r="L383" s="104">
        <f t="shared" si="423"/>
        <v>160</v>
      </c>
      <c r="M383" s="104">
        <f t="shared" si="423"/>
        <v>935</v>
      </c>
      <c r="N383" s="104">
        <f t="shared" si="423"/>
        <v>2077</v>
      </c>
      <c r="O383" s="30">
        <f t="shared" si="398"/>
        <v>3227</v>
      </c>
      <c r="P383" s="100">
        <f t="shared" si="400"/>
        <v>0</v>
      </c>
      <c r="Q383" s="104">
        <f t="shared" si="421"/>
        <v>9809</v>
      </c>
      <c r="R383" s="104">
        <f t="shared" si="421"/>
        <v>0</v>
      </c>
      <c r="S383" s="104">
        <f t="shared" si="421"/>
        <v>0</v>
      </c>
    </row>
    <row r="384" spans="1:19" ht="17.25" customHeight="1">
      <c r="A384" s="12"/>
      <c r="B384" s="116" t="s">
        <v>472</v>
      </c>
      <c r="C384" s="135" t="s">
        <v>473</v>
      </c>
      <c r="D384" s="46"/>
      <c r="E384" s="30">
        <v>42</v>
      </c>
      <c r="F384" s="46">
        <v>42</v>
      </c>
      <c r="G384" s="30">
        <v>42</v>
      </c>
      <c r="H384" s="30">
        <v>1</v>
      </c>
      <c r="I384" s="30">
        <v>915</v>
      </c>
      <c r="J384" s="30">
        <v>915</v>
      </c>
      <c r="K384" s="64">
        <v>9</v>
      </c>
      <c r="L384" s="30">
        <v>46</v>
      </c>
      <c r="M384" s="30">
        <v>278</v>
      </c>
      <c r="N384" s="30">
        <v>582</v>
      </c>
      <c r="O384" s="30">
        <f t="shared" si="398"/>
        <v>915</v>
      </c>
      <c r="P384" s="100">
        <f t="shared" si="400"/>
        <v>0</v>
      </c>
      <c r="Q384" s="30">
        <v>2081</v>
      </c>
      <c r="R384" s="30">
        <v>0</v>
      </c>
      <c r="S384" s="30">
        <v>0</v>
      </c>
    </row>
    <row r="385" spans="1:19" ht="17.25" customHeight="1">
      <c r="A385" s="12"/>
      <c r="B385" s="116" t="s">
        <v>474</v>
      </c>
      <c r="C385" s="135" t="s">
        <v>444</v>
      </c>
      <c r="D385" s="46"/>
      <c r="E385" s="30">
        <v>106</v>
      </c>
      <c r="F385" s="46">
        <v>106</v>
      </c>
      <c r="G385" s="30">
        <v>106</v>
      </c>
      <c r="H385" s="30">
        <v>1</v>
      </c>
      <c r="I385" s="30">
        <v>2287</v>
      </c>
      <c r="J385" s="30">
        <v>2287</v>
      </c>
      <c r="K385" s="64">
        <v>21</v>
      </c>
      <c r="L385" s="30">
        <v>114</v>
      </c>
      <c r="M385" s="30">
        <v>657</v>
      </c>
      <c r="N385" s="30">
        <v>1495</v>
      </c>
      <c r="O385" s="30">
        <f t="shared" si="398"/>
        <v>2287</v>
      </c>
      <c r="P385" s="100">
        <f t="shared" si="400"/>
        <v>0</v>
      </c>
      <c r="Q385" s="30">
        <v>5202</v>
      </c>
      <c r="R385" s="30">
        <v>0</v>
      </c>
      <c r="S385" s="30">
        <v>0</v>
      </c>
    </row>
    <row r="386" spans="1:19" ht="17.25" customHeight="1">
      <c r="A386" s="12"/>
      <c r="B386" s="116" t="s">
        <v>475</v>
      </c>
      <c r="C386" s="135" t="s">
        <v>445</v>
      </c>
      <c r="D386" s="46"/>
      <c r="E386" s="30">
        <v>103</v>
      </c>
      <c r="F386" s="46">
        <v>103</v>
      </c>
      <c r="G386" s="30">
        <v>103</v>
      </c>
      <c r="H386" s="30">
        <v>0</v>
      </c>
      <c r="I386" s="30">
        <f>2065-2040</f>
        <v>25</v>
      </c>
      <c r="J386" s="30">
        <v>25</v>
      </c>
      <c r="K386" s="64">
        <v>25</v>
      </c>
      <c r="L386" s="30"/>
      <c r="M386" s="30"/>
      <c r="N386" s="30"/>
      <c r="O386" s="30">
        <f t="shared" si="398"/>
        <v>25</v>
      </c>
      <c r="P386" s="100">
        <f t="shared" si="400"/>
        <v>0</v>
      </c>
      <c r="Q386" s="30">
        <v>2526</v>
      </c>
      <c r="R386" s="30">
        <v>0</v>
      </c>
      <c r="S386" s="30">
        <v>0</v>
      </c>
    </row>
    <row r="387" spans="1:19" ht="14.25">
      <c r="A387" s="180">
        <v>2</v>
      </c>
      <c r="B387" s="249" t="s">
        <v>584</v>
      </c>
      <c r="C387" s="242" t="s">
        <v>210</v>
      </c>
      <c r="D387" s="140">
        <f t="shared" ref="D387:S387" si="424">D388+D392+D401+D407+D411</f>
        <v>3361</v>
      </c>
      <c r="E387" s="140">
        <f t="shared" si="424"/>
        <v>9275</v>
      </c>
      <c r="F387" s="140">
        <f t="shared" si="424"/>
        <v>9555</v>
      </c>
      <c r="G387" s="140">
        <f t="shared" si="424"/>
        <v>9275</v>
      </c>
      <c r="H387" s="150">
        <f t="shared" ref="H387" si="425">H388+H392+H401+H407+H411</f>
        <v>8593</v>
      </c>
      <c r="I387" s="140">
        <f t="shared" si="424"/>
        <v>9751</v>
      </c>
      <c r="J387" s="140">
        <f t="shared" si="424"/>
        <v>9370</v>
      </c>
      <c r="K387" s="209">
        <f t="shared" ref="K387:N387" si="426">K388+K392+K401+K407+K411</f>
        <v>2570</v>
      </c>
      <c r="L387" s="140">
        <f t="shared" si="426"/>
        <v>2550</v>
      </c>
      <c r="M387" s="140">
        <f t="shared" si="426"/>
        <v>2250</v>
      </c>
      <c r="N387" s="140">
        <f t="shared" si="426"/>
        <v>2000</v>
      </c>
      <c r="O387" s="30">
        <f t="shared" si="398"/>
        <v>9370</v>
      </c>
      <c r="P387" s="100">
        <f t="shared" si="400"/>
        <v>0</v>
      </c>
      <c r="Q387" s="151">
        <f t="shared" si="424"/>
        <v>9250</v>
      </c>
      <c r="R387" s="151">
        <f t="shared" si="424"/>
        <v>9750</v>
      </c>
      <c r="S387" s="151">
        <f t="shared" si="424"/>
        <v>14850</v>
      </c>
    </row>
    <row r="388" spans="1:19" ht="14.25">
      <c r="A388" s="12" t="s">
        <v>211</v>
      </c>
      <c r="B388" s="129" t="s">
        <v>622</v>
      </c>
      <c r="C388" s="37" t="s">
        <v>210</v>
      </c>
      <c r="D388" s="138">
        <f t="shared" ref="D388:S390" si="427">D389</f>
        <v>0</v>
      </c>
      <c r="E388" s="138">
        <f t="shared" si="427"/>
        <v>500</v>
      </c>
      <c r="F388" s="138">
        <f t="shared" si="427"/>
        <v>500</v>
      </c>
      <c r="G388" s="138">
        <f t="shared" si="427"/>
        <v>500</v>
      </c>
      <c r="H388" s="152">
        <f t="shared" si="427"/>
        <v>0</v>
      </c>
      <c r="I388" s="138">
        <f t="shared" si="427"/>
        <v>500</v>
      </c>
      <c r="J388" s="138">
        <f t="shared" si="427"/>
        <v>500</v>
      </c>
      <c r="K388" s="206">
        <f t="shared" si="427"/>
        <v>200</v>
      </c>
      <c r="L388" s="138">
        <f t="shared" si="427"/>
        <v>300</v>
      </c>
      <c r="M388" s="138">
        <f t="shared" si="427"/>
        <v>0</v>
      </c>
      <c r="N388" s="138">
        <f t="shared" si="427"/>
        <v>0</v>
      </c>
      <c r="O388" s="30">
        <f t="shared" si="398"/>
        <v>500</v>
      </c>
      <c r="P388" s="100">
        <f t="shared" si="400"/>
        <v>0</v>
      </c>
      <c r="Q388" s="138">
        <f t="shared" si="427"/>
        <v>500</v>
      </c>
      <c r="R388" s="138">
        <f t="shared" si="427"/>
        <v>500</v>
      </c>
      <c r="S388" s="138">
        <f t="shared" si="427"/>
        <v>500</v>
      </c>
    </row>
    <row r="389" spans="1:19" ht="14.25">
      <c r="A389" s="12"/>
      <c r="B389" s="129" t="s">
        <v>152</v>
      </c>
      <c r="C389" s="37"/>
      <c r="D389" s="138">
        <f t="shared" si="427"/>
        <v>0</v>
      </c>
      <c r="E389" s="138">
        <f t="shared" si="427"/>
        <v>500</v>
      </c>
      <c r="F389" s="138">
        <f t="shared" si="427"/>
        <v>500</v>
      </c>
      <c r="G389" s="138">
        <f t="shared" si="427"/>
        <v>500</v>
      </c>
      <c r="H389" s="152">
        <f t="shared" si="427"/>
        <v>0</v>
      </c>
      <c r="I389" s="138">
        <f t="shared" si="427"/>
        <v>500</v>
      </c>
      <c r="J389" s="138">
        <f t="shared" si="427"/>
        <v>500</v>
      </c>
      <c r="K389" s="206">
        <f t="shared" si="427"/>
        <v>200</v>
      </c>
      <c r="L389" s="138">
        <f t="shared" si="427"/>
        <v>300</v>
      </c>
      <c r="M389" s="138">
        <f t="shared" si="427"/>
        <v>0</v>
      </c>
      <c r="N389" s="138">
        <f t="shared" si="427"/>
        <v>0</v>
      </c>
      <c r="O389" s="30">
        <f t="shared" si="398"/>
        <v>500</v>
      </c>
      <c r="P389" s="100">
        <f t="shared" si="400"/>
        <v>0</v>
      </c>
      <c r="Q389" s="138">
        <f t="shared" si="427"/>
        <v>500</v>
      </c>
      <c r="R389" s="138">
        <f t="shared" si="427"/>
        <v>500</v>
      </c>
      <c r="S389" s="138">
        <f t="shared" si="427"/>
        <v>500</v>
      </c>
    </row>
    <row r="390" spans="1:19" ht="14.25">
      <c r="A390" s="12"/>
      <c r="B390" s="116" t="s">
        <v>153</v>
      </c>
      <c r="C390" s="37"/>
      <c r="D390" s="138">
        <f t="shared" si="427"/>
        <v>0</v>
      </c>
      <c r="E390" s="138">
        <f t="shared" si="427"/>
        <v>500</v>
      </c>
      <c r="F390" s="138">
        <f t="shared" si="427"/>
        <v>500</v>
      </c>
      <c r="G390" s="138">
        <f t="shared" si="427"/>
        <v>500</v>
      </c>
      <c r="H390" s="152">
        <f t="shared" si="427"/>
        <v>0</v>
      </c>
      <c r="I390" s="138">
        <f t="shared" si="427"/>
        <v>500</v>
      </c>
      <c r="J390" s="138">
        <f t="shared" si="427"/>
        <v>500</v>
      </c>
      <c r="K390" s="206">
        <f t="shared" si="427"/>
        <v>200</v>
      </c>
      <c r="L390" s="138">
        <f t="shared" si="427"/>
        <v>300</v>
      </c>
      <c r="M390" s="138">
        <f t="shared" si="427"/>
        <v>0</v>
      </c>
      <c r="N390" s="138">
        <f t="shared" si="427"/>
        <v>0</v>
      </c>
      <c r="O390" s="30">
        <f t="shared" si="398"/>
        <v>500</v>
      </c>
      <c r="P390" s="100">
        <f t="shared" si="400"/>
        <v>0</v>
      </c>
      <c r="Q390" s="138">
        <f t="shared" si="427"/>
        <v>500</v>
      </c>
      <c r="R390" s="138">
        <f t="shared" si="427"/>
        <v>500</v>
      </c>
      <c r="S390" s="138">
        <f t="shared" si="427"/>
        <v>500</v>
      </c>
    </row>
    <row r="391" spans="1:19" ht="18" customHeight="1">
      <c r="A391" s="12"/>
      <c r="B391" s="35" t="s">
        <v>212</v>
      </c>
      <c r="C391" s="135" t="s">
        <v>213</v>
      </c>
      <c r="D391" s="46"/>
      <c r="E391" s="30">
        <v>500</v>
      </c>
      <c r="F391" s="46">
        <v>500</v>
      </c>
      <c r="G391" s="30">
        <v>500</v>
      </c>
      <c r="H391" s="31"/>
      <c r="I391" s="30">
        <v>500</v>
      </c>
      <c r="J391" s="30">
        <v>500</v>
      </c>
      <c r="K391" s="64">
        <v>200</v>
      </c>
      <c r="L391" s="30">
        <v>300</v>
      </c>
      <c r="M391" s="30">
        <v>0</v>
      </c>
      <c r="N391" s="30">
        <v>0</v>
      </c>
      <c r="O391" s="30">
        <f t="shared" si="398"/>
        <v>500</v>
      </c>
      <c r="P391" s="100">
        <f t="shared" si="400"/>
        <v>0</v>
      </c>
      <c r="Q391" s="30">
        <v>500</v>
      </c>
      <c r="R391" s="30">
        <v>500</v>
      </c>
      <c r="S391" s="30">
        <v>500</v>
      </c>
    </row>
    <row r="392" spans="1:19" ht="28.5" customHeight="1">
      <c r="A392" s="12" t="s">
        <v>214</v>
      </c>
      <c r="B392" s="250" t="s">
        <v>572</v>
      </c>
      <c r="C392" s="37" t="s">
        <v>215</v>
      </c>
      <c r="D392" s="138">
        <f t="shared" ref="D392:S392" si="428">D393+D399</f>
        <v>3361</v>
      </c>
      <c r="E392" s="138">
        <f t="shared" si="428"/>
        <v>2975</v>
      </c>
      <c r="F392" s="138">
        <f t="shared" si="428"/>
        <v>3255</v>
      </c>
      <c r="G392" s="138">
        <f t="shared" si="428"/>
        <v>2975</v>
      </c>
      <c r="H392" s="138">
        <f t="shared" ref="H392" si="429">H393+H399</f>
        <v>2850</v>
      </c>
      <c r="I392" s="138">
        <f t="shared" si="428"/>
        <v>3451</v>
      </c>
      <c r="J392" s="138">
        <f t="shared" si="428"/>
        <v>3070</v>
      </c>
      <c r="K392" s="206">
        <f t="shared" ref="K392:N392" si="430">K393+K399</f>
        <v>870</v>
      </c>
      <c r="L392" s="138">
        <f t="shared" si="430"/>
        <v>750</v>
      </c>
      <c r="M392" s="138">
        <f t="shared" si="430"/>
        <v>750</v>
      </c>
      <c r="N392" s="138">
        <f t="shared" si="430"/>
        <v>700</v>
      </c>
      <c r="O392" s="30">
        <f t="shared" si="398"/>
        <v>3070</v>
      </c>
      <c r="P392" s="100">
        <f t="shared" si="400"/>
        <v>0</v>
      </c>
      <c r="Q392" s="138">
        <f t="shared" si="428"/>
        <v>2950</v>
      </c>
      <c r="R392" s="138">
        <f t="shared" si="428"/>
        <v>2950</v>
      </c>
      <c r="S392" s="138">
        <f t="shared" si="428"/>
        <v>2950</v>
      </c>
    </row>
    <row r="393" spans="1:19" ht="14.25">
      <c r="A393" s="12"/>
      <c r="B393" s="129" t="s">
        <v>152</v>
      </c>
      <c r="C393" s="37"/>
      <c r="D393" s="138">
        <f>D394+D398</f>
        <v>3326</v>
      </c>
      <c r="E393" s="138">
        <f t="shared" ref="E393:S393" si="431">E394+E398</f>
        <v>2975</v>
      </c>
      <c r="F393" s="138">
        <f t="shared" si="431"/>
        <v>3255</v>
      </c>
      <c r="G393" s="138">
        <f t="shared" si="431"/>
        <v>2975</v>
      </c>
      <c r="H393" s="138">
        <f t="shared" ref="H393" si="432">H394+H398</f>
        <v>2850</v>
      </c>
      <c r="I393" s="138">
        <f t="shared" si="431"/>
        <v>3226</v>
      </c>
      <c r="J393" s="138">
        <f t="shared" si="431"/>
        <v>2950</v>
      </c>
      <c r="K393" s="206">
        <f t="shared" ref="K393:N393" si="433">K394+K398</f>
        <v>750</v>
      </c>
      <c r="L393" s="138">
        <f t="shared" si="433"/>
        <v>750</v>
      </c>
      <c r="M393" s="138">
        <f t="shared" si="433"/>
        <v>750</v>
      </c>
      <c r="N393" s="138">
        <f t="shared" si="433"/>
        <v>700</v>
      </c>
      <c r="O393" s="30">
        <f t="shared" si="398"/>
        <v>2950</v>
      </c>
      <c r="P393" s="100">
        <f t="shared" si="400"/>
        <v>0</v>
      </c>
      <c r="Q393" s="138">
        <f t="shared" si="431"/>
        <v>2950</v>
      </c>
      <c r="R393" s="138">
        <f t="shared" si="431"/>
        <v>2950</v>
      </c>
      <c r="S393" s="138">
        <f t="shared" si="431"/>
        <v>2950</v>
      </c>
    </row>
    <row r="394" spans="1:19" ht="14.25">
      <c r="A394" s="12"/>
      <c r="B394" s="116" t="s">
        <v>153</v>
      </c>
      <c r="C394" s="135">
        <v>0.01</v>
      </c>
      <c r="D394" s="102">
        <f t="shared" ref="D394:S394" si="434">D395</f>
        <v>3334</v>
      </c>
      <c r="E394" s="102">
        <f t="shared" si="434"/>
        <v>2975</v>
      </c>
      <c r="F394" s="102">
        <f t="shared" si="434"/>
        <v>3255</v>
      </c>
      <c r="G394" s="102">
        <f t="shared" si="434"/>
        <v>2975</v>
      </c>
      <c r="H394" s="102">
        <f t="shared" si="434"/>
        <v>2850</v>
      </c>
      <c r="I394" s="102">
        <f t="shared" si="434"/>
        <v>3226</v>
      </c>
      <c r="J394" s="102">
        <f t="shared" si="434"/>
        <v>2950</v>
      </c>
      <c r="K394" s="208">
        <f t="shared" si="434"/>
        <v>750</v>
      </c>
      <c r="L394" s="102">
        <f t="shared" si="434"/>
        <v>750</v>
      </c>
      <c r="M394" s="102">
        <f t="shared" si="434"/>
        <v>750</v>
      </c>
      <c r="N394" s="102">
        <f t="shared" si="434"/>
        <v>700</v>
      </c>
      <c r="O394" s="30">
        <f t="shared" si="398"/>
        <v>2950</v>
      </c>
      <c r="P394" s="100">
        <f t="shared" si="400"/>
        <v>0</v>
      </c>
      <c r="Q394" s="102">
        <f t="shared" si="434"/>
        <v>2950</v>
      </c>
      <c r="R394" s="102">
        <f t="shared" si="434"/>
        <v>2950</v>
      </c>
      <c r="S394" s="102">
        <f t="shared" si="434"/>
        <v>2950</v>
      </c>
    </row>
    <row r="395" spans="1:19" ht="14.25">
      <c r="A395" s="12"/>
      <c r="B395" s="116" t="s">
        <v>585</v>
      </c>
      <c r="C395" s="135" t="s">
        <v>216</v>
      </c>
      <c r="D395" s="102">
        <f>D396+D397</f>
        <v>3334</v>
      </c>
      <c r="E395" s="102">
        <f t="shared" ref="E395:S395" si="435">E396+E397</f>
        <v>2975</v>
      </c>
      <c r="F395" s="102">
        <f t="shared" si="435"/>
        <v>3255</v>
      </c>
      <c r="G395" s="102">
        <f t="shared" si="435"/>
        <v>2975</v>
      </c>
      <c r="H395" s="102">
        <f t="shared" ref="H395" si="436">H396+H397</f>
        <v>2850</v>
      </c>
      <c r="I395" s="102">
        <f t="shared" si="435"/>
        <v>3226</v>
      </c>
      <c r="J395" s="102">
        <f t="shared" si="435"/>
        <v>2950</v>
      </c>
      <c r="K395" s="208">
        <f t="shared" ref="K395:N395" si="437">K396+K397</f>
        <v>750</v>
      </c>
      <c r="L395" s="102">
        <f t="shared" si="437"/>
        <v>750</v>
      </c>
      <c r="M395" s="102">
        <f t="shared" si="437"/>
        <v>750</v>
      </c>
      <c r="N395" s="102">
        <f t="shared" si="437"/>
        <v>700</v>
      </c>
      <c r="O395" s="30">
        <f t="shared" si="398"/>
        <v>2950</v>
      </c>
      <c r="P395" s="100">
        <f t="shared" si="400"/>
        <v>0</v>
      </c>
      <c r="Q395" s="102">
        <f t="shared" si="435"/>
        <v>2950</v>
      </c>
      <c r="R395" s="102">
        <f t="shared" si="435"/>
        <v>2950</v>
      </c>
      <c r="S395" s="102">
        <f t="shared" si="435"/>
        <v>2950</v>
      </c>
    </row>
    <row r="396" spans="1:19" ht="14.25">
      <c r="A396" s="12"/>
      <c r="B396" s="116" t="s">
        <v>154</v>
      </c>
      <c r="C396" s="135">
        <v>10</v>
      </c>
      <c r="D396" s="30">
        <v>2872</v>
      </c>
      <c r="E396" s="30">
        <v>2575</v>
      </c>
      <c r="F396" s="46">
        <v>2855</v>
      </c>
      <c r="G396" s="30">
        <v>2539</v>
      </c>
      <c r="H396" s="30">
        <v>2514</v>
      </c>
      <c r="I396" s="30">
        <v>2765</v>
      </c>
      <c r="J396" s="30">
        <v>2600</v>
      </c>
      <c r="K396" s="64">
        <v>650</v>
      </c>
      <c r="L396" s="30">
        <v>650</v>
      </c>
      <c r="M396" s="30">
        <v>650</v>
      </c>
      <c r="N396" s="30">
        <v>650</v>
      </c>
      <c r="O396" s="30">
        <f t="shared" ref="O396:O459" si="438">K396+L396+M396+N396</f>
        <v>2600</v>
      </c>
      <c r="P396" s="100">
        <f t="shared" si="400"/>
        <v>0</v>
      </c>
      <c r="Q396" s="30">
        <v>2600</v>
      </c>
      <c r="R396" s="30">
        <v>2600</v>
      </c>
      <c r="S396" s="30">
        <v>2600</v>
      </c>
    </row>
    <row r="397" spans="1:19" ht="15.75" customHeight="1">
      <c r="A397" s="12"/>
      <c r="B397" s="116" t="s">
        <v>581</v>
      </c>
      <c r="C397" s="135">
        <v>20</v>
      </c>
      <c r="D397" s="30">
        <v>462</v>
      </c>
      <c r="E397" s="30">
        <v>400</v>
      </c>
      <c r="F397" s="46">
        <v>400</v>
      </c>
      <c r="G397" s="30">
        <v>436</v>
      </c>
      <c r="H397" s="30">
        <v>336</v>
      </c>
      <c r="I397" s="30">
        <v>461</v>
      </c>
      <c r="J397" s="30">
        <v>350</v>
      </c>
      <c r="K397" s="64">
        <v>100</v>
      </c>
      <c r="L397" s="30">
        <v>100</v>
      </c>
      <c r="M397" s="30">
        <v>100</v>
      </c>
      <c r="N397" s="30">
        <v>50</v>
      </c>
      <c r="O397" s="30">
        <f t="shared" si="438"/>
        <v>350</v>
      </c>
      <c r="P397" s="100">
        <f t="shared" ref="P397:P460" si="439">J397-O397</f>
        <v>0</v>
      </c>
      <c r="Q397" s="30">
        <v>350</v>
      </c>
      <c r="R397" s="30">
        <v>350</v>
      </c>
      <c r="S397" s="30">
        <v>350</v>
      </c>
    </row>
    <row r="398" spans="1:19" ht="16.5" hidden="1" customHeight="1">
      <c r="A398" s="12"/>
      <c r="B398" s="116" t="s">
        <v>163</v>
      </c>
      <c r="C398" s="135" t="s">
        <v>251</v>
      </c>
      <c r="D398" s="30">
        <v>-8</v>
      </c>
      <c r="E398" s="30"/>
      <c r="F398" s="46"/>
      <c r="G398" s="30"/>
      <c r="H398" s="30"/>
      <c r="I398" s="30"/>
      <c r="J398" s="30"/>
      <c r="K398" s="64"/>
      <c r="L398" s="30"/>
      <c r="M398" s="30"/>
      <c r="N398" s="30"/>
      <c r="O398" s="30">
        <f t="shared" si="438"/>
        <v>0</v>
      </c>
      <c r="P398" s="100">
        <f t="shared" si="439"/>
        <v>0</v>
      </c>
      <c r="Q398" s="30"/>
      <c r="R398" s="30"/>
      <c r="S398" s="30"/>
    </row>
    <row r="399" spans="1:19" ht="15.75" customHeight="1">
      <c r="A399" s="12"/>
      <c r="B399" s="129" t="s">
        <v>164</v>
      </c>
      <c r="C399" s="135"/>
      <c r="D399" s="138">
        <f t="shared" ref="D399:S399" si="440">D400</f>
        <v>35</v>
      </c>
      <c r="E399" s="138">
        <f t="shared" si="440"/>
        <v>0</v>
      </c>
      <c r="F399" s="138">
        <f t="shared" si="440"/>
        <v>0</v>
      </c>
      <c r="G399" s="138">
        <f t="shared" si="440"/>
        <v>0</v>
      </c>
      <c r="H399" s="138">
        <f t="shared" si="440"/>
        <v>0</v>
      </c>
      <c r="I399" s="138">
        <f t="shared" si="440"/>
        <v>225</v>
      </c>
      <c r="J399" s="138">
        <f t="shared" si="440"/>
        <v>120</v>
      </c>
      <c r="K399" s="206">
        <f t="shared" si="440"/>
        <v>120</v>
      </c>
      <c r="L399" s="138">
        <f t="shared" si="440"/>
        <v>0</v>
      </c>
      <c r="M399" s="138">
        <f t="shared" si="440"/>
        <v>0</v>
      </c>
      <c r="N399" s="138">
        <f t="shared" si="440"/>
        <v>0</v>
      </c>
      <c r="O399" s="30">
        <f t="shared" si="438"/>
        <v>120</v>
      </c>
      <c r="P399" s="100">
        <f t="shared" si="439"/>
        <v>0</v>
      </c>
      <c r="Q399" s="138">
        <f t="shared" si="440"/>
        <v>0</v>
      </c>
      <c r="R399" s="138">
        <f t="shared" si="440"/>
        <v>0</v>
      </c>
      <c r="S399" s="138">
        <f t="shared" si="440"/>
        <v>0</v>
      </c>
    </row>
    <row r="400" spans="1:19" ht="18.75" customHeight="1">
      <c r="A400" s="12"/>
      <c r="B400" s="116" t="s">
        <v>217</v>
      </c>
      <c r="C400" s="135" t="s">
        <v>171</v>
      </c>
      <c r="D400" s="46">
        <v>35</v>
      </c>
      <c r="E400" s="30"/>
      <c r="F400" s="46">
        <v>0</v>
      </c>
      <c r="G400" s="30">
        <v>0</v>
      </c>
      <c r="H400" s="30">
        <v>0</v>
      </c>
      <c r="I400" s="30">
        <v>225</v>
      </c>
      <c r="J400" s="30">
        <v>120</v>
      </c>
      <c r="K400" s="64">
        <v>120</v>
      </c>
      <c r="L400" s="30">
        <v>0</v>
      </c>
      <c r="M400" s="30">
        <v>0</v>
      </c>
      <c r="N400" s="30">
        <v>0</v>
      </c>
      <c r="O400" s="30">
        <f t="shared" si="438"/>
        <v>120</v>
      </c>
      <c r="P400" s="100">
        <f t="shared" si="439"/>
        <v>0</v>
      </c>
      <c r="Q400" s="30"/>
      <c r="R400" s="30"/>
      <c r="S400" s="30"/>
    </row>
    <row r="401" spans="1:19" ht="14.25">
      <c r="A401" s="12" t="s">
        <v>218</v>
      </c>
      <c r="B401" s="129" t="s">
        <v>219</v>
      </c>
      <c r="C401" s="37" t="s">
        <v>220</v>
      </c>
      <c r="D401" s="138">
        <f t="shared" ref="D401:S403" si="441">D402</f>
        <v>0</v>
      </c>
      <c r="E401" s="138">
        <f t="shared" si="441"/>
        <v>5800</v>
      </c>
      <c r="F401" s="138">
        <f t="shared" si="441"/>
        <v>5800</v>
      </c>
      <c r="G401" s="138">
        <f t="shared" si="441"/>
        <v>5800</v>
      </c>
      <c r="H401" s="138">
        <f t="shared" si="441"/>
        <v>5743</v>
      </c>
      <c r="I401" s="138">
        <f t="shared" si="441"/>
        <v>5800</v>
      </c>
      <c r="J401" s="138">
        <f t="shared" si="441"/>
        <v>5800</v>
      </c>
      <c r="K401" s="206">
        <f t="shared" si="441"/>
        <v>1500</v>
      </c>
      <c r="L401" s="138">
        <f t="shared" si="441"/>
        <v>1500</v>
      </c>
      <c r="M401" s="138">
        <f t="shared" si="441"/>
        <v>1500</v>
      </c>
      <c r="N401" s="138">
        <f t="shared" si="441"/>
        <v>1300</v>
      </c>
      <c r="O401" s="30">
        <f t="shared" si="438"/>
        <v>5800</v>
      </c>
      <c r="P401" s="100">
        <f t="shared" si="439"/>
        <v>0</v>
      </c>
      <c r="Q401" s="138">
        <f t="shared" si="441"/>
        <v>5800</v>
      </c>
      <c r="R401" s="138">
        <f t="shared" si="441"/>
        <v>6300</v>
      </c>
      <c r="S401" s="138">
        <f t="shared" si="441"/>
        <v>11400</v>
      </c>
    </row>
    <row r="402" spans="1:19" ht="14.25">
      <c r="A402" s="12"/>
      <c r="B402" s="129" t="s">
        <v>152</v>
      </c>
      <c r="C402" s="37"/>
      <c r="D402" s="138">
        <f t="shared" si="441"/>
        <v>0</v>
      </c>
      <c r="E402" s="138">
        <f t="shared" si="441"/>
        <v>5800</v>
      </c>
      <c r="F402" s="138">
        <f t="shared" si="441"/>
        <v>5800</v>
      </c>
      <c r="G402" s="138">
        <f t="shared" si="441"/>
        <v>5800</v>
      </c>
      <c r="H402" s="138">
        <f t="shared" si="441"/>
        <v>5743</v>
      </c>
      <c r="I402" s="138">
        <f t="shared" si="441"/>
        <v>5800</v>
      </c>
      <c r="J402" s="138">
        <f t="shared" si="441"/>
        <v>5800</v>
      </c>
      <c r="K402" s="206">
        <f t="shared" si="441"/>
        <v>1500</v>
      </c>
      <c r="L402" s="138">
        <f t="shared" si="441"/>
        <v>1500</v>
      </c>
      <c r="M402" s="138">
        <f t="shared" si="441"/>
        <v>1500</v>
      </c>
      <c r="N402" s="138">
        <f t="shared" si="441"/>
        <v>1300</v>
      </c>
      <c r="O402" s="30">
        <f t="shared" si="438"/>
        <v>5800</v>
      </c>
      <c r="P402" s="100">
        <f t="shared" si="439"/>
        <v>0</v>
      </c>
      <c r="Q402" s="138">
        <f t="shared" si="441"/>
        <v>5800</v>
      </c>
      <c r="R402" s="138">
        <f t="shared" si="441"/>
        <v>6300</v>
      </c>
      <c r="S402" s="138">
        <f t="shared" si="441"/>
        <v>11400</v>
      </c>
    </row>
    <row r="403" spans="1:19" ht="14.25">
      <c r="A403" s="12"/>
      <c r="B403" s="129" t="s">
        <v>162</v>
      </c>
      <c r="C403" s="37">
        <v>79</v>
      </c>
      <c r="D403" s="138">
        <f t="shared" si="441"/>
        <v>0</v>
      </c>
      <c r="E403" s="138">
        <f t="shared" si="441"/>
        <v>5800</v>
      </c>
      <c r="F403" s="138">
        <f t="shared" si="441"/>
        <v>5800</v>
      </c>
      <c r="G403" s="138">
        <f t="shared" si="441"/>
        <v>5800</v>
      </c>
      <c r="H403" s="138">
        <f t="shared" si="441"/>
        <v>5743</v>
      </c>
      <c r="I403" s="138">
        <f t="shared" si="441"/>
        <v>5800</v>
      </c>
      <c r="J403" s="138">
        <f t="shared" si="441"/>
        <v>5800</v>
      </c>
      <c r="K403" s="206">
        <f t="shared" si="441"/>
        <v>1500</v>
      </c>
      <c r="L403" s="138">
        <f t="shared" si="441"/>
        <v>1500</v>
      </c>
      <c r="M403" s="138">
        <f t="shared" si="441"/>
        <v>1500</v>
      </c>
      <c r="N403" s="138">
        <f t="shared" si="441"/>
        <v>1300</v>
      </c>
      <c r="O403" s="30">
        <f t="shared" si="438"/>
        <v>5800</v>
      </c>
      <c r="P403" s="100">
        <f t="shared" si="439"/>
        <v>0</v>
      </c>
      <c r="Q403" s="138">
        <f t="shared" si="441"/>
        <v>5800</v>
      </c>
      <c r="R403" s="138">
        <f t="shared" si="441"/>
        <v>6300</v>
      </c>
      <c r="S403" s="138">
        <f t="shared" si="441"/>
        <v>11400</v>
      </c>
    </row>
    <row r="404" spans="1:19" ht="14.25">
      <c r="A404" s="12"/>
      <c r="B404" s="129" t="s">
        <v>221</v>
      </c>
      <c r="C404" s="135">
        <v>81</v>
      </c>
      <c r="D404" s="102">
        <f t="shared" ref="D404:S404" si="442">D405+D406</f>
        <v>0</v>
      </c>
      <c r="E404" s="102">
        <f t="shared" si="442"/>
        <v>5800</v>
      </c>
      <c r="F404" s="102">
        <f t="shared" si="442"/>
        <v>5800</v>
      </c>
      <c r="G404" s="102">
        <f t="shared" si="442"/>
        <v>5800</v>
      </c>
      <c r="H404" s="102">
        <f t="shared" ref="H404" si="443">H405+H406</f>
        <v>5743</v>
      </c>
      <c r="I404" s="102">
        <f t="shared" si="442"/>
        <v>5800</v>
      </c>
      <c r="J404" s="102">
        <f t="shared" si="442"/>
        <v>5800</v>
      </c>
      <c r="K404" s="208">
        <f t="shared" ref="K404:N404" si="444">K405+K406</f>
        <v>1500</v>
      </c>
      <c r="L404" s="102">
        <f t="shared" si="444"/>
        <v>1500</v>
      </c>
      <c r="M404" s="102">
        <f t="shared" si="444"/>
        <v>1500</v>
      </c>
      <c r="N404" s="102">
        <f t="shared" si="444"/>
        <v>1300</v>
      </c>
      <c r="O404" s="30">
        <f t="shared" si="438"/>
        <v>5800</v>
      </c>
      <c r="P404" s="100">
        <f t="shared" si="439"/>
        <v>0</v>
      </c>
      <c r="Q404" s="102">
        <f t="shared" si="442"/>
        <v>5800</v>
      </c>
      <c r="R404" s="102">
        <f t="shared" si="442"/>
        <v>6300</v>
      </c>
      <c r="S404" s="102">
        <f t="shared" si="442"/>
        <v>11400</v>
      </c>
    </row>
    <row r="405" spans="1:19" ht="13.5" customHeight="1">
      <c r="A405" s="12"/>
      <c r="B405" s="116" t="s">
        <v>222</v>
      </c>
      <c r="C405" s="135" t="s">
        <v>223</v>
      </c>
      <c r="D405" s="46"/>
      <c r="E405" s="30">
        <v>5800</v>
      </c>
      <c r="F405" s="46">
        <v>5800</v>
      </c>
      <c r="G405" s="30">
        <v>5800</v>
      </c>
      <c r="H405" s="30">
        <v>5743</v>
      </c>
      <c r="I405" s="30">
        <v>5800</v>
      </c>
      <c r="J405" s="30">
        <v>5800</v>
      </c>
      <c r="K405" s="64">
        <v>1500</v>
      </c>
      <c r="L405" s="30">
        <v>1500</v>
      </c>
      <c r="M405" s="30">
        <v>1500</v>
      </c>
      <c r="N405" s="30">
        <v>1300</v>
      </c>
      <c r="O405" s="30">
        <f t="shared" si="438"/>
        <v>5800</v>
      </c>
      <c r="P405" s="100">
        <f t="shared" si="439"/>
        <v>0</v>
      </c>
      <c r="Q405" s="30">
        <v>5800</v>
      </c>
      <c r="R405" s="30">
        <v>6300</v>
      </c>
      <c r="S405" s="30">
        <v>11400</v>
      </c>
    </row>
    <row r="406" spans="1:19" ht="13.5" hidden="1" customHeight="1">
      <c r="A406" s="12"/>
      <c r="B406" s="116" t="s">
        <v>224</v>
      </c>
      <c r="C406" s="135" t="s">
        <v>225</v>
      </c>
      <c r="D406" s="46"/>
      <c r="E406" s="30"/>
      <c r="F406" s="46"/>
      <c r="G406" s="30"/>
      <c r="H406" s="31"/>
      <c r="I406" s="30"/>
      <c r="J406" s="30"/>
      <c r="K406" s="64"/>
      <c r="L406" s="30"/>
      <c r="M406" s="30"/>
      <c r="N406" s="30"/>
      <c r="O406" s="30">
        <f t="shared" si="438"/>
        <v>0</v>
      </c>
      <c r="P406" s="100">
        <f t="shared" si="439"/>
        <v>0</v>
      </c>
      <c r="Q406" s="30"/>
      <c r="R406" s="30"/>
      <c r="S406" s="30"/>
    </row>
    <row r="407" spans="1:19" ht="17.25" hidden="1" customHeight="1">
      <c r="A407" s="12" t="s">
        <v>226</v>
      </c>
      <c r="B407" s="129" t="s">
        <v>227</v>
      </c>
      <c r="C407" s="135"/>
      <c r="D407" s="46"/>
      <c r="E407" s="30"/>
      <c r="F407" s="46"/>
      <c r="G407" s="30"/>
      <c r="H407" s="31"/>
      <c r="I407" s="30"/>
      <c r="J407" s="30"/>
      <c r="K407" s="64"/>
      <c r="L407" s="30"/>
      <c r="M407" s="30"/>
      <c r="N407" s="30"/>
      <c r="O407" s="30">
        <f t="shared" si="438"/>
        <v>0</v>
      </c>
      <c r="P407" s="100">
        <f t="shared" si="439"/>
        <v>0</v>
      </c>
      <c r="Q407" s="30"/>
      <c r="R407" s="30"/>
      <c r="S407" s="30"/>
    </row>
    <row r="408" spans="1:19" ht="18.75" hidden="1" customHeight="1">
      <c r="A408" s="12"/>
      <c r="B408" s="116" t="s">
        <v>154</v>
      </c>
      <c r="C408" s="135"/>
      <c r="D408" s="46"/>
      <c r="E408" s="30"/>
      <c r="F408" s="46"/>
      <c r="G408" s="30"/>
      <c r="H408" s="31"/>
      <c r="I408" s="30"/>
      <c r="J408" s="30"/>
      <c r="K408" s="64"/>
      <c r="L408" s="30"/>
      <c r="M408" s="30"/>
      <c r="N408" s="30"/>
      <c r="O408" s="30">
        <f t="shared" si="438"/>
        <v>0</v>
      </c>
      <c r="P408" s="100">
        <f t="shared" si="439"/>
        <v>0</v>
      </c>
      <c r="Q408" s="30"/>
      <c r="R408" s="30"/>
      <c r="S408" s="30"/>
    </row>
    <row r="409" spans="1:19" ht="18.75" hidden="1" customHeight="1">
      <c r="A409" s="12"/>
      <c r="B409" s="116" t="s">
        <v>155</v>
      </c>
      <c r="C409" s="135"/>
      <c r="D409" s="46"/>
      <c r="E409" s="30"/>
      <c r="F409" s="46"/>
      <c r="G409" s="30"/>
      <c r="H409" s="31"/>
      <c r="I409" s="30"/>
      <c r="J409" s="30"/>
      <c r="K409" s="64"/>
      <c r="L409" s="30"/>
      <c r="M409" s="30"/>
      <c r="N409" s="30"/>
      <c r="O409" s="30">
        <f t="shared" si="438"/>
        <v>0</v>
      </c>
      <c r="P409" s="100">
        <f t="shared" si="439"/>
        <v>0</v>
      </c>
      <c r="Q409" s="30"/>
      <c r="R409" s="30"/>
      <c r="S409" s="30"/>
    </row>
    <row r="410" spans="1:19" ht="18.75" hidden="1" customHeight="1">
      <c r="A410" s="12"/>
      <c r="B410" s="129" t="s">
        <v>228</v>
      </c>
      <c r="C410" s="135"/>
      <c r="D410" s="46"/>
      <c r="E410" s="30"/>
      <c r="F410" s="46"/>
      <c r="G410" s="30"/>
      <c r="H410" s="31"/>
      <c r="I410" s="30"/>
      <c r="J410" s="30"/>
      <c r="K410" s="64"/>
      <c r="L410" s="30"/>
      <c r="M410" s="30"/>
      <c r="N410" s="30"/>
      <c r="O410" s="30">
        <f t="shared" si="438"/>
        <v>0</v>
      </c>
      <c r="P410" s="100">
        <f t="shared" si="439"/>
        <v>0</v>
      </c>
      <c r="Q410" s="30"/>
      <c r="R410" s="30"/>
      <c r="S410" s="30"/>
    </row>
    <row r="411" spans="1:19" ht="29.25" hidden="1" customHeight="1">
      <c r="A411" s="12" t="s">
        <v>229</v>
      </c>
      <c r="B411" s="33" t="s">
        <v>230</v>
      </c>
      <c r="C411" s="37" t="s">
        <v>220</v>
      </c>
      <c r="D411" s="46"/>
      <c r="E411" s="30"/>
      <c r="F411" s="46"/>
      <c r="G411" s="30"/>
      <c r="H411" s="31"/>
      <c r="I411" s="30"/>
      <c r="J411" s="30"/>
      <c r="K411" s="64"/>
      <c r="L411" s="30"/>
      <c r="M411" s="30"/>
      <c r="N411" s="30"/>
      <c r="O411" s="30">
        <f t="shared" si="438"/>
        <v>0</v>
      </c>
      <c r="P411" s="100">
        <f t="shared" si="439"/>
        <v>0</v>
      </c>
      <c r="Q411" s="30"/>
      <c r="R411" s="30"/>
      <c r="S411" s="30"/>
    </row>
    <row r="412" spans="1:19" ht="13.5" hidden="1" customHeight="1">
      <c r="A412" s="12"/>
      <c r="B412" s="129" t="s">
        <v>152</v>
      </c>
      <c r="C412" s="135"/>
      <c r="D412" s="46"/>
      <c r="E412" s="30"/>
      <c r="F412" s="46"/>
      <c r="G412" s="30"/>
      <c r="H412" s="31"/>
      <c r="I412" s="30"/>
      <c r="J412" s="30"/>
      <c r="K412" s="64"/>
      <c r="L412" s="30"/>
      <c r="M412" s="30"/>
      <c r="N412" s="30"/>
      <c r="O412" s="30">
        <f t="shared" si="438"/>
        <v>0</v>
      </c>
      <c r="P412" s="100">
        <f t="shared" si="439"/>
        <v>0</v>
      </c>
      <c r="Q412" s="30"/>
      <c r="R412" s="30"/>
      <c r="S412" s="30"/>
    </row>
    <row r="413" spans="1:19" ht="19.5" hidden="1" customHeight="1">
      <c r="A413" s="12"/>
      <c r="B413" s="116" t="s">
        <v>153</v>
      </c>
      <c r="C413" s="135">
        <v>1</v>
      </c>
      <c r="D413" s="46"/>
      <c r="E413" s="30"/>
      <c r="F413" s="46"/>
      <c r="G413" s="30"/>
      <c r="H413" s="31"/>
      <c r="I413" s="30"/>
      <c r="J413" s="30"/>
      <c r="K413" s="64"/>
      <c r="L413" s="30"/>
      <c r="M413" s="30"/>
      <c r="N413" s="30"/>
      <c r="O413" s="30">
        <f t="shared" si="438"/>
        <v>0</v>
      </c>
      <c r="P413" s="100">
        <f t="shared" si="439"/>
        <v>0</v>
      </c>
      <c r="Q413" s="30"/>
      <c r="R413" s="30"/>
      <c r="S413" s="30"/>
    </row>
    <row r="414" spans="1:19" ht="15.75" hidden="1" customHeight="1">
      <c r="A414" s="12"/>
      <c r="B414" s="251" t="s">
        <v>231</v>
      </c>
      <c r="C414" s="135" t="s">
        <v>232</v>
      </c>
      <c r="D414" s="46"/>
      <c r="E414" s="30"/>
      <c r="F414" s="46"/>
      <c r="G414" s="30"/>
      <c r="H414" s="31"/>
      <c r="I414" s="30"/>
      <c r="J414" s="30"/>
      <c r="K414" s="64"/>
      <c r="L414" s="30"/>
      <c r="M414" s="30"/>
      <c r="N414" s="30"/>
      <c r="O414" s="30">
        <f t="shared" si="438"/>
        <v>0</v>
      </c>
      <c r="P414" s="100">
        <f t="shared" si="439"/>
        <v>0</v>
      </c>
      <c r="Q414" s="30"/>
      <c r="R414" s="30"/>
      <c r="S414" s="30"/>
    </row>
    <row r="415" spans="1:19" ht="15" customHeight="1">
      <c r="A415" s="12">
        <v>3</v>
      </c>
      <c r="B415" s="241" t="s">
        <v>233</v>
      </c>
      <c r="C415" s="242" t="s">
        <v>234</v>
      </c>
      <c r="D415" s="140">
        <f t="shared" ref="D415:S415" si="445">D417</f>
        <v>0</v>
      </c>
      <c r="E415" s="140">
        <f t="shared" si="445"/>
        <v>1012</v>
      </c>
      <c r="F415" s="140">
        <f t="shared" si="445"/>
        <v>1012</v>
      </c>
      <c r="G415" s="140">
        <f t="shared" si="445"/>
        <v>1012</v>
      </c>
      <c r="H415" s="140">
        <f t="shared" ref="H415" si="446">H417</f>
        <v>590</v>
      </c>
      <c r="I415" s="140">
        <f t="shared" si="445"/>
        <v>1747</v>
      </c>
      <c r="J415" s="140">
        <f t="shared" si="445"/>
        <v>1750</v>
      </c>
      <c r="K415" s="209">
        <f t="shared" ref="K415:N415" si="447">K417</f>
        <v>850</v>
      </c>
      <c r="L415" s="140">
        <f t="shared" si="447"/>
        <v>300</v>
      </c>
      <c r="M415" s="140">
        <f t="shared" si="447"/>
        <v>300</v>
      </c>
      <c r="N415" s="140">
        <f t="shared" si="447"/>
        <v>300</v>
      </c>
      <c r="O415" s="30">
        <f t="shared" si="438"/>
        <v>1750</v>
      </c>
      <c r="P415" s="100">
        <f t="shared" si="439"/>
        <v>0</v>
      </c>
      <c r="Q415" s="151">
        <f t="shared" si="445"/>
        <v>2584</v>
      </c>
      <c r="R415" s="151">
        <f t="shared" si="445"/>
        <v>2652</v>
      </c>
      <c r="S415" s="151">
        <f t="shared" si="445"/>
        <v>2361</v>
      </c>
    </row>
    <row r="416" spans="1:19" ht="14.25">
      <c r="A416" s="12"/>
      <c r="B416" s="129" t="s">
        <v>152</v>
      </c>
      <c r="C416" s="37"/>
      <c r="D416" s="138">
        <f t="shared" ref="D416:S416" si="448">D417</f>
        <v>0</v>
      </c>
      <c r="E416" s="138">
        <f t="shared" si="448"/>
        <v>1012</v>
      </c>
      <c r="F416" s="138">
        <f t="shared" si="448"/>
        <v>1012</v>
      </c>
      <c r="G416" s="138">
        <f t="shared" si="448"/>
        <v>1012</v>
      </c>
      <c r="H416" s="138">
        <f t="shared" si="448"/>
        <v>590</v>
      </c>
      <c r="I416" s="138">
        <f t="shared" si="448"/>
        <v>1747</v>
      </c>
      <c r="J416" s="138">
        <f t="shared" si="448"/>
        <v>1750</v>
      </c>
      <c r="K416" s="206">
        <f t="shared" si="448"/>
        <v>850</v>
      </c>
      <c r="L416" s="138">
        <f t="shared" si="448"/>
        <v>300</v>
      </c>
      <c r="M416" s="138">
        <f t="shared" si="448"/>
        <v>300</v>
      </c>
      <c r="N416" s="138">
        <f t="shared" si="448"/>
        <v>300</v>
      </c>
      <c r="O416" s="30">
        <f t="shared" si="438"/>
        <v>1750</v>
      </c>
      <c r="P416" s="100">
        <f t="shared" si="439"/>
        <v>0</v>
      </c>
      <c r="Q416" s="138">
        <f t="shared" si="448"/>
        <v>2584</v>
      </c>
      <c r="R416" s="138">
        <f t="shared" si="448"/>
        <v>2652</v>
      </c>
      <c r="S416" s="138">
        <f t="shared" si="448"/>
        <v>2361</v>
      </c>
    </row>
    <row r="417" spans="1:19" ht="16.5" customHeight="1">
      <c r="A417" s="12"/>
      <c r="B417" s="116" t="s">
        <v>153</v>
      </c>
      <c r="C417" s="37">
        <v>1</v>
      </c>
      <c r="D417" s="138">
        <f t="shared" ref="D417:S417" si="449">D419+D418</f>
        <v>0</v>
      </c>
      <c r="E417" s="138">
        <f t="shared" si="449"/>
        <v>1012</v>
      </c>
      <c r="F417" s="138">
        <f t="shared" si="449"/>
        <v>1012</v>
      </c>
      <c r="G417" s="138">
        <f t="shared" si="449"/>
        <v>1012</v>
      </c>
      <c r="H417" s="138">
        <f t="shared" ref="H417" si="450">H419+H418</f>
        <v>590</v>
      </c>
      <c r="I417" s="138">
        <f t="shared" si="449"/>
        <v>1747</v>
      </c>
      <c r="J417" s="138">
        <f t="shared" si="449"/>
        <v>1750</v>
      </c>
      <c r="K417" s="206">
        <f t="shared" ref="K417:N417" si="451">K419+K418</f>
        <v>850</v>
      </c>
      <c r="L417" s="138">
        <f t="shared" si="451"/>
        <v>300</v>
      </c>
      <c r="M417" s="138">
        <f t="shared" si="451"/>
        <v>300</v>
      </c>
      <c r="N417" s="138">
        <f t="shared" si="451"/>
        <v>300</v>
      </c>
      <c r="O417" s="30">
        <f t="shared" si="438"/>
        <v>1750</v>
      </c>
      <c r="P417" s="100">
        <f t="shared" si="439"/>
        <v>0</v>
      </c>
      <c r="Q417" s="138">
        <f t="shared" si="449"/>
        <v>2584</v>
      </c>
      <c r="R417" s="138">
        <f t="shared" si="449"/>
        <v>2652</v>
      </c>
      <c r="S417" s="138">
        <f t="shared" si="449"/>
        <v>2361</v>
      </c>
    </row>
    <row r="418" spans="1:19" ht="14.25" customHeight="1">
      <c r="A418" s="12"/>
      <c r="B418" s="116" t="s">
        <v>581</v>
      </c>
      <c r="C418" s="37" t="s">
        <v>235</v>
      </c>
      <c r="D418" s="46"/>
      <c r="E418" s="30">
        <v>12</v>
      </c>
      <c r="F418" s="46">
        <v>12</v>
      </c>
      <c r="G418" s="30">
        <v>12</v>
      </c>
      <c r="H418" s="30">
        <v>9</v>
      </c>
      <c r="I418" s="30">
        <v>7</v>
      </c>
      <c r="J418" s="30">
        <v>10</v>
      </c>
      <c r="K418" s="64">
        <v>10</v>
      </c>
      <c r="L418" s="30"/>
      <c r="M418" s="30"/>
      <c r="N418" s="30"/>
      <c r="O418" s="30">
        <f t="shared" si="438"/>
        <v>10</v>
      </c>
      <c r="P418" s="100">
        <f t="shared" si="439"/>
        <v>0</v>
      </c>
      <c r="Q418" s="30">
        <v>4</v>
      </c>
      <c r="R418" s="30">
        <v>2</v>
      </c>
      <c r="S418" s="30">
        <v>1</v>
      </c>
    </row>
    <row r="419" spans="1:19" ht="18" customHeight="1">
      <c r="A419" s="12"/>
      <c r="B419" s="116" t="s">
        <v>236</v>
      </c>
      <c r="C419" s="135">
        <v>30</v>
      </c>
      <c r="D419" s="102">
        <f t="shared" ref="D419:S419" si="452">D420+D421</f>
        <v>0</v>
      </c>
      <c r="E419" s="102">
        <f t="shared" si="452"/>
        <v>1000</v>
      </c>
      <c r="F419" s="102">
        <f t="shared" si="452"/>
        <v>1000</v>
      </c>
      <c r="G419" s="102">
        <f t="shared" si="452"/>
        <v>1000</v>
      </c>
      <c r="H419" s="102">
        <f t="shared" ref="H419" si="453">H420+H421</f>
        <v>581</v>
      </c>
      <c r="I419" s="102">
        <f t="shared" si="452"/>
        <v>1740</v>
      </c>
      <c r="J419" s="102">
        <f t="shared" si="452"/>
        <v>1740</v>
      </c>
      <c r="K419" s="208">
        <f t="shared" ref="K419:N419" si="454">K420+K421</f>
        <v>840</v>
      </c>
      <c r="L419" s="102">
        <f t="shared" si="454"/>
        <v>300</v>
      </c>
      <c r="M419" s="102">
        <f t="shared" si="454"/>
        <v>300</v>
      </c>
      <c r="N419" s="102">
        <f t="shared" si="454"/>
        <v>300</v>
      </c>
      <c r="O419" s="30">
        <f t="shared" si="438"/>
        <v>1740</v>
      </c>
      <c r="P419" s="100">
        <f t="shared" si="439"/>
        <v>0</v>
      </c>
      <c r="Q419" s="102">
        <f t="shared" si="452"/>
        <v>2580</v>
      </c>
      <c r="R419" s="102">
        <f t="shared" si="452"/>
        <v>2650</v>
      </c>
      <c r="S419" s="102">
        <f t="shared" si="452"/>
        <v>2360</v>
      </c>
    </row>
    <row r="420" spans="1:19" ht="15.75" customHeight="1">
      <c r="A420" s="12"/>
      <c r="B420" s="116" t="s">
        <v>237</v>
      </c>
      <c r="C420" s="37" t="s">
        <v>238</v>
      </c>
      <c r="D420" s="46"/>
      <c r="E420" s="30">
        <v>1000</v>
      </c>
      <c r="F420" s="46">
        <v>1000</v>
      </c>
      <c r="G420" s="30">
        <v>1000</v>
      </c>
      <c r="H420" s="30">
        <v>581</v>
      </c>
      <c r="I420" s="30">
        <v>1740</v>
      </c>
      <c r="J420" s="30">
        <v>1740</v>
      </c>
      <c r="K420" s="64">
        <v>840</v>
      </c>
      <c r="L420" s="30">
        <v>300</v>
      </c>
      <c r="M420" s="30">
        <v>300</v>
      </c>
      <c r="N420" s="30">
        <v>300</v>
      </c>
      <c r="O420" s="30">
        <f t="shared" si="438"/>
        <v>1740</v>
      </c>
      <c r="P420" s="100">
        <f t="shared" si="439"/>
        <v>0</v>
      </c>
      <c r="Q420" s="30">
        <v>2580</v>
      </c>
      <c r="R420" s="30">
        <v>2650</v>
      </c>
      <c r="S420" s="30">
        <v>2360</v>
      </c>
    </row>
    <row r="421" spans="1:19" ht="0.75" customHeight="1">
      <c r="A421" s="12"/>
      <c r="B421" s="116" t="s">
        <v>239</v>
      </c>
      <c r="C421" s="37" t="s">
        <v>44</v>
      </c>
      <c r="D421" s="46"/>
      <c r="E421" s="30"/>
      <c r="F421" s="46"/>
      <c r="G421" s="30"/>
      <c r="H421" s="31"/>
      <c r="I421" s="30"/>
      <c r="J421" s="30"/>
      <c r="K421" s="64"/>
      <c r="L421" s="30"/>
      <c r="M421" s="30"/>
      <c r="N421" s="30"/>
      <c r="O421" s="30">
        <f t="shared" si="438"/>
        <v>0</v>
      </c>
      <c r="P421" s="100">
        <f t="shared" si="439"/>
        <v>0</v>
      </c>
      <c r="Q421" s="30"/>
      <c r="R421" s="30"/>
      <c r="S421" s="30"/>
    </row>
    <row r="422" spans="1:19" ht="18" customHeight="1">
      <c r="A422" s="181" t="s">
        <v>3</v>
      </c>
      <c r="B422" s="238" t="s">
        <v>673</v>
      </c>
      <c r="C422" s="239">
        <v>59.02</v>
      </c>
      <c r="D422" s="153">
        <f t="shared" ref="D422:S422" si="455">D430+D446</f>
        <v>1378.03</v>
      </c>
      <c r="E422" s="153">
        <f t="shared" si="455"/>
        <v>1668</v>
      </c>
      <c r="F422" s="153">
        <f t="shared" si="455"/>
        <v>1586</v>
      </c>
      <c r="G422" s="153">
        <f t="shared" si="455"/>
        <v>1668</v>
      </c>
      <c r="H422" s="153">
        <f t="shared" ref="H422" si="456">H430+H446</f>
        <v>1223</v>
      </c>
      <c r="I422" s="153">
        <f t="shared" si="455"/>
        <v>3205</v>
      </c>
      <c r="J422" s="153">
        <f t="shared" si="455"/>
        <v>1799</v>
      </c>
      <c r="K422" s="213">
        <f t="shared" ref="K422:N422" si="457">K430+K446</f>
        <v>733</v>
      </c>
      <c r="L422" s="153">
        <f t="shared" si="457"/>
        <v>359</v>
      </c>
      <c r="M422" s="153">
        <f t="shared" si="457"/>
        <v>354</v>
      </c>
      <c r="N422" s="153">
        <f t="shared" si="457"/>
        <v>353</v>
      </c>
      <c r="O422" s="30">
        <f t="shared" si="438"/>
        <v>1799</v>
      </c>
      <c r="P422" s="100">
        <f t="shared" si="439"/>
        <v>0</v>
      </c>
      <c r="Q422" s="153">
        <f t="shared" si="455"/>
        <v>1443</v>
      </c>
      <c r="R422" s="153">
        <f t="shared" si="455"/>
        <v>1443</v>
      </c>
      <c r="S422" s="153">
        <f t="shared" si="455"/>
        <v>1443</v>
      </c>
    </row>
    <row r="423" spans="1:19" ht="16.5" customHeight="1">
      <c r="A423" s="182"/>
      <c r="B423" s="129" t="s">
        <v>152</v>
      </c>
      <c r="C423" s="240"/>
      <c r="D423" s="153">
        <f t="shared" ref="D423:S424" si="458">D432+D441+D448</f>
        <v>1354.23</v>
      </c>
      <c r="E423" s="153">
        <f t="shared" si="458"/>
        <v>1342</v>
      </c>
      <c r="F423" s="153">
        <f t="shared" si="458"/>
        <v>1270</v>
      </c>
      <c r="G423" s="153">
        <f t="shared" si="458"/>
        <v>1342</v>
      </c>
      <c r="H423" s="153">
        <f t="shared" ref="H423" si="459">H432+H441+H448</f>
        <v>1215</v>
      </c>
      <c r="I423" s="153">
        <f t="shared" si="458"/>
        <v>2202</v>
      </c>
      <c r="J423" s="153">
        <f t="shared" si="458"/>
        <v>1440</v>
      </c>
      <c r="K423" s="213">
        <f t="shared" ref="K423:N423" si="460">K432+K441+K448</f>
        <v>374</v>
      </c>
      <c r="L423" s="153">
        <f t="shared" si="460"/>
        <v>359</v>
      </c>
      <c r="M423" s="153">
        <f t="shared" si="460"/>
        <v>354</v>
      </c>
      <c r="N423" s="153">
        <f t="shared" si="460"/>
        <v>353</v>
      </c>
      <c r="O423" s="30">
        <f t="shared" si="438"/>
        <v>1440</v>
      </c>
      <c r="P423" s="100">
        <f t="shared" si="439"/>
        <v>0</v>
      </c>
      <c r="Q423" s="153">
        <f t="shared" si="458"/>
        <v>1443</v>
      </c>
      <c r="R423" s="153">
        <f t="shared" si="458"/>
        <v>1443</v>
      </c>
      <c r="S423" s="153">
        <f t="shared" si="458"/>
        <v>1443</v>
      </c>
    </row>
    <row r="424" spans="1:19" ht="14.25">
      <c r="A424" s="12"/>
      <c r="B424" s="116" t="s">
        <v>153</v>
      </c>
      <c r="C424" s="37">
        <v>0.01</v>
      </c>
      <c r="D424" s="102">
        <f t="shared" si="458"/>
        <v>1354.23</v>
      </c>
      <c r="E424" s="102">
        <f t="shared" si="458"/>
        <v>1342</v>
      </c>
      <c r="F424" s="102">
        <f t="shared" si="458"/>
        <v>1270</v>
      </c>
      <c r="G424" s="102">
        <f t="shared" si="458"/>
        <v>1342</v>
      </c>
      <c r="H424" s="102">
        <f t="shared" ref="H424" si="461">H433+H442+H449</f>
        <v>1215</v>
      </c>
      <c r="I424" s="102">
        <f t="shared" si="458"/>
        <v>2202</v>
      </c>
      <c r="J424" s="102">
        <f t="shared" si="458"/>
        <v>1440</v>
      </c>
      <c r="K424" s="208">
        <f t="shared" ref="K424:N424" si="462">K433+K442+K449</f>
        <v>374</v>
      </c>
      <c r="L424" s="102">
        <f t="shared" si="462"/>
        <v>359</v>
      </c>
      <c r="M424" s="102">
        <f t="shared" si="462"/>
        <v>354</v>
      </c>
      <c r="N424" s="102">
        <f t="shared" si="462"/>
        <v>353</v>
      </c>
      <c r="O424" s="30">
        <f t="shared" si="438"/>
        <v>1440</v>
      </c>
      <c r="P424" s="100">
        <f t="shared" si="439"/>
        <v>0</v>
      </c>
      <c r="Q424" s="102">
        <f t="shared" si="458"/>
        <v>1443</v>
      </c>
      <c r="R424" s="102">
        <f t="shared" si="458"/>
        <v>1443</v>
      </c>
      <c r="S424" s="102">
        <f t="shared" si="458"/>
        <v>1443</v>
      </c>
    </row>
    <row r="425" spans="1:19" ht="14.25">
      <c r="A425" s="12"/>
      <c r="B425" s="116" t="s">
        <v>154</v>
      </c>
      <c r="C425" s="135">
        <v>10</v>
      </c>
      <c r="D425" s="102">
        <f t="shared" ref="D425:S425" si="463">D450</f>
        <v>0</v>
      </c>
      <c r="E425" s="102">
        <f t="shared" si="463"/>
        <v>0</v>
      </c>
      <c r="F425" s="102">
        <f t="shared" si="463"/>
        <v>0</v>
      </c>
      <c r="G425" s="102">
        <f t="shared" si="463"/>
        <v>0</v>
      </c>
      <c r="H425" s="102">
        <f t="shared" ref="H425" si="464">H450</f>
        <v>0</v>
      </c>
      <c r="I425" s="102">
        <f t="shared" si="463"/>
        <v>0</v>
      </c>
      <c r="J425" s="102">
        <f t="shared" si="463"/>
        <v>0</v>
      </c>
      <c r="K425" s="208">
        <f t="shared" ref="K425:N425" si="465">K450</f>
        <v>0</v>
      </c>
      <c r="L425" s="102">
        <f t="shared" si="465"/>
        <v>0</v>
      </c>
      <c r="M425" s="102">
        <f t="shared" si="465"/>
        <v>0</v>
      </c>
      <c r="N425" s="102">
        <f t="shared" si="465"/>
        <v>0</v>
      </c>
      <c r="O425" s="30">
        <f t="shared" si="438"/>
        <v>0</v>
      </c>
      <c r="P425" s="100">
        <f t="shared" si="439"/>
        <v>0</v>
      </c>
      <c r="Q425" s="102">
        <f t="shared" si="463"/>
        <v>0</v>
      </c>
      <c r="R425" s="102">
        <f t="shared" si="463"/>
        <v>0</v>
      </c>
      <c r="S425" s="102">
        <f t="shared" si="463"/>
        <v>0</v>
      </c>
    </row>
    <row r="426" spans="1:19" ht="14.25">
      <c r="A426" s="12"/>
      <c r="B426" s="116" t="s">
        <v>581</v>
      </c>
      <c r="C426" s="135">
        <v>20</v>
      </c>
      <c r="D426" s="102">
        <f t="shared" ref="D426:S426" si="466">D434+D443+D451</f>
        <v>1354.23</v>
      </c>
      <c r="E426" s="102">
        <f t="shared" si="466"/>
        <v>1342</v>
      </c>
      <c r="F426" s="102">
        <f t="shared" si="466"/>
        <v>1270</v>
      </c>
      <c r="G426" s="102">
        <f t="shared" si="466"/>
        <v>1342</v>
      </c>
      <c r="H426" s="102">
        <f t="shared" ref="H426" si="467">H434+H443+H451</f>
        <v>1215</v>
      </c>
      <c r="I426" s="102">
        <f t="shared" si="466"/>
        <v>2202</v>
      </c>
      <c r="J426" s="102">
        <f t="shared" si="466"/>
        <v>1440</v>
      </c>
      <c r="K426" s="208">
        <f t="shared" ref="K426:N426" si="468">K434+K443+K451</f>
        <v>374</v>
      </c>
      <c r="L426" s="102">
        <f t="shared" si="468"/>
        <v>359</v>
      </c>
      <c r="M426" s="102">
        <f t="shared" si="468"/>
        <v>354</v>
      </c>
      <c r="N426" s="102">
        <f t="shared" si="468"/>
        <v>353</v>
      </c>
      <c r="O426" s="30">
        <f t="shared" si="438"/>
        <v>1440</v>
      </c>
      <c r="P426" s="100">
        <f t="shared" si="439"/>
        <v>0</v>
      </c>
      <c r="Q426" s="102">
        <f t="shared" si="466"/>
        <v>1443</v>
      </c>
      <c r="R426" s="102">
        <f t="shared" si="466"/>
        <v>1443</v>
      </c>
      <c r="S426" s="102">
        <f t="shared" si="466"/>
        <v>1443</v>
      </c>
    </row>
    <row r="427" spans="1:19" ht="14.25">
      <c r="A427" s="12"/>
      <c r="B427" s="116" t="s">
        <v>240</v>
      </c>
      <c r="C427" s="135" t="s">
        <v>241</v>
      </c>
      <c r="D427" s="102">
        <f t="shared" ref="D427:S427" si="469">D452</f>
        <v>0</v>
      </c>
      <c r="E427" s="102">
        <f t="shared" si="469"/>
        <v>0</v>
      </c>
      <c r="F427" s="102">
        <f t="shared" si="469"/>
        <v>0</v>
      </c>
      <c r="G427" s="102">
        <f t="shared" si="469"/>
        <v>0</v>
      </c>
      <c r="H427" s="102">
        <f t="shared" ref="H427" si="470">H452</f>
        <v>0</v>
      </c>
      <c r="I427" s="102">
        <f t="shared" si="469"/>
        <v>0</v>
      </c>
      <c r="J427" s="102">
        <f t="shared" si="469"/>
        <v>0</v>
      </c>
      <c r="K427" s="208">
        <f t="shared" ref="K427:N427" si="471">K452</f>
        <v>0</v>
      </c>
      <c r="L427" s="102">
        <f t="shared" si="471"/>
        <v>0</v>
      </c>
      <c r="M427" s="102">
        <f t="shared" si="471"/>
        <v>0</v>
      </c>
      <c r="N427" s="102">
        <f t="shared" si="471"/>
        <v>0</v>
      </c>
      <c r="O427" s="30">
        <f t="shared" si="438"/>
        <v>0</v>
      </c>
      <c r="P427" s="100">
        <f t="shared" si="439"/>
        <v>0</v>
      </c>
      <c r="Q427" s="102">
        <f t="shared" si="469"/>
        <v>0</v>
      </c>
      <c r="R427" s="102">
        <f t="shared" si="469"/>
        <v>0</v>
      </c>
      <c r="S427" s="102">
        <f t="shared" si="469"/>
        <v>0</v>
      </c>
    </row>
    <row r="428" spans="1:19" ht="14.25">
      <c r="A428" s="12"/>
      <c r="B428" s="129" t="s">
        <v>164</v>
      </c>
      <c r="C428" s="135"/>
      <c r="D428" s="138">
        <f t="shared" ref="D428:S429" si="472">D435+D453</f>
        <v>23.8</v>
      </c>
      <c r="E428" s="138">
        <f t="shared" si="472"/>
        <v>326</v>
      </c>
      <c r="F428" s="138">
        <f t="shared" si="472"/>
        <v>316</v>
      </c>
      <c r="G428" s="138">
        <f t="shared" si="472"/>
        <v>326</v>
      </c>
      <c r="H428" s="138">
        <f t="shared" ref="H428" si="473">H435+H453</f>
        <v>8</v>
      </c>
      <c r="I428" s="138">
        <f t="shared" si="472"/>
        <v>1003</v>
      </c>
      <c r="J428" s="138">
        <f t="shared" si="472"/>
        <v>359</v>
      </c>
      <c r="K428" s="206">
        <f t="shared" ref="K428:N428" si="474">K435+K453</f>
        <v>359</v>
      </c>
      <c r="L428" s="138">
        <f t="shared" si="474"/>
        <v>0</v>
      </c>
      <c r="M428" s="138">
        <f t="shared" si="474"/>
        <v>0</v>
      </c>
      <c r="N428" s="138">
        <f t="shared" si="474"/>
        <v>0</v>
      </c>
      <c r="O428" s="30">
        <f t="shared" si="438"/>
        <v>359</v>
      </c>
      <c r="P428" s="100">
        <f t="shared" si="439"/>
        <v>0</v>
      </c>
      <c r="Q428" s="138">
        <f t="shared" si="472"/>
        <v>0</v>
      </c>
      <c r="R428" s="138">
        <f t="shared" si="472"/>
        <v>0</v>
      </c>
      <c r="S428" s="138">
        <f t="shared" si="472"/>
        <v>0</v>
      </c>
    </row>
    <row r="429" spans="1:19" ht="14.25">
      <c r="A429" s="12"/>
      <c r="B429" s="116" t="s">
        <v>193</v>
      </c>
      <c r="C429" s="135">
        <v>70</v>
      </c>
      <c r="D429" s="138">
        <f t="shared" si="472"/>
        <v>23.8</v>
      </c>
      <c r="E429" s="138">
        <f t="shared" si="472"/>
        <v>326</v>
      </c>
      <c r="F429" s="138">
        <f t="shared" si="472"/>
        <v>316</v>
      </c>
      <c r="G429" s="138">
        <f t="shared" si="472"/>
        <v>326</v>
      </c>
      <c r="H429" s="138">
        <f t="shared" ref="H429" si="475">H436+H454</f>
        <v>8</v>
      </c>
      <c r="I429" s="138">
        <f t="shared" si="472"/>
        <v>1003</v>
      </c>
      <c r="J429" s="138">
        <f t="shared" si="472"/>
        <v>359</v>
      </c>
      <c r="K429" s="206">
        <f t="shared" ref="K429:N429" si="476">K436+K454</f>
        <v>359</v>
      </c>
      <c r="L429" s="138">
        <f t="shared" si="476"/>
        <v>0</v>
      </c>
      <c r="M429" s="138">
        <f t="shared" si="476"/>
        <v>0</v>
      </c>
      <c r="N429" s="138">
        <f t="shared" si="476"/>
        <v>0</v>
      </c>
      <c r="O429" s="30">
        <f t="shared" si="438"/>
        <v>359</v>
      </c>
      <c r="P429" s="100">
        <f t="shared" si="439"/>
        <v>0</v>
      </c>
      <c r="Q429" s="138">
        <f t="shared" si="472"/>
        <v>0</v>
      </c>
      <c r="R429" s="138">
        <f t="shared" si="472"/>
        <v>0</v>
      </c>
      <c r="S429" s="138">
        <f t="shared" si="472"/>
        <v>0</v>
      </c>
    </row>
    <row r="430" spans="1:19" ht="14.25">
      <c r="A430" s="12">
        <v>1</v>
      </c>
      <c r="B430" s="241" t="s">
        <v>586</v>
      </c>
      <c r="C430" s="242">
        <v>60.02</v>
      </c>
      <c r="D430" s="140">
        <f t="shared" ref="D430:S430" si="477">D431+D440</f>
        <v>501.71999999999997</v>
      </c>
      <c r="E430" s="140">
        <f t="shared" si="477"/>
        <v>502</v>
      </c>
      <c r="F430" s="140">
        <f t="shared" si="477"/>
        <v>470</v>
      </c>
      <c r="G430" s="140">
        <f t="shared" si="477"/>
        <v>502</v>
      </c>
      <c r="H430" s="140">
        <f t="shared" ref="H430" si="478">H431+H440</f>
        <v>449</v>
      </c>
      <c r="I430" s="140">
        <f t="shared" si="477"/>
        <v>905</v>
      </c>
      <c r="J430" s="140">
        <f t="shared" si="477"/>
        <v>470</v>
      </c>
      <c r="K430" s="209">
        <f t="shared" ref="K430:N430" si="479">K431+K440</f>
        <v>154</v>
      </c>
      <c r="L430" s="140">
        <f t="shared" si="479"/>
        <v>109</v>
      </c>
      <c r="M430" s="140">
        <f t="shared" si="479"/>
        <v>104</v>
      </c>
      <c r="N430" s="140">
        <f t="shared" si="479"/>
        <v>103</v>
      </c>
      <c r="O430" s="30">
        <f t="shared" si="438"/>
        <v>470</v>
      </c>
      <c r="P430" s="100">
        <f t="shared" si="439"/>
        <v>0</v>
      </c>
      <c r="Q430" s="151">
        <f t="shared" si="477"/>
        <v>443</v>
      </c>
      <c r="R430" s="151">
        <f t="shared" si="477"/>
        <v>443</v>
      </c>
      <c r="S430" s="151">
        <f t="shared" si="477"/>
        <v>443</v>
      </c>
    </row>
    <row r="431" spans="1:19" ht="14.25">
      <c r="A431" s="12" t="s">
        <v>242</v>
      </c>
      <c r="B431" s="252" t="s">
        <v>243</v>
      </c>
      <c r="C431" s="37" t="s">
        <v>244</v>
      </c>
      <c r="D431" s="138">
        <f t="shared" ref="D431:S431" si="480">D432+D435</f>
        <v>482.58</v>
      </c>
      <c r="E431" s="138">
        <f t="shared" si="480"/>
        <v>482</v>
      </c>
      <c r="F431" s="138">
        <f t="shared" si="480"/>
        <v>450</v>
      </c>
      <c r="G431" s="138">
        <f t="shared" si="480"/>
        <v>482</v>
      </c>
      <c r="H431" s="138">
        <f t="shared" ref="H431" si="481">H432+H435</f>
        <v>431</v>
      </c>
      <c r="I431" s="138">
        <f t="shared" si="480"/>
        <v>890</v>
      </c>
      <c r="J431" s="138">
        <f t="shared" si="480"/>
        <v>455</v>
      </c>
      <c r="K431" s="206">
        <f t="shared" ref="K431:N431" si="482">K432+K435</f>
        <v>150</v>
      </c>
      <c r="L431" s="138">
        <f t="shared" si="482"/>
        <v>105</v>
      </c>
      <c r="M431" s="138">
        <f t="shared" si="482"/>
        <v>100</v>
      </c>
      <c r="N431" s="138">
        <f t="shared" si="482"/>
        <v>100</v>
      </c>
      <c r="O431" s="30">
        <f t="shared" si="438"/>
        <v>455</v>
      </c>
      <c r="P431" s="100">
        <f t="shared" si="439"/>
        <v>0</v>
      </c>
      <c r="Q431" s="138">
        <f t="shared" si="480"/>
        <v>425</v>
      </c>
      <c r="R431" s="138">
        <f t="shared" si="480"/>
        <v>425</v>
      </c>
      <c r="S431" s="138">
        <f t="shared" si="480"/>
        <v>425</v>
      </c>
    </row>
    <row r="432" spans="1:19" ht="18" customHeight="1">
      <c r="A432" s="12"/>
      <c r="B432" s="129" t="s">
        <v>152</v>
      </c>
      <c r="C432" s="37"/>
      <c r="D432" s="138">
        <f t="shared" ref="D432:S433" si="483">D433</f>
        <v>482.58</v>
      </c>
      <c r="E432" s="138">
        <f t="shared" si="483"/>
        <v>472</v>
      </c>
      <c r="F432" s="138">
        <f t="shared" si="483"/>
        <v>450</v>
      </c>
      <c r="G432" s="138">
        <f t="shared" si="483"/>
        <v>472</v>
      </c>
      <c r="H432" s="138">
        <f t="shared" si="483"/>
        <v>423</v>
      </c>
      <c r="I432" s="138">
        <f t="shared" si="483"/>
        <v>690</v>
      </c>
      <c r="J432" s="138">
        <f t="shared" si="483"/>
        <v>425</v>
      </c>
      <c r="K432" s="206">
        <f t="shared" si="483"/>
        <v>120</v>
      </c>
      <c r="L432" s="138">
        <f t="shared" si="483"/>
        <v>105</v>
      </c>
      <c r="M432" s="138">
        <f t="shared" si="483"/>
        <v>100</v>
      </c>
      <c r="N432" s="138">
        <f t="shared" si="483"/>
        <v>100</v>
      </c>
      <c r="O432" s="30">
        <f t="shared" si="438"/>
        <v>425</v>
      </c>
      <c r="P432" s="100">
        <f t="shared" si="439"/>
        <v>0</v>
      </c>
      <c r="Q432" s="138">
        <f t="shared" si="483"/>
        <v>425</v>
      </c>
      <c r="R432" s="138">
        <f t="shared" si="483"/>
        <v>425</v>
      </c>
      <c r="S432" s="138">
        <f t="shared" si="483"/>
        <v>425</v>
      </c>
    </row>
    <row r="433" spans="1:19" ht="18.75" customHeight="1">
      <c r="A433" s="12"/>
      <c r="B433" s="116" t="s">
        <v>153</v>
      </c>
      <c r="C433" s="135">
        <v>1</v>
      </c>
      <c r="D433" s="102">
        <f t="shared" si="483"/>
        <v>482.58</v>
      </c>
      <c r="E433" s="102">
        <f t="shared" si="483"/>
        <v>472</v>
      </c>
      <c r="F433" s="102">
        <f t="shared" si="483"/>
        <v>450</v>
      </c>
      <c r="G433" s="102">
        <f t="shared" si="483"/>
        <v>472</v>
      </c>
      <c r="H433" s="102">
        <f t="shared" si="483"/>
        <v>423</v>
      </c>
      <c r="I433" s="102">
        <f t="shared" si="483"/>
        <v>690</v>
      </c>
      <c r="J433" s="102">
        <f t="shared" si="483"/>
        <v>425</v>
      </c>
      <c r="K433" s="208">
        <f t="shared" si="483"/>
        <v>120</v>
      </c>
      <c r="L433" s="102">
        <f t="shared" si="483"/>
        <v>105</v>
      </c>
      <c r="M433" s="102">
        <f t="shared" si="483"/>
        <v>100</v>
      </c>
      <c r="N433" s="102">
        <f t="shared" si="483"/>
        <v>100</v>
      </c>
      <c r="O433" s="30">
        <f t="shared" si="438"/>
        <v>425</v>
      </c>
      <c r="P433" s="100">
        <f t="shared" si="439"/>
        <v>0</v>
      </c>
      <c r="Q433" s="102">
        <f t="shared" si="483"/>
        <v>425</v>
      </c>
      <c r="R433" s="102">
        <f t="shared" si="483"/>
        <v>425</v>
      </c>
      <c r="S433" s="102">
        <f t="shared" si="483"/>
        <v>425</v>
      </c>
    </row>
    <row r="434" spans="1:19" ht="18" customHeight="1">
      <c r="A434" s="12"/>
      <c r="B434" s="116" t="s">
        <v>581</v>
      </c>
      <c r="C434" s="135">
        <v>20</v>
      </c>
      <c r="D434" s="30">
        <v>482.58</v>
      </c>
      <c r="E434" s="30">
        <v>472</v>
      </c>
      <c r="F434" s="46">
        <v>450</v>
      </c>
      <c r="G434" s="30">
        <v>472</v>
      </c>
      <c r="H434" s="30">
        <v>423</v>
      </c>
      <c r="I434" s="30">
        <v>690</v>
      </c>
      <c r="J434" s="30">
        <v>425</v>
      </c>
      <c r="K434" s="64">
        <v>120</v>
      </c>
      <c r="L434" s="30">
        <v>105</v>
      </c>
      <c r="M434" s="30">
        <v>100</v>
      </c>
      <c r="N434" s="30">
        <v>100</v>
      </c>
      <c r="O434" s="30">
        <f t="shared" si="438"/>
        <v>425</v>
      </c>
      <c r="P434" s="100">
        <f t="shared" si="439"/>
        <v>0</v>
      </c>
      <c r="Q434" s="30">
        <v>425</v>
      </c>
      <c r="R434" s="30">
        <v>425</v>
      </c>
      <c r="S434" s="30">
        <v>425</v>
      </c>
    </row>
    <row r="435" spans="1:19" ht="19.5" customHeight="1">
      <c r="A435" s="12"/>
      <c r="B435" s="129" t="s">
        <v>164</v>
      </c>
      <c r="C435" s="135"/>
      <c r="D435" s="138">
        <f t="shared" ref="D435:S435" si="484">D436</f>
        <v>0</v>
      </c>
      <c r="E435" s="138">
        <f t="shared" si="484"/>
        <v>10</v>
      </c>
      <c r="F435" s="138">
        <f t="shared" si="484"/>
        <v>0</v>
      </c>
      <c r="G435" s="138">
        <f t="shared" si="484"/>
        <v>10</v>
      </c>
      <c r="H435" s="138">
        <f t="shared" si="484"/>
        <v>8</v>
      </c>
      <c r="I435" s="138">
        <f t="shared" si="484"/>
        <v>200</v>
      </c>
      <c r="J435" s="138">
        <f t="shared" si="484"/>
        <v>30</v>
      </c>
      <c r="K435" s="206">
        <f t="shared" si="484"/>
        <v>30</v>
      </c>
      <c r="L435" s="138">
        <f t="shared" si="484"/>
        <v>0</v>
      </c>
      <c r="M435" s="138">
        <f t="shared" si="484"/>
        <v>0</v>
      </c>
      <c r="N435" s="138">
        <f t="shared" si="484"/>
        <v>0</v>
      </c>
      <c r="O435" s="30">
        <f t="shared" si="438"/>
        <v>30</v>
      </c>
      <c r="P435" s="100">
        <f t="shared" si="439"/>
        <v>0</v>
      </c>
      <c r="Q435" s="138">
        <f t="shared" si="484"/>
        <v>0</v>
      </c>
      <c r="R435" s="138">
        <f t="shared" si="484"/>
        <v>0</v>
      </c>
      <c r="S435" s="138">
        <f t="shared" si="484"/>
        <v>0</v>
      </c>
    </row>
    <row r="436" spans="1:19" ht="18.75" customHeight="1">
      <c r="A436" s="12"/>
      <c r="B436" s="116" t="s">
        <v>193</v>
      </c>
      <c r="C436" s="135">
        <v>70</v>
      </c>
      <c r="D436" s="102">
        <f t="shared" ref="D436:E436" si="485">D437+D438+D439</f>
        <v>0</v>
      </c>
      <c r="E436" s="102">
        <f t="shared" si="485"/>
        <v>10</v>
      </c>
      <c r="F436" s="114">
        <v>0</v>
      </c>
      <c r="G436" s="114">
        <v>10</v>
      </c>
      <c r="H436" s="114">
        <v>8</v>
      </c>
      <c r="I436" s="114">
        <v>200</v>
      </c>
      <c r="J436" s="114">
        <v>30</v>
      </c>
      <c r="K436" s="202">
        <v>30</v>
      </c>
      <c r="L436" s="114">
        <v>0</v>
      </c>
      <c r="M436" s="114"/>
      <c r="N436" s="114"/>
      <c r="O436" s="30">
        <f t="shared" si="438"/>
        <v>30</v>
      </c>
      <c r="P436" s="100">
        <f t="shared" si="439"/>
        <v>0</v>
      </c>
      <c r="Q436" s="114">
        <v>0</v>
      </c>
      <c r="R436" s="114">
        <v>0</v>
      </c>
      <c r="S436" s="114">
        <v>0</v>
      </c>
    </row>
    <row r="437" spans="1:19" ht="17.25" hidden="1" customHeight="1">
      <c r="A437" s="12"/>
      <c r="B437" s="116" t="s">
        <v>245</v>
      </c>
      <c r="C437" s="135" t="s">
        <v>197</v>
      </c>
      <c r="D437" s="46"/>
      <c r="E437" s="30"/>
      <c r="F437" s="46"/>
      <c r="G437" s="30"/>
      <c r="H437" s="30"/>
      <c r="I437" s="30"/>
      <c r="J437" s="30"/>
      <c r="K437" s="64"/>
      <c r="L437" s="30"/>
      <c r="M437" s="30"/>
      <c r="N437" s="30"/>
      <c r="O437" s="30">
        <f t="shared" si="438"/>
        <v>0</v>
      </c>
      <c r="P437" s="100">
        <f t="shared" si="439"/>
        <v>0</v>
      </c>
      <c r="Q437" s="30"/>
      <c r="R437" s="30"/>
      <c r="S437" s="30"/>
    </row>
    <row r="438" spans="1:19" ht="12" hidden="1" customHeight="1">
      <c r="A438" s="12"/>
      <c r="B438" s="116" t="s">
        <v>200</v>
      </c>
      <c r="C438" s="135" t="s">
        <v>201</v>
      </c>
      <c r="D438" s="46"/>
      <c r="E438" s="30">
        <v>10</v>
      </c>
      <c r="F438" s="46"/>
      <c r="G438" s="30">
        <v>0</v>
      </c>
      <c r="H438" s="30">
        <v>0</v>
      </c>
      <c r="I438" s="30"/>
      <c r="J438" s="30"/>
      <c r="K438" s="64"/>
      <c r="L438" s="30"/>
      <c r="M438" s="30"/>
      <c r="N438" s="30"/>
      <c r="O438" s="30">
        <f t="shared" si="438"/>
        <v>0</v>
      </c>
      <c r="P438" s="100">
        <f t="shared" si="439"/>
        <v>0</v>
      </c>
      <c r="Q438" s="30">
        <v>0</v>
      </c>
      <c r="R438" s="30">
        <v>0</v>
      </c>
      <c r="S438" s="30"/>
    </row>
    <row r="439" spans="1:19" ht="12" hidden="1" customHeight="1">
      <c r="A439" s="12"/>
      <c r="B439" s="116" t="s">
        <v>202</v>
      </c>
      <c r="C439" s="135" t="s">
        <v>203</v>
      </c>
      <c r="D439" s="46"/>
      <c r="E439" s="30"/>
      <c r="F439" s="46"/>
      <c r="G439" s="30"/>
      <c r="H439" s="31"/>
      <c r="I439" s="30"/>
      <c r="J439" s="30"/>
      <c r="K439" s="64"/>
      <c r="L439" s="30"/>
      <c r="M439" s="30"/>
      <c r="N439" s="30"/>
      <c r="O439" s="30">
        <f t="shared" si="438"/>
        <v>0</v>
      </c>
      <c r="P439" s="100">
        <f t="shared" si="439"/>
        <v>0</v>
      </c>
      <c r="Q439" s="30"/>
      <c r="R439" s="30"/>
      <c r="S439" s="30">
        <v>0</v>
      </c>
    </row>
    <row r="440" spans="1:19" ht="25.5">
      <c r="A440" s="12" t="s">
        <v>246</v>
      </c>
      <c r="B440" s="250" t="s">
        <v>247</v>
      </c>
      <c r="C440" s="37" t="s">
        <v>244</v>
      </c>
      <c r="D440" s="138">
        <f t="shared" ref="D440:S440" si="486">D442+D444</f>
        <v>19.14</v>
      </c>
      <c r="E440" s="138">
        <f t="shared" si="486"/>
        <v>20</v>
      </c>
      <c r="F440" s="138">
        <f t="shared" si="486"/>
        <v>20</v>
      </c>
      <c r="G440" s="138">
        <f t="shared" si="486"/>
        <v>20</v>
      </c>
      <c r="H440" s="138">
        <f t="shared" ref="H440" si="487">H442+H444</f>
        <v>18</v>
      </c>
      <c r="I440" s="138">
        <f t="shared" si="486"/>
        <v>15</v>
      </c>
      <c r="J440" s="138">
        <f t="shared" si="486"/>
        <v>15</v>
      </c>
      <c r="K440" s="206">
        <f t="shared" ref="K440:N440" si="488">K442+K444</f>
        <v>4</v>
      </c>
      <c r="L440" s="138">
        <f t="shared" si="488"/>
        <v>4</v>
      </c>
      <c r="M440" s="138">
        <f t="shared" si="488"/>
        <v>4</v>
      </c>
      <c r="N440" s="138">
        <f t="shared" si="488"/>
        <v>3</v>
      </c>
      <c r="O440" s="30">
        <f t="shared" si="438"/>
        <v>15</v>
      </c>
      <c r="P440" s="100">
        <f t="shared" si="439"/>
        <v>0</v>
      </c>
      <c r="Q440" s="138">
        <f t="shared" si="486"/>
        <v>18</v>
      </c>
      <c r="R440" s="138">
        <f t="shared" si="486"/>
        <v>18</v>
      </c>
      <c r="S440" s="138">
        <f t="shared" si="486"/>
        <v>18</v>
      </c>
    </row>
    <row r="441" spans="1:19" ht="14.25">
      <c r="A441" s="12"/>
      <c r="B441" s="129" t="s">
        <v>152</v>
      </c>
      <c r="C441" s="37"/>
      <c r="D441" s="138">
        <f t="shared" ref="D441:S442" si="489">D442</f>
        <v>19.14</v>
      </c>
      <c r="E441" s="138">
        <f t="shared" si="489"/>
        <v>20</v>
      </c>
      <c r="F441" s="138">
        <f t="shared" si="489"/>
        <v>20</v>
      </c>
      <c r="G441" s="138">
        <f t="shared" si="489"/>
        <v>20</v>
      </c>
      <c r="H441" s="138">
        <f t="shared" si="489"/>
        <v>18</v>
      </c>
      <c r="I441" s="138">
        <f t="shared" si="489"/>
        <v>15</v>
      </c>
      <c r="J441" s="138">
        <f t="shared" si="489"/>
        <v>15</v>
      </c>
      <c r="K441" s="206">
        <f t="shared" si="489"/>
        <v>4</v>
      </c>
      <c r="L441" s="138">
        <f t="shared" si="489"/>
        <v>4</v>
      </c>
      <c r="M441" s="138">
        <f t="shared" si="489"/>
        <v>4</v>
      </c>
      <c r="N441" s="138">
        <f t="shared" si="489"/>
        <v>3</v>
      </c>
      <c r="O441" s="30">
        <f t="shared" si="438"/>
        <v>15</v>
      </c>
      <c r="P441" s="100">
        <f t="shared" si="439"/>
        <v>0</v>
      </c>
      <c r="Q441" s="138">
        <f t="shared" si="489"/>
        <v>18</v>
      </c>
      <c r="R441" s="138">
        <f t="shared" si="489"/>
        <v>18</v>
      </c>
      <c r="S441" s="138">
        <f t="shared" si="489"/>
        <v>18</v>
      </c>
    </row>
    <row r="442" spans="1:19" ht="20.25" customHeight="1">
      <c r="A442" s="12"/>
      <c r="B442" s="116" t="s">
        <v>153</v>
      </c>
      <c r="C442" s="135">
        <v>1</v>
      </c>
      <c r="D442" s="102">
        <f t="shared" si="489"/>
        <v>19.14</v>
      </c>
      <c r="E442" s="102">
        <f t="shared" si="489"/>
        <v>20</v>
      </c>
      <c r="F442" s="102">
        <f t="shared" si="489"/>
        <v>20</v>
      </c>
      <c r="G442" s="102">
        <f t="shared" si="489"/>
        <v>20</v>
      </c>
      <c r="H442" s="102">
        <f t="shared" si="489"/>
        <v>18</v>
      </c>
      <c r="I442" s="102">
        <f t="shared" si="489"/>
        <v>15</v>
      </c>
      <c r="J442" s="102">
        <f t="shared" si="489"/>
        <v>15</v>
      </c>
      <c r="K442" s="208">
        <f t="shared" si="489"/>
        <v>4</v>
      </c>
      <c r="L442" s="102">
        <f t="shared" si="489"/>
        <v>4</v>
      </c>
      <c r="M442" s="102">
        <f t="shared" si="489"/>
        <v>4</v>
      </c>
      <c r="N442" s="102">
        <f t="shared" si="489"/>
        <v>3</v>
      </c>
      <c r="O442" s="30">
        <f t="shared" si="438"/>
        <v>15</v>
      </c>
      <c r="P442" s="100">
        <f t="shared" si="439"/>
        <v>0</v>
      </c>
      <c r="Q442" s="102">
        <f t="shared" si="489"/>
        <v>18</v>
      </c>
      <c r="R442" s="102">
        <f t="shared" si="489"/>
        <v>18</v>
      </c>
      <c r="S442" s="102">
        <f t="shared" si="489"/>
        <v>18</v>
      </c>
    </row>
    <row r="443" spans="1:19" ht="19.5" customHeight="1">
      <c r="A443" s="12"/>
      <c r="B443" s="116" t="s">
        <v>581</v>
      </c>
      <c r="C443" s="135">
        <v>20</v>
      </c>
      <c r="D443" s="46">
        <v>19.14</v>
      </c>
      <c r="E443" s="30">
        <v>20</v>
      </c>
      <c r="F443" s="46">
        <v>20</v>
      </c>
      <c r="G443" s="30">
        <v>20</v>
      </c>
      <c r="H443" s="30">
        <v>18</v>
      </c>
      <c r="I443" s="30">
        <v>15</v>
      </c>
      <c r="J443" s="30">
        <v>15</v>
      </c>
      <c r="K443" s="64">
        <v>4</v>
      </c>
      <c r="L443" s="30">
        <v>4</v>
      </c>
      <c r="M443" s="30">
        <v>4</v>
      </c>
      <c r="N443" s="30">
        <v>3</v>
      </c>
      <c r="O443" s="30">
        <f t="shared" si="438"/>
        <v>15</v>
      </c>
      <c r="P443" s="100">
        <f t="shared" si="439"/>
        <v>0</v>
      </c>
      <c r="Q443" s="30">
        <v>18</v>
      </c>
      <c r="R443" s="30">
        <v>18</v>
      </c>
      <c r="S443" s="30">
        <v>18</v>
      </c>
    </row>
    <row r="444" spans="1:19" ht="14.25" hidden="1">
      <c r="A444" s="12"/>
      <c r="B444" s="129" t="s">
        <v>164</v>
      </c>
      <c r="C444" s="135"/>
      <c r="D444" s="102">
        <f t="shared" ref="D444" si="490">D445</f>
        <v>0</v>
      </c>
      <c r="E444" s="30"/>
      <c r="F444" s="102">
        <f t="shared" ref="F444" si="491">F445</f>
        <v>0</v>
      </c>
      <c r="G444" s="30"/>
      <c r="H444" s="31"/>
      <c r="I444" s="30"/>
      <c r="J444" s="30"/>
      <c r="K444" s="64"/>
      <c r="L444" s="30"/>
      <c r="M444" s="30"/>
      <c r="N444" s="30"/>
      <c r="O444" s="30">
        <f t="shared" si="438"/>
        <v>0</v>
      </c>
      <c r="P444" s="100">
        <f t="shared" si="439"/>
        <v>0</v>
      </c>
      <c r="Q444" s="30"/>
      <c r="R444" s="30"/>
      <c r="S444" s="30"/>
    </row>
    <row r="445" spans="1:19" ht="15" hidden="1" customHeight="1">
      <c r="A445" s="12"/>
      <c r="B445" s="116" t="s">
        <v>193</v>
      </c>
      <c r="C445" s="135">
        <v>70</v>
      </c>
      <c r="D445" s="46"/>
      <c r="E445" s="30"/>
      <c r="F445" s="46"/>
      <c r="G445" s="30"/>
      <c r="H445" s="31"/>
      <c r="I445" s="30"/>
      <c r="J445" s="30"/>
      <c r="K445" s="64"/>
      <c r="L445" s="30"/>
      <c r="M445" s="30"/>
      <c r="N445" s="30"/>
      <c r="O445" s="30">
        <f t="shared" si="438"/>
        <v>0</v>
      </c>
      <c r="P445" s="100">
        <f t="shared" si="439"/>
        <v>0</v>
      </c>
      <c r="Q445" s="30"/>
      <c r="R445" s="30"/>
      <c r="S445" s="30"/>
    </row>
    <row r="446" spans="1:19" ht="32.25" customHeight="1">
      <c r="A446" s="12">
        <v>2</v>
      </c>
      <c r="B446" s="249" t="s">
        <v>587</v>
      </c>
      <c r="C446" s="242">
        <v>61.02</v>
      </c>
      <c r="D446" s="140">
        <f t="shared" ref="D446:S446" si="492">D447</f>
        <v>876.31</v>
      </c>
      <c r="E446" s="140">
        <f t="shared" si="492"/>
        <v>1166</v>
      </c>
      <c r="F446" s="140">
        <f t="shared" si="492"/>
        <v>1116</v>
      </c>
      <c r="G446" s="140">
        <f t="shared" si="492"/>
        <v>1166</v>
      </c>
      <c r="H446" s="140">
        <f t="shared" si="492"/>
        <v>774</v>
      </c>
      <c r="I446" s="140">
        <f t="shared" si="492"/>
        <v>2300</v>
      </c>
      <c r="J446" s="140">
        <f t="shared" si="492"/>
        <v>1329</v>
      </c>
      <c r="K446" s="209">
        <f t="shared" si="492"/>
        <v>579</v>
      </c>
      <c r="L446" s="140">
        <f t="shared" si="492"/>
        <v>250</v>
      </c>
      <c r="M446" s="140">
        <f t="shared" si="492"/>
        <v>250</v>
      </c>
      <c r="N446" s="140">
        <f t="shared" si="492"/>
        <v>250</v>
      </c>
      <c r="O446" s="30">
        <f t="shared" si="438"/>
        <v>1329</v>
      </c>
      <c r="P446" s="100">
        <f t="shared" si="439"/>
        <v>0</v>
      </c>
      <c r="Q446" s="151">
        <f t="shared" si="492"/>
        <v>1000</v>
      </c>
      <c r="R446" s="151">
        <f t="shared" si="492"/>
        <v>1000</v>
      </c>
      <c r="S446" s="151">
        <f t="shared" si="492"/>
        <v>1000</v>
      </c>
    </row>
    <row r="447" spans="1:19" ht="30.75" customHeight="1">
      <c r="A447" s="12" t="s">
        <v>211</v>
      </c>
      <c r="B447" s="250" t="s">
        <v>248</v>
      </c>
      <c r="C447" s="135" t="s">
        <v>249</v>
      </c>
      <c r="D447" s="138">
        <f t="shared" ref="D447:S447" si="493">D448+D453</f>
        <v>876.31</v>
      </c>
      <c r="E447" s="138">
        <f t="shared" si="493"/>
        <v>1166</v>
      </c>
      <c r="F447" s="138">
        <f t="shared" si="493"/>
        <v>1116</v>
      </c>
      <c r="G447" s="138">
        <f t="shared" si="493"/>
        <v>1166</v>
      </c>
      <c r="H447" s="138">
        <f t="shared" ref="H447" si="494">H448+H453</f>
        <v>774</v>
      </c>
      <c r="I447" s="138">
        <f t="shared" si="493"/>
        <v>2300</v>
      </c>
      <c r="J447" s="138">
        <f t="shared" si="493"/>
        <v>1329</v>
      </c>
      <c r="K447" s="206">
        <f t="shared" ref="K447:N447" si="495">K448+K453</f>
        <v>579</v>
      </c>
      <c r="L447" s="138">
        <f t="shared" si="495"/>
        <v>250</v>
      </c>
      <c r="M447" s="138">
        <f t="shared" si="495"/>
        <v>250</v>
      </c>
      <c r="N447" s="138">
        <f t="shared" si="495"/>
        <v>250</v>
      </c>
      <c r="O447" s="30">
        <f t="shared" si="438"/>
        <v>1329</v>
      </c>
      <c r="P447" s="100">
        <f t="shared" si="439"/>
        <v>0</v>
      </c>
      <c r="Q447" s="138">
        <f t="shared" si="493"/>
        <v>1000</v>
      </c>
      <c r="R447" s="138">
        <f t="shared" si="493"/>
        <v>1000</v>
      </c>
      <c r="S447" s="138">
        <f t="shared" si="493"/>
        <v>1000</v>
      </c>
    </row>
    <row r="448" spans="1:19" ht="14.25">
      <c r="A448" s="12"/>
      <c r="B448" s="129" t="s">
        <v>152</v>
      </c>
      <c r="C448" s="135"/>
      <c r="D448" s="138">
        <f t="shared" ref="D448:S448" si="496">D449</f>
        <v>852.51</v>
      </c>
      <c r="E448" s="138">
        <f t="shared" si="496"/>
        <v>850</v>
      </c>
      <c r="F448" s="138">
        <f t="shared" si="496"/>
        <v>800</v>
      </c>
      <c r="G448" s="138">
        <f t="shared" si="496"/>
        <v>850</v>
      </c>
      <c r="H448" s="138">
        <f t="shared" si="496"/>
        <v>774</v>
      </c>
      <c r="I448" s="138">
        <f t="shared" si="496"/>
        <v>1497</v>
      </c>
      <c r="J448" s="138">
        <f t="shared" si="496"/>
        <v>1000</v>
      </c>
      <c r="K448" s="206">
        <f t="shared" si="496"/>
        <v>250</v>
      </c>
      <c r="L448" s="138">
        <f t="shared" si="496"/>
        <v>250</v>
      </c>
      <c r="M448" s="138">
        <f t="shared" si="496"/>
        <v>250</v>
      </c>
      <c r="N448" s="138">
        <f t="shared" si="496"/>
        <v>250</v>
      </c>
      <c r="O448" s="30">
        <f t="shared" si="438"/>
        <v>1000</v>
      </c>
      <c r="P448" s="100">
        <f t="shared" si="439"/>
        <v>0</v>
      </c>
      <c r="Q448" s="138">
        <f t="shared" si="496"/>
        <v>1000</v>
      </c>
      <c r="R448" s="138">
        <f t="shared" si="496"/>
        <v>1000</v>
      </c>
      <c r="S448" s="138">
        <f t="shared" si="496"/>
        <v>1000</v>
      </c>
    </row>
    <row r="449" spans="1:19" ht="14.25">
      <c r="A449" s="12"/>
      <c r="B449" s="116" t="s">
        <v>153</v>
      </c>
      <c r="C449" s="135">
        <v>1</v>
      </c>
      <c r="D449" s="102">
        <f t="shared" ref="D449:S449" si="497">D450+D451+D452</f>
        <v>852.51</v>
      </c>
      <c r="E449" s="102">
        <f t="shared" si="497"/>
        <v>850</v>
      </c>
      <c r="F449" s="102">
        <f t="shared" si="497"/>
        <v>800</v>
      </c>
      <c r="G449" s="102">
        <f t="shared" si="497"/>
        <v>850</v>
      </c>
      <c r="H449" s="102">
        <f t="shared" ref="H449" si="498">H450+H451+H452</f>
        <v>774</v>
      </c>
      <c r="I449" s="102">
        <f t="shared" si="497"/>
        <v>1497</v>
      </c>
      <c r="J449" s="102">
        <f t="shared" si="497"/>
        <v>1000</v>
      </c>
      <c r="K449" s="208">
        <f t="shared" ref="K449:N449" si="499">K450+K451+K452</f>
        <v>250</v>
      </c>
      <c r="L449" s="102">
        <f t="shared" si="499"/>
        <v>250</v>
      </c>
      <c r="M449" s="102">
        <f t="shared" si="499"/>
        <v>250</v>
      </c>
      <c r="N449" s="102">
        <f t="shared" si="499"/>
        <v>250</v>
      </c>
      <c r="O449" s="30">
        <f t="shared" si="438"/>
        <v>1000</v>
      </c>
      <c r="P449" s="100">
        <f t="shared" si="439"/>
        <v>0</v>
      </c>
      <c r="Q449" s="102">
        <f t="shared" si="497"/>
        <v>1000</v>
      </c>
      <c r="R449" s="102">
        <f t="shared" si="497"/>
        <v>1000</v>
      </c>
      <c r="S449" s="102">
        <f t="shared" si="497"/>
        <v>1000</v>
      </c>
    </row>
    <row r="450" spans="1:19" ht="15" hidden="1" customHeight="1">
      <c r="A450" s="12"/>
      <c r="B450" s="116" t="s">
        <v>154</v>
      </c>
      <c r="C450" s="135">
        <v>10</v>
      </c>
      <c r="D450" s="46"/>
      <c r="E450" s="30"/>
      <c r="F450" s="46"/>
      <c r="G450" s="30"/>
      <c r="H450" s="30"/>
      <c r="I450" s="30"/>
      <c r="J450" s="30"/>
      <c r="K450" s="64"/>
      <c r="L450" s="30"/>
      <c r="M450" s="30"/>
      <c r="N450" s="30"/>
      <c r="O450" s="30">
        <f t="shared" si="438"/>
        <v>0</v>
      </c>
      <c r="P450" s="100">
        <f t="shared" si="439"/>
        <v>0</v>
      </c>
      <c r="Q450" s="30"/>
      <c r="R450" s="30"/>
      <c r="S450" s="30"/>
    </row>
    <row r="451" spans="1:19" ht="14.25">
      <c r="A451" s="12"/>
      <c r="B451" s="116" t="s">
        <v>581</v>
      </c>
      <c r="C451" s="135">
        <v>20</v>
      </c>
      <c r="D451" s="46">
        <v>852.51</v>
      </c>
      <c r="E451" s="30">
        <v>850</v>
      </c>
      <c r="F451" s="46">
        <v>800</v>
      </c>
      <c r="G451" s="30">
        <v>850</v>
      </c>
      <c r="H451" s="30">
        <v>774</v>
      </c>
      <c r="I451" s="30">
        <v>1497</v>
      </c>
      <c r="J451" s="30">
        <v>1000</v>
      </c>
      <c r="K451" s="64">
        <v>250</v>
      </c>
      <c r="L451" s="30">
        <v>250</v>
      </c>
      <c r="M451" s="30">
        <v>250</v>
      </c>
      <c r="N451" s="30">
        <v>250</v>
      </c>
      <c r="O451" s="30">
        <f t="shared" si="438"/>
        <v>1000</v>
      </c>
      <c r="P451" s="100">
        <f t="shared" si="439"/>
        <v>0</v>
      </c>
      <c r="Q451" s="30">
        <v>1000</v>
      </c>
      <c r="R451" s="30">
        <v>1000</v>
      </c>
      <c r="S451" s="30">
        <v>1000</v>
      </c>
    </row>
    <row r="452" spans="1:19" ht="14.25" hidden="1">
      <c r="A452" s="12"/>
      <c r="B452" s="116" t="s">
        <v>240</v>
      </c>
      <c r="C452" s="135">
        <v>59.02</v>
      </c>
      <c r="D452" s="46"/>
      <c r="E452" s="30"/>
      <c r="F452" s="46"/>
      <c r="G452" s="30"/>
      <c r="H452" s="31"/>
      <c r="I452" s="30"/>
      <c r="J452" s="30"/>
      <c r="K452" s="64"/>
      <c r="L452" s="30"/>
      <c r="M452" s="30"/>
      <c r="N452" s="30"/>
      <c r="O452" s="30">
        <f t="shared" si="438"/>
        <v>0</v>
      </c>
      <c r="P452" s="100">
        <f t="shared" si="439"/>
        <v>0</v>
      </c>
      <c r="Q452" s="30"/>
      <c r="R452" s="30"/>
      <c r="S452" s="30"/>
    </row>
    <row r="453" spans="1:19" ht="14.25">
      <c r="A453" s="12"/>
      <c r="B453" s="129" t="s">
        <v>164</v>
      </c>
      <c r="C453" s="135"/>
      <c r="D453" s="138">
        <f t="shared" ref="D453:S453" si="500">D454</f>
        <v>23.8</v>
      </c>
      <c r="E453" s="138">
        <f t="shared" si="500"/>
        <v>316</v>
      </c>
      <c r="F453" s="138">
        <f t="shared" si="500"/>
        <v>316</v>
      </c>
      <c r="G453" s="138">
        <f t="shared" si="500"/>
        <v>316</v>
      </c>
      <c r="H453" s="138">
        <f t="shared" si="500"/>
        <v>0</v>
      </c>
      <c r="I453" s="138">
        <f t="shared" si="500"/>
        <v>803</v>
      </c>
      <c r="J453" s="138">
        <f t="shared" si="500"/>
        <v>329</v>
      </c>
      <c r="K453" s="206">
        <f t="shared" si="500"/>
        <v>329</v>
      </c>
      <c r="L453" s="138">
        <f t="shared" si="500"/>
        <v>0</v>
      </c>
      <c r="M453" s="138">
        <f t="shared" si="500"/>
        <v>0</v>
      </c>
      <c r="N453" s="138">
        <f t="shared" si="500"/>
        <v>0</v>
      </c>
      <c r="O453" s="30">
        <f t="shared" si="438"/>
        <v>329</v>
      </c>
      <c r="P453" s="100">
        <f t="shared" si="439"/>
        <v>0</v>
      </c>
      <c r="Q453" s="138">
        <f t="shared" si="500"/>
        <v>0</v>
      </c>
      <c r="R453" s="138">
        <f t="shared" si="500"/>
        <v>0</v>
      </c>
      <c r="S453" s="138">
        <f t="shared" si="500"/>
        <v>0</v>
      </c>
    </row>
    <row r="454" spans="1:19" ht="14.25" customHeight="1">
      <c r="A454" s="12"/>
      <c r="B454" s="116" t="s">
        <v>193</v>
      </c>
      <c r="C454" s="135">
        <v>70</v>
      </c>
      <c r="D454" s="46">
        <v>23.8</v>
      </c>
      <c r="E454" s="30">
        <v>316</v>
      </c>
      <c r="F454" s="46">
        <v>316</v>
      </c>
      <c r="G454" s="30">
        <v>316</v>
      </c>
      <c r="H454" s="30">
        <v>0</v>
      </c>
      <c r="I454" s="30">
        <v>803</v>
      </c>
      <c r="J454" s="30">
        <v>329</v>
      </c>
      <c r="K454" s="64">
        <v>329</v>
      </c>
      <c r="L454" s="30">
        <v>0</v>
      </c>
      <c r="M454" s="30">
        <v>0</v>
      </c>
      <c r="N454" s="30"/>
      <c r="O454" s="30">
        <f t="shared" si="438"/>
        <v>329</v>
      </c>
      <c r="P454" s="100">
        <f t="shared" si="439"/>
        <v>0</v>
      </c>
      <c r="Q454" s="30">
        <v>0</v>
      </c>
      <c r="R454" s="30">
        <v>0</v>
      </c>
      <c r="S454" s="30">
        <v>0</v>
      </c>
    </row>
    <row r="455" spans="1:19" ht="15" hidden="1" customHeight="1">
      <c r="A455" s="12"/>
      <c r="B455" s="116" t="s">
        <v>245</v>
      </c>
      <c r="C455" s="135" t="s">
        <v>470</v>
      </c>
      <c r="D455" s="46"/>
      <c r="E455" s="30"/>
      <c r="F455" s="46"/>
      <c r="G455" s="30"/>
      <c r="H455" s="30"/>
      <c r="I455" s="30"/>
      <c r="J455" s="30"/>
      <c r="K455" s="64"/>
      <c r="L455" s="30"/>
      <c r="M455" s="30"/>
      <c r="N455" s="30"/>
      <c r="O455" s="30">
        <f t="shared" si="438"/>
        <v>0</v>
      </c>
      <c r="P455" s="100">
        <f t="shared" si="439"/>
        <v>0</v>
      </c>
      <c r="Q455" s="30"/>
      <c r="R455" s="30"/>
      <c r="S455" s="30"/>
    </row>
    <row r="456" spans="1:19" ht="15" hidden="1" customHeight="1">
      <c r="A456" s="12"/>
      <c r="B456" s="116" t="s">
        <v>200</v>
      </c>
      <c r="C456" s="135" t="s">
        <v>201</v>
      </c>
      <c r="D456" s="46"/>
      <c r="E456" s="30"/>
      <c r="F456" s="46"/>
      <c r="G456" s="30"/>
      <c r="H456" s="30"/>
      <c r="I456" s="30"/>
      <c r="J456" s="30"/>
      <c r="K456" s="64"/>
      <c r="L456" s="30"/>
      <c r="M456" s="30"/>
      <c r="N456" s="30"/>
      <c r="O456" s="30">
        <f t="shared" si="438"/>
        <v>0</v>
      </c>
      <c r="P456" s="100">
        <f t="shared" si="439"/>
        <v>0</v>
      </c>
      <c r="Q456" s="30"/>
      <c r="R456" s="30"/>
      <c r="S456" s="30"/>
    </row>
    <row r="457" spans="1:19" ht="28.5" customHeight="1">
      <c r="A457" s="180" t="s">
        <v>4</v>
      </c>
      <c r="B457" s="238" t="s">
        <v>674</v>
      </c>
      <c r="C457" s="253">
        <v>64.02</v>
      </c>
      <c r="D457" s="153">
        <f t="shared" ref="D457:S457" si="501">D475+D574+D636+D741</f>
        <v>211347.63</v>
      </c>
      <c r="E457" s="153">
        <f t="shared" si="501"/>
        <v>266590.90000000002</v>
      </c>
      <c r="F457" s="153">
        <f t="shared" si="501"/>
        <v>225039</v>
      </c>
      <c r="G457" s="153">
        <f t="shared" si="501"/>
        <v>266590.28000000003</v>
      </c>
      <c r="H457" s="153">
        <f t="shared" si="501"/>
        <v>219251.94999999998</v>
      </c>
      <c r="I457" s="153">
        <f t="shared" si="501"/>
        <v>276091</v>
      </c>
      <c r="J457" s="153">
        <f t="shared" si="501"/>
        <v>275432</v>
      </c>
      <c r="K457" s="213">
        <f t="shared" ref="K457:N457" si="502">K475+K574+K636+K741</f>
        <v>69988</v>
      </c>
      <c r="L457" s="153">
        <f t="shared" si="502"/>
        <v>70547</v>
      </c>
      <c r="M457" s="153">
        <f t="shared" si="502"/>
        <v>72918</v>
      </c>
      <c r="N457" s="153">
        <f t="shared" si="502"/>
        <v>61979</v>
      </c>
      <c r="O457" s="30">
        <f t="shared" si="438"/>
        <v>275432</v>
      </c>
      <c r="P457" s="100">
        <f t="shared" si="439"/>
        <v>0</v>
      </c>
      <c r="Q457" s="153">
        <f t="shared" si="501"/>
        <v>235582</v>
      </c>
      <c r="R457" s="153">
        <f t="shared" si="501"/>
        <v>212703</v>
      </c>
      <c r="S457" s="153">
        <f t="shared" si="501"/>
        <v>212733</v>
      </c>
    </row>
    <row r="458" spans="1:19" ht="19.5" customHeight="1">
      <c r="A458" s="12"/>
      <c r="B458" s="129" t="s">
        <v>152</v>
      </c>
      <c r="C458" s="254"/>
      <c r="D458" s="138">
        <f t="shared" ref="D458:S458" si="503">D476+D576+D584+D637+D742</f>
        <v>203792.45</v>
      </c>
      <c r="E458" s="138">
        <f t="shared" si="503"/>
        <v>225102.7</v>
      </c>
      <c r="F458" s="138">
        <f t="shared" si="503"/>
        <v>194698</v>
      </c>
      <c r="G458" s="138">
        <f t="shared" si="503"/>
        <v>225101.88</v>
      </c>
      <c r="H458" s="138">
        <f t="shared" si="503"/>
        <v>202611.20000000001</v>
      </c>
      <c r="I458" s="138">
        <f t="shared" si="503"/>
        <v>234545</v>
      </c>
      <c r="J458" s="138">
        <f t="shared" si="503"/>
        <v>223820</v>
      </c>
      <c r="K458" s="206">
        <f t="shared" ref="K458:N458" si="504">K476+K576+K584+K637+K742</f>
        <v>56762</v>
      </c>
      <c r="L458" s="138">
        <f t="shared" si="504"/>
        <v>56016</v>
      </c>
      <c r="M458" s="138">
        <f t="shared" si="504"/>
        <v>58190</v>
      </c>
      <c r="N458" s="138">
        <f t="shared" si="504"/>
        <v>52852</v>
      </c>
      <c r="O458" s="30">
        <f t="shared" si="438"/>
        <v>223820</v>
      </c>
      <c r="P458" s="100">
        <f t="shared" si="439"/>
        <v>0</v>
      </c>
      <c r="Q458" s="138">
        <f t="shared" si="503"/>
        <v>227936</v>
      </c>
      <c r="R458" s="138">
        <f t="shared" si="503"/>
        <v>212623</v>
      </c>
      <c r="S458" s="138">
        <f t="shared" si="503"/>
        <v>212653</v>
      </c>
    </row>
    <row r="459" spans="1:19" ht="14.25">
      <c r="A459" s="12"/>
      <c r="B459" s="116" t="s">
        <v>153</v>
      </c>
      <c r="C459" s="135">
        <v>1</v>
      </c>
      <c r="D459" s="102">
        <f t="shared" ref="D459:S459" si="505">D477+D577+D585+D638+D743</f>
        <v>203837.45</v>
      </c>
      <c r="E459" s="102">
        <f t="shared" si="505"/>
        <v>225331.45</v>
      </c>
      <c r="F459" s="102">
        <f t="shared" si="505"/>
        <v>194698</v>
      </c>
      <c r="G459" s="102">
        <f t="shared" si="505"/>
        <v>225433.11</v>
      </c>
      <c r="H459" s="102">
        <f t="shared" si="505"/>
        <v>202997.8</v>
      </c>
      <c r="I459" s="102">
        <f t="shared" si="505"/>
        <v>234545</v>
      </c>
      <c r="J459" s="102">
        <f t="shared" si="505"/>
        <v>223820</v>
      </c>
      <c r="K459" s="208">
        <f t="shared" ref="K459:N459" si="506">K477+K577+K585+K638+K743</f>
        <v>56762</v>
      </c>
      <c r="L459" s="102">
        <f t="shared" si="506"/>
        <v>56016</v>
      </c>
      <c r="M459" s="102">
        <f t="shared" si="506"/>
        <v>58190</v>
      </c>
      <c r="N459" s="102">
        <f t="shared" si="506"/>
        <v>52852</v>
      </c>
      <c r="O459" s="30">
        <f t="shared" si="438"/>
        <v>223820</v>
      </c>
      <c r="P459" s="100">
        <f t="shared" si="439"/>
        <v>0</v>
      </c>
      <c r="Q459" s="102">
        <f t="shared" si="505"/>
        <v>227936</v>
      </c>
      <c r="R459" s="102">
        <f t="shared" si="505"/>
        <v>212623</v>
      </c>
      <c r="S459" s="102">
        <f t="shared" si="505"/>
        <v>212653</v>
      </c>
    </row>
    <row r="460" spans="1:19" ht="14.25">
      <c r="A460" s="12"/>
      <c r="B460" s="116" t="s">
        <v>154</v>
      </c>
      <c r="C460" s="135">
        <v>10</v>
      </c>
      <c r="D460" s="102">
        <f t="shared" ref="D460:S460" si="507">D478+D744</f>
        <v>105747.48</v>
      </c>
      <c r="E460" s="102">
        <f t="shared" si="507"/>
        <v>109566</v>
      </c>
      <c r="F460" s="102">
        <f t="shared" si="507"/>
        <v>86650</v>
      </c>
      <c r="G460" s="102">
        <f t="shared" si="507"/>
        <v>109566</v>
      </c>
      <c r="H460" s="102">
        <f t="shared" si="507"/>
        <v>101562</v>
      </c>
      <c r="I460" s="102">
        <f t="shared" si="507"/>
        <v>113618</v>
      </c>
      <c r="J460" s="102">
        <f t="shared" si="507"/>
        <v>111540</v>
      </c>
      <c r="K460" s="208">
        <f t="shared" ref="K460:N460" si="508">K478+K744</f>
        <v>28201</v>
      </c>
      <c r="L460" s="102">
        <f t="shared" si="508"/>
        <v>28149</v>
      </c>
      <c r="M460" s="102">
        <f t="shared" si="508"/>
        <v>28406</v>
      </c>
      <c r="N460" s="102">
        <f t="shared" si="508"/>
        <v>26784</v>
      </c>
      <c r="O460" s="30">
        <f t="shared" ref="O460:O523" si="509">K460+L460+M460+N460</f>
        <v>111540</v>
      </c>
      <c r="P460" s="100">
        <f t="shared" si="439"/>
        <v>0</v>
      </c>
      <c r="Q460" s="102">
        <f t="shared" si="507"/>
        <v>110559</v>
      </c>
      <c r="R460" s="102">
        <f t="shared" si="507"/>
        <v>110564</v>
      </c>
      <c r="S460" s="102">
        <f t="shared" si="507"/>
        <v>110569</v>
      </c>
    </row>
    <row r="461" spans="1:19" ht="14.25">
      <c r="A461" s="12"/>
      <c r="B461" s="116" t="s">
        <v>581</v>
      </c>
      <c r="C461" s="135">
        <v>20</v>
      </c>
      <c r="D461" s="102">
        <f t="shared" ref="D461:S461" si="510">D479+D639+D745</f>
        <v>18678.439999999999</v>
      </c>
      <c r="E461" s="102">
        <f t="shared" si="510"/>
        <v>19755.95</v>
      </c>
      <c r="F461" s="102">
        <f t="shared" si="510"/>
        <v>15100</v>
      </c>
      <c r="G461" s="102">
        <f t="shared" si="510"/>
        <v>19756.11</v>
      </c>
      <c r="H461" s="102">
        <f t="shared" si="510"/>
        <v>18048</v>
      </c>
      <c r="I461" s="102">
        <f t="shared" si="510"/>
        <v>24816</v>
      </c>
      <c r="J461" s="102">
        <f t="shared" si="510"/>
        <v>18235</v>
      </c>
      <c r="K461" s="208">
        <f t="shared" ref="K461:N461" si="511">K479+K639+K745</f>
        <v>4406</v>
      </c>
      <c r="L461" s="102">
        <f t="shared" si="511"/>
        <v>4599</v>
      </c>
      <c r="M461" s="102">
        <f t="shared" si="511"/>
        <v>4790</v>
      </c>
      <c r="N461" s="102">
        <f t="shared" si="511"/>
        <v>4440</v>
      </c>
      <c r="O461" s="30">
        <f t="shared" si="509"/>
        <v>18235</v>
      </c>
      <c r="P461" s="100">
        <f t="shared" ref="P461:P524" si="512">J461-O461</f>
        <v>0</v>
      </c>
      <c r="Q461" s="102">
        <f t="shared" si="510"/>
        <v>18514</v>
      </c>
      <c r="R461" s="102">
        <f t="shared" si="510"/>
        <v>18537</v>
      </c>
      <c r="S461" s="102">
        <f t="shared" si="510"/>
        <v>18562</v>
      </c>
    </row>
    <row r="462" spans="1:19" ht="14.25">
      <c r="A462" s="12"/>
      <c r="B462" s="116" t="s">
        <v>250</v>
      </c>
      <c r="C462" s="135">
        <v>51</v>
      </c>
      <c r="D462" s="102">
        <f t="shared" ref="D462:S462" si="513">D578+D586+D640+D746+D480</f>
        <v>56840</v>
      </c>
      <c r="E462" s="102">
        <f t="shared" si="513"/>
        <v>67364</v>
      </c>
      <c r="F462" s="102">
        <f t="shared" si="513"/>
        <v>60351</v>
      </c>
      <c r="G462" s="102">
        <f t="shared" si="513"/>
        <v>67466</v>
      </c>
      <c r="H462" s="102">
        <f t="shared" si="513"/>
        <v>62683</v>
      </c>
      <c r="I462" s="102">
        <f t="shared" si="513"/>
        <v>63333</v>
      </c>
      <c r="J462" s="102">
        <f t="shared" si="513"/>
        <v>64998</v>
      </c>
      <c r="K462" s="208">
        <f t="shared" ref="K462:N462" si="514">K578+K586+K640+K746+K480</f>
        <v>16300</v>
      </c>
      <c r="L462" s="102">
        <f t="shared" si="514"/>
        <v>16410</v>
      </c>
      <c r="M462" s="102">
        <f t="shared" si="514"/>
        <v>16509</v>
      </c>
      <c r="N462" s="102">
        <f t="shared" si="514"/>
        <v>15779</v>
      </c>
      <c r="O462" s="30">
        <f t="shared" si="509"/>
        <v>64998</v>
      </c>
      <c r="P462" s="100">
        <f t="shared" si="512"/>
        <v>0</v>
      </c>
      <c r="Q462" s="102">
        <f t="shared" si="513"/>
        <v>64998</v>
      </c>
      <c r="R462" s="102">
        <f t="shared" si="513"/>
        <v>64998</v>
      </c>
      <c r="S462" s="102">
        <f t="shared" si="513"/>
        <v>64998</v>
      </c>
    </row>
    <row r="463" spans="1:19" ht="14.25">
      <c r="A463" s="12"/>
      <c r="B463" s="116" t="s">
        <v>604</v>
      </c>
      <c r="C463" s="135">
        <v>55</v>
      </c>
      <c r="D463" s="102">
        <f t="shared" ref="D463:S463" si="515">D747</f>
        <v>2</v>
      </c>
      <c r="E463" s="102">
        <f t="shared" si="515"/>
        <v>0</v>
      </c>
      <c r="F463" s="102">
        <f t="shared" si="515"/>
        <v>0</v>
      </c>
      <c r="G463" s="102">
        <f t="shared" si="515"/>
        <v>0</v>
      </c>
      <c r="H463" s="102">
        <f t="shared" ref="H463" si="516">H747</f>
        <v>0</v>
      </c>
      <c r="I463" s="102">
        <f t="shared" si="515"/>
        <v>0</v>
      </c>
      <c r="J463" s="102">
        <f t="shared" si="515"/>
        <v>0</v>
      </c>
      <c r="K463" s="208">
        <f t="shared" ref="K463:N463" si="517">K747</f>
        <v>0</v>
      </c>
      <c r="L463" s="102">
        <f t="shared" si="517"/>
        <v>0</v>
      </c>
      <c r="M463" s="102">
        <f t="shared" si="517"/>
        <v>0</v>
      </c>
      <c r="N463" s="102">
        <f t="shared" si="517"/>
        <v>0</v>
      </c>
      <c r="O463" s="30">
        <f t="shared" si="509"/>
        <v>0</v>
      </c>
      <c r="P463" s="100">
        <f t="shared" si="512"/>
        <v>0</v>
      </c>
      <c r="Q463" s="102">
        <f t="shared" si="515"/>
        <v>0</v>
      </c>
      <c r="R463" s="102">
        <f t="shared" si="515"/>
        <v>0</v>
      </c>
      <c r="S463" s="102">
        <f t="shared" si="515"/>
        <v>0</v>
      </c>
    </row>
    <row r="464" spans="1:19" ht="14.25">
      <c r="A464" s="12"/>
      <c r="B464" s="116" t="s">
        <v>160</v>
      </c>
      <c r="C464" s="135">
        <v>57</v>
      </c>
      <c r="D464" s="102">
        <f t="shared" ref="D464:S464" si="518">D481+D748</f>
        <v>8886.4599999999991</v>
      </c>
      <c r="E464" s="102">
        <f t="shared" si="518"/>
        <v>14324.23</v>
      </c>
      <c r="F464" s="102">
        <f t="shared" si="518"/>
        <v>16925</v>
      </c>
      <c r="G464" s="102">
        <f t="shared" si="518"/>
        <v>14324</v>
      </c>
      <c r="H464" s="102">
        <f t="shared" si="518"/>
        <v>7753.8</v>
      </c>
      <c r="I464" s="102">
        <f t="shared" si="518"/>
        <v>18239</v>
      </c>
      <c r="J464" s="102">
        <f t="shared" si="518"/>
        <v>14628</v>
      </c>
      <c r="K464" s="208">
        <f t="shared" ref="K464:N464" si="519">K481+K748</f>
        <v>4450</v>
      </c>
      <c r="L464" s="102">
        <f t="shared" si="519"/>
        <v>3053</v>
      </c>
      <c r="M464" s="102">
        <f t="shared" si="519"/>
        <v>4680</v>
      </c>
      <c r="N464" s="102">
        <f t="shared" si="519"/>
        <v>2445</v>
      </c>
      <c r="O464" s="30">
        <f t="shared" si="509"/>
        <v>14628</v>
      </c>
      <c r="P464" s="100">
        <f t="shared" si="512"/>
        <v>0</v>
      </c>
      <c r="Q464" s="102">
        <f t="shared" si="518"/>
        <v>19746</v>
      </c>
      <c r="R464" s="102">
        <f t="shared" si="518"/>
        <v>4405</v>
      </c>
      <c r="S464" s="102">
        <f t="shared" si="518"/>
        <v>4405</v>
      </c>
    </row>
    <row r="465" spans="1:19" ht="14.25" customHeight="1">
      <c r="A465" s="12"/>
      <c r="B465" s="116" t="s">
        <v>161</v>
      </c>
      <c r="C465" s="135">
        <v>59</v>
      </c>
      <c r="D465" s="102">
        <f t="shared" ref="D465:S465" si="520">D641+D749+D506+D482</f>
        <v>14115.74</v>
      </c>
      <c r="E465" s="102">
        <f t="shared" si="520"/>
        <v>15411.6</v>
      </c>
      <c r="F465" s="102">
        <f t="shared" si="520"/>
        <v>15672</v>
      </c>
      <c r="G465" s="102">
        <f t="shared" si="520"/>
        <v>15411</v>
      </c>
      <c r="H465" s="102">
        <f t="shared" si="520"/>
        <v>14130</v>
      </c>
      <c r="I465" s="102">
        <f t="shared" si="520"/>
        <v>14539</v>
      </c>
      <c r="J465" s="102">
        <f t="shared" si="520"/>
        <v>14419</v>
      </c>
      <c r="K465" s="208">
        <f t="shared" ref="K465:N465" si="521">K641+K749+K506+K482</f>
        <v>3405</v>
      </c>
      <c r="L465" s="102">
        <f t="shared" si="521"/>
        <v>3805</v>
      </c>
      <c r="M465" s="102">
        <f t="shared" si="521"/>
        <v>3805</v>
      </c>
      <c r="N465" s="102">
        <f t="shared" si="521"/>
        <v>3404</v>
      </c>
      <c r="O465" s="30">
        <f t="shared" si="509"/>
        <v>14419</v>
      </c>
      <c r="P465" s="100">
        <f t="shared" si="512"/>
        <v>0</v>
      </c>
      <c r="Q465" s="102">
        <f t="shared" si="520"/>
        <v>14119</v>
      </c>
      <c r="R465" s="102">
        <f t="shared" si="520"/>
        <v>14119</v>
      </c>
      <c r="S465" s="102">
        <f t="shared" si="520"/>
        <v>14119</v>
      </c>
    </row>
    <row r="466" spans="1:19" ht="14.25" customHeight="1">
      <c r="A466" s="12"/>
      <c r="B466" s="116" t="s">
        <v>163</v>
      </c>
      <c r="C466" s="37" t="s">
        <v>251</v>
      </c>
      <c r="D466" s="102">
        <f>D483+D642+D750+D844+D928</f>
        <v>-432.67</v>
      </c>
      <c r="E466" s="102">
        <f t="shared" ref="E466:S466" si="522">E483+E642+E750+E928</f>
        <v>-1319.08</v>
      </c>
      <c r="F466" s="102">
        <f t="shared" si="522"/>
        <v>0</v>
      </c>
      <c r="G466" s="102">
        <f t="shared" si="522"/>
        <v>-1319.23</v>
      </c>
      <c r="H466" s="102">
        <f t="shared" si="522"/>
        <v>-1463.6</v>
      </c>
      <c r="I466" s="102">
        <f t="shared" si="522"/>
        <v>0</v>
      </c>
      <c r="J466" s="102">
        <f t="shared" si="522"/>
        <v>0</v>
      </c>
      <c r="K466" s="208">
        <f t="shared" ref="K466:N466" si="523">K483+K642+K750+K928</f>
        <v>0</v>
      </c>
      <c r="L466" s="102">
        <f t="shared" si="523"/>
        <v>0</v>
      </c>
      <c r="M466" s="102">
        <f t="shared" si="523"/>
        <v>0</v>
      </c>
      <c r="N466" s="102">
        <f t="shared" si="523"/>
        <v>0</v>
      </c>
      <c r="O466" s="30">
        <f t="shared" si="509"/>
        <v>0</v>
      </c>
      <c r="P466" s="100">
        <f t="shared" si="512"/>
        <v>0</v>
      </c>
      <c r="Q466" s="102">
        <f t="shared" si="522"/>
        <v>0</v>
      </c>
      <c r="R466" s="102">
        <f t="shared" si="522"/>
        <v>0</v>
      </c>
      <c r="S466" s="102">
        <f t="shared" si="522"/>
        <v>0</v>
      </c>
    </row>
    <row r="467" spans="1:19" ht="14.25" customHeight="1">
      <c r="A467" s="12"/>
      <c r="B467" s="129" t="s">
        <v>164</v>
      </c>
      <c r="C467" s="135"/>
      <c r="D467" s="138">
        <f t="shared" ref="D467:S467" si="524">D484+D580+D643+D751+D619+D622+D625+D628+D631+D634</f>
        <v>7555.18</v>
      </c>
      <c r="E467" s="138">
        <f t="shared" si="524"/>
        <v>41488.199999999997</v>
      </c>
      <c r="F467" s="138">
        <f t="shared" si="524"/>
        <v>30341</v>
      </c>
      <c r="G467" s="138">
        <f t="shared" si="524"/>
        <v>41488.400000000001</v>
      </c>
      <c r="H467" s="138">
        <f t="shared" si="524"/>
        <v>16640.75</v>
      </c>
      <c r="I467" s="138">
        <f t="shared" si="524"/>
        <v>41546</v>
      </c>
      <c r="J467" s="138">
        <f t="shared" si="524"/>
        <v>51612</v>
      </c>
      <c r="K467" s="206">
        <f t="shared" ref="K467:N467" si="525">K484+K580+K643+K751+K619+K622+K625+K628+K631+K634</f>
        <v>13226</v>
      </c>
      <c r="L467" s="138">
        <f t="shared" si="525"/>
        <v>14531</v>
      </c>
      <c r="M467" s="138">
        <f t="shared" si="525"/>
        <v>14728</v>
      </c>
      <c r="N467" s="138">
        <f t="shared" si="525"/>
        <v>9127</v>
      </c>
      <c r="O467" s="30">
        <f t="shared" si="509"/>
        <v>51612</v>
      </c>
      <c r="P467" s="100">
        <f t="shared" si="512"/>
        <v>0</v>
      </c>
      <c r="Q467" s="138">
        <f t="shared" si="524"/>
        <v>7646</v>
      </c>
      <c r="R467" s="138">
        <f t="shared" si="524"/>
        <v>80</v>
      </c>
      <c r="S467" s="138">
        <f t="shared" si="524"/>
        <v>80</v>
      </c>
    </row>
    <row r="468" spans="1:19" ht="14.25">
      <c r="A468" s="12"/>
      <c r="B468" s="116" t="s">
        <v>252</v>
      </c>
      <c r="C468" s="135" t="s">
        <v>167</v>
      </c>
      <c r="D468" s="102">
        <f t="shared" ref="D468:S468" si="526">D581</f>
        <v>0</v>
      </c>
      <c r="E468" s="102">
        <f t="shared" si="526"/>
        <v>16090</v>
      </c>
      <c r="F468" s="102">
        <f t="shared" si="526"/>
        <v>10000</v>
      </c>
      <c r="G468" s="102">
        <f t="shared" si="526"/>
        <v>16090</v>
      </c>
      <c r="H468" s="102">
        <f t="shared" ref="H468" si="527">H581</f>
        <v>10384</v>
      </c>
      <c r="I468" s="102">
        <f t="shared" si="526"/>
        <v>0</v>
      </c>
      <c r="J468" s="102">
        <f t="shared" si="526"/>
        <v>18258</v>
      </c>
      <c r="K468" s="208">
        <f t="shared" ref="K468:N468" si="528">K581</f>
        <v>1621</v>
      </c>
      <c r="L468" s="102">
        <f t="shared" si="528"/>
        <v>5000</v>
      </c>
      <c r="M468" s="102">
        <f t="shared" si="528"/>
        <v>6000</v>
      </c>
      <c r="N468" s="102">
        <f t="shared" si="528"/>
        <v>5637</v>
      </c>
      <c r="O468" s="30">
        <f t="shared" si="509"/>
        <v>18258</v>
      </c>
      <c r="P468" s="100">
        <f t="shared" si="512"/>
        <v>0</v>
      </c>
      <c r="Q468" s="102">
        <f t="shared" si="526"/>
        <v>0</v>
      </c>
      <c r="R468" s="102">
        <f t="shared" si="526"/>
        <v>0</v>
      </c>
      <c r="S468" s="102">
        <f t="shared" si="526"/>
        <v>0</v>
      </c>
    </row>
    <row r="469" spans="1:19" ht="14.25" customHeight="1">
      <c r="A469" s="12"/>
      <c r="B469" s="116" t="s">
        <v>168</v>
      </c>
      <c r="C469" s="135" t="s">
        <v>169</v>
      </c>
      <c r="D469" s="102">
        <f t="shared" ref="D469:S469" si="529">D582+D620+D623+D626+D629+D632+D635</f>
        <v>0</v>
      </c>
      <c r="E469" s="102">
        <f t="shared" si="529"/>
        <v>875</v>
      </c>
      <c r="F469" s="102">
        <f t="shared" si="529"/>
        <v>0</v>
      </c>
      <c r="G469" s="102">
        <f t="shared" si="529"/>
        <v>875</v>
      </c>
      <c r="H469" s="102">
        <f t="shared" si="529"/>
        <v>0</v>
      </c>
      <c r="I469" s="102">
        <f t="shared" si="529"/>
        <v>331</v>
      </c>
      <c r="J469" s="102">
        <f t="shared" si="529"/>
        <v>0</v>
      </c>
      <c r="K469" s="208">
        <f t="shared" ref="K469:N469" si="530">K582+K620+K623+K626+K629+K632+K635</f>
        <v>0</v>
      </c>
      <c r="L469" s="102">
        <f t="shared" si="530"/>
        <v>0</v>
      </c>
      <c r="M469" s="102">
        <f t="shared" si="530"/>
        <v>0</v>
      </c>
      <c r="N469" s="102">
        <f t="shared" si="530"/>
        <v>0</v>
      </c>
      <c r="O469" s="30">
        <f t="shared" si="509"/>
        <v>0</v>
      </c>
      <c r="P469" s="100">
        <f t="shared" si="512"/>
        <v>0</v>
      </c>
      <c r="Q469" s="102">
        <f t="shared" si="529"/>
        <v>0</v>
      </c>
      <c r="R469" s="102">
        <f t="shared" si="529"/>
        <v>0</v>
      </c>
      <c r="S469" s="102">
        <f t="shared" si="529"/>
        <v>0</v>
      </c>
    </row>
    <row r="470" spans="1:19" ht="14.25">
      <c r="A470" s="12"/>
      <c r="B470" s="116" t="s">
        <v>170</v>
      </c>
      <c r="C470" s="135" t="s">
        <v>171</v>
      </c>
      <c r="D470" s="102">
        <f t="shared" ref="D470:S470" si="531">D644+D752</f>
        <v>851</v>
      </c>
      <c r="E470" s="102">
        <f t="shared" si="531"/>
        <v>3993.9</v>
      </c>
      <c r="F470" s="102">
        <f t="shared" si="531"/>
        <v>44</v>
      </c>
      <c r="G470" s="102">
        <f t="shared" si="531"/>
        <v>3993.9</v>
      </c>
      <c r="H470" s="102">
        <f t="shared" ref="H470" si="532">H644+H752</f>
        <v>614</v>
      </c>
      <c r="I470" s="102">
        <f t="shared" si="531"/>
        <v>8498</v>
      </c>
      <c r="J470" s="102">
        <f t="shared" si="531"/>
        <v>4181</v>
      </c>
      <c r="K470" s="208">
        <f t="shared" ref="K470:N470" si="533">K644+K752</f>
        <v>3480</v>
      </c>
      <c r="L470" s="102">
        <f t="shared" si="533"/>
        <v>251</v>
      </c>
      <c r="M470" s="102">
        <f t="shared" si="533"/>
        <v>150</v>
      </c>
      <c r="N470" s="102">
        <f t="shared" si="533"/>
        <v>300</v>
      </c>
      <c r="O470" s="30">
        <f t="shared" si="509"/>
        <v>4181</v>
      </c>
      <c r="P470" s="100">
        <f t="shared" si="512"/>
        <v>0</v>
      </c>
      <c r="Q470" s="102">
        <f t="shared" si="531"/>
        <v>80</v>
      </c>
      <c r="R470" s="102">
        <f t="shared" si="531"/>
        <v>80</v>
      </c>
      <c r="S470" s="102">
        <f t="shared" si="531"/>
        <v>80</v>
      </c>
    </row>
    <row r="471" spans="1:19" ht="15" hidden="1" customHeight="1">
      <c r="A471" s="12"/>
      <c r="B471" s="116" t="s">
        <v>253</v>
      </c>
      <c r="C471" s="135">
        <v>55</v>
      </c>
      <c r="D471" s="46"/>
      <c r="E471" s="30"/>
      <c r="F471" s="46"/>
      <c r="G471" s="30"/>
      <c r="H471" s="30"/>
      <c r="I471" s="30"/>
      <c r="J471" s="30"/>
      <c r="K471" s="64"/>
      <c r="L471" s="30"/>
      <c r="M471" s="30"/>
      <c r="N471" s="30"/>
      <c r="O471" s="30">
        <f t="shared" si="509"/>
        <v>0</v>
      </c>
      <c r="P471" s="100">
        <f t="shared" si="512"/>
        <v>0</v>
      </c>
      <c r="Q471" s="30"/>
      <c r="R471" s="30"/>
      <c r="S471" s="30"/>
    </row>
    <row r="472" spans="1:19" ht="14.25">
      <c r="A472" s="12"/>
      <c r="B472" s="129" t="s">
        <v>173</v>
      </c>
      <c r="C472" s="135">
        <v>56</v>
      </c>
      <c r="D472" s="102">
        <f t="shared" ref="D472:S472" si="534">D485+D646+D753</f>
        <v>85</v>
      </c>
      <c r="E472" s="102">
        <f t="shared" si="534"/>
        <v>0</v>
      </c>
      <c r="F472" s="102">
        <f t="shared" si="534"/>
        <v>0</v>
      </c>
      <c r="G472" s="102">
        <f t="shared" si="534"/>
        <v>0</v>
      </c>
      <c r="H472" s="102">
        <f t="shared" si="534"/>
        <v>0</v>
      </c>
      <c r="I472" s="102">
        <f t="shared" si="534"/>
        <v>0</v>
      </c>
      <c r="J472" s="102">
        <f t="shared" si="534"/>
        <v>0</v>
      </c>
      <c r="K472" s="208">
        <f t="shared" ref="K472:N472" si="535">K485+K646+K753</f>
        <v>0</v>
      </c>
      <c r="L472" s="102">
        <f t="shared" si="535"/>
        <v>0</v>
      </c>
      <c r="M472" s="102">
        <f t="shared" si="535"/>
        <v>0</v>
      </c>
      <c r="N472" s="102">
        <f t="shared" si="535"/>
        <v>0</v>
      </c>
      <c r="O472" s="30">
        <f t="shared" si="509"/>
        <v>0</v>
      </c>
      <c r="P472" s="100">
        <f t="shared" si="512"/>
        <v>0</v>
      </c>
      <c r="Q472" s="102">
        <f t="shared" si="534"/>
        <v>0</v>
      </c>
      <c r="R472" s="102">
        <f t="shared" si="534"/>
        <v>0</v>
      </c>
      <c r="S472" s="102">
        <f t="shared" si="534"/>
        <v>0</v>
      </c>
    </row>
    <row r="473" spans="1:19" ht="14.25">
      <c r="A473" s="12"/>
      <c r="B473" s="129" t="s">
        <v>173</v>
      </c>
      <c r="C473" s="135">
        <v>58</v>
      </c>
      <c r="D473" s="102">
        <f t="shared" ref="D473:S473" si="536">D754</f>
        <v>5658.6800000000012</v>
      </c>
      <c r="E473" s="102">
        <f t="shared" si="536"/>
        <v>20297</v>
      </c>
      <c r="F473" s="102">
        <f t="shared" si="536"/>
        <v>20297</v>
      </c>
      <c r="G473" s="102">
        <f t="shared" si="536"/>
        <v>20297</v>
      </c>
      <c r="H473" s="102">
        <f t="shared" ref="H473" si="537">H754</f>
        <v>5435.7500000000009</v>
      </c>
      <c r="I473" s="102">
        <f t="shared" si="536"/>
        <v>31255</v>
      </c>
      <c r="J473" s="102">
        <f t="shared" si="536"/>
        <v>28871</v>
      </c>
      <c r="K473" s="208">
        <f t="shared" ref="K473:N473" si="538">K754</f>
        <v>8052</v>
      </c>
      <c r="L473" s="102">
        <f t="shared" si="538"/>
        <v>9051</v>
      </c>
      <c r="M473" s="102">
        <f t="shared" si="538"/>
        <v>8578</v>
      </c>
      <c r="N473" s="102">
        <f t="shared" si="538"/>
        <v>3190</v>
      </c>
      <c r="O473" s="30">
        <f t="shared" si="509"/>
        <v>28871</v>
      </c>
      <c r="P473" s="100">
        <f t="shared" si="512"/>
        <v>0</v>
      </c>
      <c r="Q473" s="102">
        <f t="shared" si="536"/>
        <v>7566</v>
      </c>
      <c r="R473" s="102">
        <f t="shared" si="536"/>
        <v>0</v>
      </c>
      <c r="S473" s="102">
        <f t="shared" si="536"/>
        <v>0</v>
      </c>
    </row>
    <row r="474" spans="1:19" ht="14.25">
      <c r="A474" s="12"/>
      <c r="B474" s="116" t="s">
        <v>193</v>
      </c>
      <c r="C474" s="135">
        <v>70</v>
      </c>
      <c r="D474" s="102">
        <f t="shared" ref="D474:S474" si="539">D486+D755</f>
        <v>960.5</v>
      </c>
      <c r="E474" s="102">
        <f t="shared" si="539"/>
        <v>232.3</v>
      </c>
      <c r="F474" s="102">
        <f t="shared" si="539"/>
        <v>0</v>
      </c>
      <c r="G474" s="102">
        <f t="shared" si="539"/>
        <v>232.5</v>
      </c>
      <c r="H474" s="102">
        <f t="shared" si="539"/>
        <v>207</v>
      </c>
      <c r="I474" s="102">
        <f t="shared" si="539"/>
        <v>1462</v>
      </c>
      <c r="J474" s="102">
        <f t="shared" si="539"/>
        <v>302</v>
      </c>
      <c r="K474" s="208">
        <f t="shared" ref="K474:N474" si="540">K486+K755</f>
        <v>73</v>
      </c>
      <c r="L474" s="102">
        <f t="shared" si="540"/>
        <v>229</v>
      </c>
      <c r="M474" s="102">
        <f t="shared" si="540"/>
        <v>0</v>
      </c>
      <c r="N474" s="102">
        <f t="shared" si="540"/>
        <v>0</v>
      </c>
      <c r="O474" s="30">
        <f t="shared" si="509"/>
        <v>302</v>
      </c>
      <c r="P474" s="100">
        <f t="shared" si="512"/>
        <v>0</v>
      </c>
      <c r="Q474" s="102">
        <f t="shared" si="539"/>
        <v>0</v>
      </c>
      <c r="R474" s="102">
        <f t="shared" si="539"/>
        <v>0</v>
      </c>
      <c r="S474" s="102">
        <f t="shared" si="539"/>
        <v>0</v>
      </c>
    </row>
    <row r="475" spans="1:19" ht="14.25">
      <c r="A475" s="180">
        <v>1</v>
      </c>
      <c r="B475" s="241" t="s">
        <v>588</v>
      </c>
      <c r="C475" s="242" t="s">
        <v>254</v>
      </c>
      <c r="D475" s="140">
        <f t="shared" ref="D475:S477" si="541">D487+D558</f>
        <v>9171.73</v>
      </c>
      <c r="E475" s="140">
        <f t="shared" si="541"/>
        <v>13490</v>
      </c>
      <c r="F475" s="140">
        <f t="shared" si="541"/>
        <v>15686</v>
      </c>
      <c r="G475" s="140">
        <f t="shared" si="541"/>
        <v>13490</v>
      </c>
      <c r="H475" s="140">
        <f t="shared" ref="H475" si="542">H487+H558</f>
        <v>7937</v>
      </c>
      <c r="I475" s="140">
        <f t="shared" si="541"/>
        <v>19528</v>
      </c>
      <c r="J475" s="140">
        <f t="shared" si="541"/>
        <v>14467</v>
      </c>
      <c r="K475" s="209">
        <f t="shared" ref="K475:N475" si="543">K487+K558</f>
        <v>4290</v>
      </c>
      <c r="L475" s="140">
        <f t="shared" si="543"/>
        <v>2816</v>
      </c>
      <c r="M475" s="140">
        <f t="shared" si="543"/>
        <v>4556</v>
      </c>
      <c r="N475" s="140">
        <f t="shared" si="543"/>
        <v>2805</v>
      </c>
      <c r="O475" s="30">
        <f t="shared" si="509"/>
        <v>14467</v>
      </c>
      <c r="P475" s="100">
        <f t="shared" si="512"/>
        <v>0</v>
      </c>
      <c r="Q475" s="151">
        <f t="shared" si="541"/>
        <v>19910</v>
      </c>
      <c r="R475" s="151">
        <f t="shared" si="541"/>
        <v>4597</v>
      </c>
      <c r="S475" s="151">
        <f t="shared" si="541"/>
        <v>4627</v>
      </c>
    </row>
    <row r="476" spans="1:19" ht="14.25">
      <c r="A476" s="12"/>
      <c r="B476" s="129" t="s">
        <v>152</v>
      </c>
      <c r="C476" s="37"/>
      <c r="D476" s="138">
        <f t="shared" si="541"/>
        <v>8803.42</v>
      </c>
      <c r="E476" s="138">
        <f t="shared" si="541"/>
        <v>13490</v>
      </c>
      <c r="F476" s="138">
        <f t="shared" si="541"/>
        <v>15686</v>
      </c>
      <c r="G476" s="138">
        <f t="shared" si="541"/>
        <v>13490</v>
      </c>
      <c r="H476" s="138">
        <f t="shared" ref="H476" si="544">H488+H559</f>
        <v>7937</v>
      </c>
      <c r="I476" s="138">
        <f t="shared" si="541"/>
        <v>19002</v>
      </c>
      <c r="J476" s="138">
        <f t="shared" si="541"/>
        <v>14394</v>
      </c>
      <c r="K476" s="206">
        <f t="shared" ref="K476:N476" si="545">K488+K559</f>
        <v>4217</v>
      </c>
      <c r="L476" s="138">
        <f t="shared" si="545"/>
        <v>2816</v>
      </c>
      <c r="M476" s="138">
        <f t="shared" si="545"/>
        <v>4556</v>
      </c>
      <c r="N476" s="138">
        <f t="shared" si="545"/>
        <v>2805</v>
      </c>
      <c r="O476" s="30">
        <f t="shared" si="509"/>
        <v>14394</v>
      </c>
      <c r="P476" s="100">
        <f t="shared" si="512"/>
        <v>0</v>
      </c>
      <c r="Q476" s="138">
        <f t="shared" si="541"/>
        <v>19910</v>
      </c>
      <c r="R476" s="138">
        <f t="shared" si="541"/>
        <v>4597</v>
      </c>
      <c r="S476" s="138">
        <f t="shared" si="541"/>
        <v>4627</v>
      </c>
    </row>
    <row r="477" spans="1:19" ht="14.25">
      <c r="A477" s="12"/>
      <c r="B477" s="116" t="s">
        <v>153</v>
      </c>
      <c r="C477" s="135">
        <v>1</v>
      </c>
      <c r="D477" s="138">
        <f t="shared" si="541"/>
        <v>8803.42</v>
      </c>
      <c r="E477" s="138">
        <f t="shared" si="541"/>
        <v>13490</v>
      </c>
      <c r="F477" s="138">
        <f t="shared" si="541"/>
        <v>15686</v>
      </c>
      <c r="G477" s="138">
        <f t="shared" si="541"/>
        <v>13490</v>
      </c>
      <c r="H477" s="138">
        <f t="shared" ref="H477" si="546">H489+H560</f>
        <v>7937</v>
      </c>
      <c r="I477" s="138">
        <f t="shared" si="541"/>
        <v>19002</v>
      </c>
      <c r="J477" s="138">
        <f t="shared" si="541"/>
        <v>14394</v>
      </c>
      <c r="K477" s="206">
        <f t="shared" ref="K477:N477" si="547">K489+K560</f>
        <v>4217</v>
      </c>
      <c r="L477" s="138">
        <f t="shared" si="547"/>
        <v>2816</v>
      </c>
      <c r="M477" s="138">
        <f t="shared" si="547"/>
        <v>4556</v>
      </c>
      <c r="N477" s="138">
        <f t="shared" si="547"/>
        <v>2805</v>
      </c>
      <c r="O477" s="30">
        <f t="shared" si="509"/>
        <v>14394</v>
      </c>
      <c r="P477" s="100">
        <f t="shared" si="512"/>
        <v>0</v>
      </c>
      <c r="Q477" s="138">
        <f t="shared" si="541"/>
        <v>19910</v>
      </c>
      <c r="R477" s="138">
        <f t="shared" si="541"/>
        <v>4597</v>
      </c>
      <c r="S477" s="138">
        <f t="shared" si="541"/>
        <v>4627</v>
      </c>
    </row>
    <row r="478" spans="1:19" ht="14.25">
      <c r="A478" s="12"/>
      <c r="B478" s="116" t="s">
        <v>154</v>
      </c>
      <c r="C478" s="135">
        <v>10</v>
      </c>
      <c r="D478" s="138">
        <f t="shared" ref="D478:S478" si="548">D490</f>
        <v>257.08</v>
      </c>
      <c r="E478" s="138">
        <f t="shared" si="548"/>
        <v>347</v>
      </c>
      <c r="F478" s="138">
        <f t="shared" si="548"/>
        <v>200</v>
      </c>
      <c r="G478" s="138">
        <f t="shared" si="548"/>
        <v>347</v>
      </c>
      <c r="H478" s="138">
        <f t="shared" ref="H478" si="549">H490</f>
        <v>347</v>
      </c>
      <c r="I478" s="138">
        <f t="shared" si="548"/>
        <v>456</v>
      </c>
      <c r="J478" s="138">
        <f t="shared" si="548"/>
        <v>400</v>
      </c>
      <c r="K478" s="206">
        <f t="shared" ref="K478:N478" si="550">K490</f>
        <v>101</v>
      </c>
      <c r="L478" s="138">
        <f t="shared" si="550"/>
        <v>99</v>
      </c>
      <c r="M478" s="138">
        <f t="shared" si="550"/>
        <v>101</v>
      </c>
      <c r="N478" s="138">
        <f t="shared" si="550"/>
        <v>99</v>
      </c>
      <c r="O478" s="30">
        <f t="shared" si="509"/>
        <v>400</v>
      </c>
      <c r="P478" s="100">
        <f t="shared" si="512"/>
        <v>0</v>
      </c>
      <c r="Q478" s="138">
        <f t="shared" si="548"/>
        <v>419</v>
      </c>
      <c r="R478" s="138">
        <f t="shared" si="548"/>
        <v>424</v>
      </c>
      <c r="S478" s="138">
        <f t="shared" si="548"/>
        <v>429</v>
      </c>
    </row>
    <row r="479" spans="1:19" ht="14.25">
      <c r="A479" s="12"/>
      <c r="B479" s="116" t="s">
        <v>581</v>
      </c>
      <c r="C479" s="135">
        <v>20</v>
      </c>
      <c r="D479" s="138">
        <f t="shared" ref="D479:S479" si="551">D492</f>
        <v>2295.5299999999997</v>
      </c>
      <c r="E479" s="138">
        <f t="shared" si="551"/>
        <v>1985</v>
      </c>
      <c r="F479" s="138">
        <f t="shared" si="551"/>
        <v>1900</v>
      </c>
      <c r="G479" s="138">
        <f t="shared" si="551"/>
        <v>1985</v>
      </c>
      <c r="H479" s="138">
        <f t="shared" ref="H479" si="552">H492</f>
        <v>1900</v>
      </c>
      <c r="I479" s="138">
        <f t="shared" si="551"/>
        <v>2621</v>
      </c>
      <c r="J479" s="138">
        <f t="shared" si="551"/>
        <v>2100</v>
      </c>
      <c r="K479" s="206">
        <f t="shared" ref="K479:N479" si="553">K492</f>
        <v>526</v>
      </c>
      <c r="L479" s="138">
        <f t="shared" si="553"/>
        <v>524</v>
      </c>
      <c r="M479" s="138">
        <f t="shared" si="553"/>
        <v>525</v>
      </c>
      <c r="N479" s="138">
        <f t="shared" si="553"/>
        <v>525</v>
      </c>
      <c r="O479" s="30">
        <f t="shared" si="509"/>
        <v>2100</v>
      </c>
      <c r="P479" s="100">
        <f t="shared" si="512"/>
        <v>0</v>
      </c>
      <c r="Q479" s="138">
        <f t="shared" si="551"/>
        <v>2379</v>
      </c>
      <c r="R479" s="138">
        <f t="shared" si="551"/>
        <v>2402</v>
      </c>
      <c r="S479" s="138">
        <f t="shared" si="551"/>
        <v>2427</v>
      </c>
    </row>
    <row r="480" spans="1:19" ht="14.25">
      <c r="A480" s="12"/>
      <c r="B480" s="116" t="s">
        <v>158</v>
      </c>
      <c r="C480" s="135">
        <v>51</v>
      </c>
      <c r="D480" s="138">
        <f t="shared" ref="D480:S480" si="554">D561</f>
        <v>0</v>
      </c>
      <c r="E480" s="138">
        <f t="shared" si="554"/>
        <v>0</v>
      </c>
      <c r="F480" s="138">
        <f t="shared" si="554"/>
        <v>0</v>
      </c>
      <c r="G480" s="138">
        <f t="shared" si="554"/>
        <v>0</v>
      </c>
      <c r="H480" s="138">
        <f t="shared" ref="H480" si="555">H561</f>
        <v>0</v>
      </c>
      <c r="I480" s="138">
        <f t="shared" si="554"/>
        <v>0</v>
      </c>
      <c r="J480" s="138">
        <f t="shared" si="554"/>
        <v>0</v>
      </c>
      <c r="K480" s="206">
        <f t="shared" ref="K480:N480" si="556">K561</f>
        <v>0</v>
      </c>
      <c r="L480" s="138">
        <f t="shared" si="556"/>
        <v>0</v>
      </c>
      <c r="M480" s="138">
        <f t="shared" si="556"/>
        <v>0</v>
      </c>
      <c r="N480" s="138">
        <f t="shared" si="556"/>
        <v>0</v>
      </c>
      <c r="O480" s="30">
        <f t="shared" si="509"/>
        <v>0</v>
      </c>
      <c r="P480" s="100">
        <f t="shared" si="512"/>
        <v>0</v>
      </c>
      <c r="Q480" s="138">
        <f t="shared" si="554"/>
        <v>0</v>
      </c>
      <c r="R480" s="138">
        <f t="shared" si="554"/>
        <v>0</v>
      </c>
      <c r="S480" s="138">
        <f t="shared" si="554"/>
        <v>0</v>
      </c>
    </row>
    <row r="481" spans="1:19" ht="14.25" customHeight="1">
      <c r="A481" s="12"/>
      <c r="B481" s="116" t="s">
        <v>160</v>
      </c>
      <c r="C481" s="135">
        <v>57</v>
      </c>
      <c r="D481" s="138">
        <f t="shared" ref="D481:S481" si="557">D493+D562</f>
        <v>6250.8099999999995</v>
      </c>
      <c r="E481" s="138">
        <f t="shared" si="557"/>
        <v>11007</v>
      </c>
      <c r="F481" s="138">
        <f t="shared" si="557"/>
        <v>13435</v>
      </c>
      <c r="G481" s="138">
        <f t="shared" si="557"/>
        <v>11007</v>
      </c>
      <c r="H481" s="138">
        <f t="shared" ref="H481" si="558">H493+H562</f>
        <v>5549</v>
      </c>
      <c r="I481" s="138">
        <f t="shared" si="557"/>
        <v>15505</v>
      </c>
      <c r="J481" s="138">
        <f t="shared" si="557"/>
        <v>11894</v>
      </c>
      <c r="K481" s="206">
        <f t="shared" ref="K481:N481" si="559">K493+K562</f>
        <v>3590</v>
      </c>
      <c r="L481" s="138">
        <f t="shared" si="559"/>
        <v>2193</v>
      </c>
      <c r="M481" s="138">
        <f t="shared" si="559"/>
        <v>3930</v>
      </c>
      <c r="N481" s="138">
        <f t="shared" si="559"/>
        <v>2181</v>
      </c>
      <c r="O481" s="30">
        <f t="shared" si="509"/>
        <v>11894</v>
      </c>
      <c r="P481" s="100">
        <f t="shared" si="512"/>
        <v>0</v>
      </c>
      <c r="Q481" s="138">
        <f t="shared" si="557"/>
        <v>17112</v>
      </c>
      <c r="R481" s="138">
        <f t="shared" si="557"/>
        <v>1771</v>
      </c>
      <c r="S481" s="138">
        <f t="shared" si="557"/>
        <v>1771</v>
      </c>
    </row>
    <row r="482" spans="1:19" ht="14.25" customHeight="1">
      <c r="A482" s="12"/>
      <c r="B482" s="116" t="s">
        <v>177</v>
      </c>
      <c r="C482" s="135">
        <v>59</v>
      </c>
      <c r="D482" s="138">
        <f t="shared" ref="D482:S482" si="560">D494</f>
        <v>0</v>
      </c>
      <c r="E482" s="138">
        <f t="shared" si="560"/>
        <v>151</v>
      </c>
      <c r="F482" s="138">
        <f t="shared" si="560"/>
        <v>151</v>
      </c>
      <c r="G482" s="138">
        <f t="shared" si="560"/>
        <v>151</v>
      </c>
      <c r="H482" s="138">
        <f t="shared" ref="H482" si="561">H494</f>
        <v>141</v>
      </c>
      <c r="I482" s="138">
        <f t="shared" si="560"/>
        <v>420</v>
      </c>
      <c r="J482" s="138">
        <f t="shared" si="560"/>
        <v>0</v>
      </c>
      <c r="K482" s="206">
        <f t="shared" ref="K482:N482" si="562">K494</f>
        <v>0</v>
      </c>
      <c r="L482" s="138">
        <f t="shared" si="562"/>
        <v>0</v>
      </c>
      <c r="M482" s="138">
        <f t="shared" si="562"/>
        <v>0</v>
      </c>
      <c r="N482" s="138">
        <f t="shared" si="562"/>
        <v>0</v>
      </c>
      <c r="O482" s="30">
        <f t="shared" si="509"/>
        <v>0</v>
      </c>
      <c r="P482" s="100">
        <f t="shared" si="512"/>
        <v>0</v>
      </c>
      <c r="Q482" s="138">
        <f t="shared" si="560"/>
        <v>0</v>
      </c>
      <c r="R482" s="138">
        <f t="shared" si="560"/>
        <v>0</v>
      </c>
      <c r="S482" s="138">
        <f t="shared" si="560"/>
        <v>0</v>
      </c>
    </row>
    <row r="483" spans="1:19" ht="14.25">
      <c r="A483" s="12"/>
      <c r="B483" s="116" t="s">
        <v>163</v>
      </c>
      <c r="C483" s="135">
        <v>85.01</v>
      </c>
      <c r="D483" s="138">
        <f t="shared" ref="D483:S483" si="563">D507+D533+D555+D544+D563+D570</f>
        <v>0</v>
      </c>
      <c r="E483" s="138">
        <f t="shared" si="563"/>
        <v>0</v>
      </c>
      <c r="F483" s="138">
        <f t="shared" si="563"/>
        <v>0</v>
      </c>
      <c r="G483" s="138">
        <f t="shared" si="563"/>
        <v>0</v>
      </c>
      <c r="H483" s="138">
        <f t="shared" ref="H483" si="564">H507+H533+H555+H544+H563+H570</f>
        <v>0</v>
      </c>
      <c r="I483" s="138">
        <f t="shared" si="563"/>
        <v>0</v>
      </c>
      <c r="J483" s="138">
        <f t="shared" si="563"/>
        <v>0</v>
      </c>
      <c r="K483" s="206">
        <f t="shared" ref="K483:N483" si="565">K507+K533+K555+K544+K563+K570</f>
        <v>0</v>
      </c>
      <c r="L483" s="138">
        <f t="shared" si="565"/>
        <v>0</v>
      </c>
      <c r="M483" s="138">
        <f t="shared" si="565"/>
        <v>0</v>
      </c>
      <c r="N483" s="138">
        <f t="shared" si="565"/>
        <v>0</v>
      </c>
      <c r="O483" s="30">
        <f t="shared" si="509"/>
        <v>0</v>
      </c>
      <c r="P483" s="100">
        <f t="shared" si="512"/>
        <v>0</v>
      </c>
      <c r="Q483" s="138">
        <f t="shared" si="563"/>
        <v>0</v>
      </c>
      <c r="R483" s="138">
        <f t="shared" si="563"/>
        <v>0</v>
      </c>
      <c r="S483" s="138">
        <f t="shared" si="563"/>
        <v>0</v>
      </c>
    </row>
    <row r="484" spans="1:19" ht="14.25">
      <c r="A484" s="12"/>
      <c r="B484" s="129" t="s">
        <v>164</v>
      </c>
      <c r="C484" s="135"/>
      <c r="D484" s="138">
        <f t="shared" ref="D484:S484" si="566">D495</f>
        <v>368.31</v>
      </c>
      <c r="E484" s="138">
        <f t="shared" si="566"/>
        <v>0</v>
      </c>
      <c r="F484" s="138">
        <f t="shared" si="566"/>
        <v>0</v>
      </c>
      <c r="G484" s="138">
        <f t="shared" si="566"/>
        <v>0</v>
      </c>
      <c r="H484" s="138">
        <f t="shared" ref="H484" si="567">H495</f>
        <v>0</v>
      </c>
      <c r="I484" s="138">
        <f t="shared" si="566"/>
        <v>526</v>
      </c>
      <c r="J484" s="138">
        <f t="shared" si="566"/>
        <v>73</v>
      </c>
      <c r="K484" s="206">
        <f t="shared" ref="K484:N484" si="568">K495</f>
        <v>73</v>
      </c>
      <c r="L484" s="138">
        <f t="shared" si="568"/>
        <v>0</v>
      </c>
      <c r="M484" s="138">
        <f t="shared" si="568"/>
        <v>0</v>
      </c>
      <c r="N484" s="138">
        <f t="shared" si="568"/>
        <v>0</v>
      </c>
      <c r="O484" s="30">
        <f t="shared" si="509"/>
        <v>73</v>
      </c>
      <c r="P484" s="100">
        <f t="shared" si="512"/>
        <v>0</v>
      </c>
      <c r="Q484" s="138">
        <f t="shared" si="566"/>
        <v>0</v>
      </c>
      <c r="R484" s="138">
        <f t="shared" si="566"/>
        <v>0</v>
      </c>
      <c r="S484" s="138">
        <f t="shared" si="566"/>
        <v>0</v>
      </c>
    </row>
    <row r="485" spans="1:19" ht="0.75" customHeight="1">
      <c r="A485" s="12"/>
      <c r="B485" s="129" t="s">
        <v>173</v>
      </c>
      <c r="C485" s="135">
        <v>56</v>
      </c>
      <c r="D485" s="46"/>
      <c r="E485" s="30"/>
      <c r="F485" s="46"/>
      <c r="G485" s="30"/>
      <c r="H485" s="30"/>
      <c r="I485" s="30"/>
      <c r="J485" s="30"/>
      <c r="K485" s="64"/>
      <c r="L485" s="30"/>
      <c r="M485" s="30"/>
      <c r="N485" s="30"/>
      <c r="O485" s="30">
        <f t="shared" si="509"/>
        <v>0</v>
      </c>
      <c r="P485" s="100">
        <f t="shared" si="512"/>
        <v>0</v>
      </c>
      <c r="Q485" s="30"/>
      <c r="R485" s="30"/>
      <c r="S485" s="30"/>
    </row>
    <row r="486" spans="1:19" ht="14.25">
      <c r="A486" s="12"/>
      <c r="B486" s="116" t="s">
        <v>193</v>
      </c>
      <c r="C486" s="135">
        <v>70</v>
      </c>
      <c r="D486" s="138">
        <f t="shared" ref="D486:S486" si="569">D497</f>
        <v>368.31</v>
      </c>
      <c r="E486" s="138">
        <f t="shared" si="569"/>
        <v>0</v>
      </c>
      <c r="F486" s="138">
        <f t="shared" si="569"/>
        <v>0</v>
      </c>
      <c r="G486" s="138">
        <f t="shared" si="569"/>
        <v>0</v>
      </c>
      <c r="H486" s="138">
        <f t="shared" ref="H486" si="570">H497</f>
        <v>0</v>
      </c>
      <c r="I486" s="138">
        <f t="shared" si="569"/>
        <v>526</v>
      </c>
      <c r="J486" s="138">
        <f t="shared" si="569"/>
        <v>73</v>
      </c>
      <c r="K486" s="206">
        <f t="shared" ref="K486:N486" si="571">K497</f>
        <v>73</v>
      </c>
      <c r="L486" s="138">
        <f t="shared" si="571"/>
        <v>0</v>
      </c>
      <c r="M486" s="138">
        <f t="shared" si="571"/>
        <v>0</v>
      </c>
      <c r="N486" s="138">
        <f t="shared" si="571"/>
        <v>0</v>
      </c>
      <c r="O486" s="30">
        <f t="shared" si="509"/>
        <v>73</v>
      </c>
      <c r="P486" s="100">
        <f t="shared" si="512"/>
        <v>0</v>
      </c>
      <c r="Q486" s="138">
        <f t="shared" si="569"/>
        <v>0</v>
      </c>
      <c r="R486" s="138">
        <f t="shared" si="569"/>
        <v>0</v>
      </c>
      <c r="S486" s="138">
        <f t="shared" si="569"/>
        <v>0</v>
      </c>
    </row>
    <row r="487" spans="1:19" ht="14.25">
      <c r="A487" s="12" t="s">
        <v>255</v>
      </c>
      <c r="B487" s="33" t="s">
        <v>589</v>
      </c>
      <c r="C487" s="135" t="s">
        <v>256</v>
      </c>
      <c r="D487" s="138">
        <f t="shared" ref="D487:S488" si="572">D498+D514+D525+D536+D547+D564</f>
        <v>3941.19</v>
      </c>
      <c r="E487" s="138">
        <f t="shared" si="572"/>
        <v>4024</v>
      </c>
      <c r="F487" s="138">
        <f t="shared" si="572"/>
        <v>3784</v>
      </c>
      <c r="G487" s="138">
        <f t="shared" si="572"/>
        <v>4024</v>
      </c>
      <c r="H487" s="138">
        <f t="shared" ref="H487" si="573">H498+H514+H525+H536+H547+H564</f>
        <v>3689</v>
      </c>
      <c r="I487" s="138">
        <f t="shared" si="572"/>
        <v>6028</v>
      </c>
      <c r="J487" s="138">
        <f t="shared" si="572"/>
        <v>4344</v>
      </c>
      <c r="K487" s="206">
        <f t="shared" ref="K487:N487" si="574">K498+K514+K525+K536+K547+K564</f>
        <v>1140</v>
      </c>
      <c r="L487" s="138">
        <f t="shared" si="574"/>
        <v>1066</v>
      </c>
      <c r="M487" s="138">
        <f t="shared" si="574"/>
        <v>1069</v>
      </c>
      <c r="N487" s="138">
        <f t="shared" si="574"/>
        <v>1069</v>
      </c>
      <c r="O487" s="30">
        <f t="shared" si="509"/>
        <v>4344</v>
      </c>
      <c r="P487" s="100">
        <f t="shared" si="512"/>
        <v>0</v>
      </c>
      <c r="Q487" s="138">
        <f t="shared" si="572"/>
        <v>4569</v>
      </c>
      <c r="R487" s="138">
        <f t="shared" si="572"/>
        <v>4597</v>
      </c>
      <c r="S487" s="138">
        <f t="shared" si="572"/>
        <v>4627</v>
      </c>
    </row>
    <row r="488" spans="1:19" ht="14.25">
      <c r="A488" s="12"/>
      <c r="B488" s="129" t="s">
        <v>152</v>
      </c>
      <c r="C488" s="135"/>
      <c r="D488" s="138">
        <f t="shared" si="572"/>
        <v>3572.88</v>
      </c>
      <c r="E488" s="138">
        <f t="shared" si="572"/>
        <v>4024</v>
      </c>
      <c r="F488" s="138">
        <f t="shared" si="572"/>
        <v>3784</v>
      </c>
      <c r="G488" s="138">
        <f t="shared" si="572"/>
        <v>4024</v>
      </c>
      <c r="H488" s="138">
        <f t="shared" ref="H488" si="575">H499+H515+H526+H537+H548+H565</f>
        <v>3689</v>
      </c>
      <c r="I488" s="138">
        <f t="shared" si="572"/>
        <v>5502</v>
      </c>
      <c r="J488" s="138">
        <f t="shared" si="572"/>
        <v>4271</v>
      </c>
      <c r="K488" s="206">
        <f t="shared" ref="K488:N488" si="576">K499+K515+K526+K537+K548+K565</f>
        <v>1067</v>
      </c>
      <c r="L488" s="138">
        <f t="shared" si="576"/>
        <v>1066</v>
      </c>
      <c r="M488" s="138">
        <f t="shared" si="576"/>
        <v>1069</v>
      </c>
      <c r="N488" s="138">
        <f t="shared" si="576"/>
        <v>1069</v>
      </c>
      <c r="O488" s="30">
        <f t="shared" si="509"/>
        <v>4271</v>
      </c>
      <c r="P488" s="100">
        <f t="shared" si="512"/>
        <v>0</v>
      </c>
      <c r="Q488" s="138">
        <f t="shared" si="572"/>
        <v>4569</v>
      </c>
      <c r="R488" s="138">
        <f t="shared" si="572"/>
        <v>4597</v>
      </c>
      <c r="S488" s="138">
        <f t="shared" si="572"/>
        <v>4627</v>
      </c>
    </row>
    <row r="489" spans="1:19" ht="14.25">
      <c r="A489" s="12"/>
      <c r="B489" s="116" t="s">
        <v>153</v>
      </c>
      <c r="C489" s="135">
        <v>1</v>
      </c>
      <c r="D489" s="102">
        <f t="shared" ref="D489:S489" si="577">D500+D516+D526+D537+D548+D565</f>
        <v>3572.88</v>
      </c>
      <c r="E489" s="102">
        <f t="shared" si="577"/>
        <v>4024</v>
      </c>
      <c r="F489" s="102">
        <f t="shared" si="577"/>
        <v>3784</v>
      </c>
      <c r="G489" s="102">
        <f t="shared" si="577"/>
        <v>4024</v>
      </c>
      <c r="H489" s="102">
        <f t="shared" ref="H489" si="578">H500+H516+H526+H537+H548+H565</f>
        <v>3689</v>
      </c>
      <c r="I489" s="102">
        <f t="shared" si="577"/>
        <v>5502</v>
      </c>
      <c r="J489" s="102">
        <f t="shared" si="577"/>
        <v>4271</v>
      </c>
      <c r="K489" s="208">
        <f t="shared" ref="K489:N489" si="579">K500+K516+K526+K537+K548+K565</f>
        <v>1067</v>
      </c>
      <c r="L489" s="102">
        <f t="shared" si="579"/>
        <v>1066</v>
      </c>
      <c r="M489" s="102">
        <f t="shared" si="579"/>
        <v>1069</v>
      </c>
      <c r="N489" s="102">
        <f t="shared" si="579"/>
        <v>1069</v>
      </c>
      <c r="O489" s="30">
        <f t="shared" si="509"/>
        <v>4271</v>
      </c>
      <c r="P489" s="100">
        <f t="shared" si="512"/>
        <v>0</v>
      </c>
      <c r="Q489" s="102">
        <f t="shared" si="577"/>
        <v>4569</v>
      </c>
      <c r="R489" s="102">
        <f t="shared" si="577"/>
        <v>4597</v>
      </c>
      <c r="S489" s="102">
        <f t="shared" si="577"/>
        <v>4627</v>
      </c>
    </row>
    <row r="490" spans="1:19" ht="14.25">
      <c r="A490" s="12"/>
      <c r="B490" s="116" t="s">
        <v>571</v>
      </c>
      <c r="C490" s="135">
        <v>10</v>
      </c>
      <c r="D490" s="102">
        <f t="shared" ref="D490:S490" si="580">D501+D517+D528+D539+D550+D567</f>
        <v>257.08</v>
      </c>
      <c r="E490" s="102">
        <f t="shared" si="580"/>
        <v>347</v>
      </c>
      <c r="F490" s="102">
        <f t="shared" si="580"/>
        <v>200</v>
      </c>
      <c r="G490" s="102">
        <f t="shared" si="580"/>
        <v>347</v>
      </c>
      <c r="H490" s="102">
        <f t="shared" ref="H490" si="581">H501+H517+H528+H539+H550+H567</f>
        <v>347</v>
      </c>
      <c r="I490" s="102">
        <f t="shared" si="580"/>
        <v>456</v>
      </c>
      <c r="J490" s="102">
        <f t="shared" si="580"/>
        <v>400</v>
      </c>
      <c r="K490" s="208">
        <f t="shared" ref="K490:N490" si="582">K501+K517+K528+K539+K550+K567</f>
        <v>101</v>
      </c>
      <c r="L490" s="102">
        <f t="shared" si="582"/>
        <v>99</v>
      </c>
      <c r="M490" s="102">
        <f t="shared" si="582"/>
        <v>101</v>
      </c>
      <c r="N490" s="102">
        <f t="shared" si="582"/>
        <v>99</v>
      </c>
      <c r="O490" s="30">
        <f t="shared" si="509"/>
        <v>400</v>
      </c>
      <c r="P490" s="100">
        <f t="shared" si="512"/>
        <v>0</v>
      </c>
      <c r="Q490" s="102">
        <f t="shared" si="580"/>
        <v>419</v>
      </c>
      <c r="R490" s="102">
        <f t="shared" si="580"/>
        <v>424</v>
      </c>
      <c r="S490" s="102">
        <f t="shared" si="580"/>
        <v>429</v>
      </c>
    </row>
    <row r="491" spans="1:19" ht="15" hidden="1" customHeight="1">
      <c r="A491" s="12"/>
      <c r="B491" s="116" t="s">
        <v>675</v>
      </c>
      <c r="C491" s="135"/>
      <c r="D491" s="46"/>
      <c r="E491" s="30"/>
      <c r="F491" s="46"/>
      <c r="G491" s="30"/>
      <c r="H491" s="30"/>
      <c r="I491" s="30"/>
      <c r="J491" s="30"/>
      <c r="K491" s="64"/>
      <c r="L491" s="30"/>
      <c r="M491" s="30"/>
      <c r="N491" s="30"/>
      <c r="O491" s="30">
        <f t="shared" si="509"/>
        <v>0</v>
      </c>
      <c r="P491" s="100">
        <f t="shared" si="512"/>
        <v>0</v>
      </c>
      <c r="Q491" s="30"/>
      <c r="R491" s="30"/>
      <c r="S491" s="30"/>
    </row>
    <row r="492" spans="1:19" ht="14.25">
      <c r="A492" s="12"/>
      <c r="B492" s="116" t="s">
        <v>581</v>
      </c>
      <c r="C492" s="135">
        <v>20</v>
      </c>
      <c r="D492" s="102">
        <f t="shared" ref="D492:S492" si="583">D503+D519+D530+D541+D552+D569</f>
        <v>2295.5299999999997</v>
      </c>
      <c r="E492" s="102">
        <f t="shared" si="583"/>
        <v>1985</v>
      </c>
      <c r="F492" s="102">
        <f t="shared" si="583"/>
        <v>1900</v>
      </c>
      <c r="G492" s="102">
        <f t="shared" si="583"/>
        <v>1985</v>
      </c>
      <c r="H492" s="102">
        <f t="shared" ref="H492" si="584">H503+H519+H530+H541+H552+H569</f>
        <v>1900</v>
      </c>
      <c r="I492" s="102">
        <f t="shared" si="583"/>
        <v>2621</v>
      </c>
      <c r="J492" s="102">
        <f t="shared" si="583"/>
        <v>2100</v>
      </c>
      <c r="K492" s="208">
        <f t="shared" ref="K492:N492" si="585">K503+K519+K530+K541+K552+K569</f>
        <v>526</v>
      </c>
      <c r="L492" s="102">
        <f t="shared" si="585"/>
        <v>524</v>
      </c>
      <c r="M492" s="102">
        <f t="shared" si="585"/>
        <v>525</v>
      </c>
      <c r="N492" s="102">
        <f t="shared" si="585"/>
        <v>525</v>
      </c>
      <c r="O492" s="30">
        <f t="shared" si="509"/>
        <v>2100</v>
      </c>
      <c r="P492" s="100">
        <f t="shared" si="512"/>
        <v>0</v>
      </c>
      <c r="Q492" s="102">
        <f t="shared" si="583"/>
        <v>2379</v>
      </c>
      <c r="R492" s="102">
        <f t="shared" si="583"/>
        <v>2402</v>
      </c>
      <c r="S492" s="102">
        <f t="shared" si="583"/>
        <v>2427</v>
      </c>
    </row>
    <row r="493" spans="1:19" ht="14.25">
      <c r="A493" s="12"/>
      <c r="B493" s="116" t="s">
        <v>257</v>
      </c>
      <c r="C493" s="135" t="s">
        <v>268</v>
      </c>
      <c r="D493" s="102">
        <f t="shared" ref="D493:S494" si="586">D504+D520+D531+D542+D553</f>
        <v>1020.27</v>
      </c>
      <c r="E493" s="102">
        <f t="shared" si="586"/>
        <v>1541</v>
      </c>
      <c r="F493" s="102">
        <f t="shared" si="586"/>
        <v>1533</v>
      </c>
      <c r="G493" s="102">
        <f t="shared" si="586"/>
        <v>1541</v>
      </c>
      <c r="H493" s="102">
        <f t="shared" ref="H493" si="587">H504+H520+H531+H542+H553</f>
        <v>1301</v>
      </c>
      <c r="I493" s="102">
        <f t="shared" si="586"/>
        <v>2005</v>
      </c>
      <c r="J493" s="102">
        <f t="shared" si="586"/>
        <v>1771</v>
      </c>
      <c r="K493" s="208">
        <f t="shared" ref="K493:N493" si="588">K504+K520+K531+K542+K553</f>
        <v>440</v>
      </c>
      <c r="L493" s="102">
        <f t="shared" si="588"/>
        <v>443</v>
      </c>
      <c r="M493" s="102">
        <f t="shared" si="588"/>
        <v>443</v>
      </c>
      <c r="N493" s="102">
        <f t="shared" si="588"/>
        <v>445</v>
      </c>
      <c r="O493" s="30">
        <f t="shared" si="509"/>
        <v>1771</v>
      </c>
      <c r="P493" s="100">
        <f t="shared" si="512"/>
        <v>0</v>
      </c>
      <c r="Q493" s="102">
        <f t="shared" si="586"/>
        <v>1771</v>
      </c>
      <c r="R493" s="102">
        <f t="shared" si="586"/>
        <v>1771</v>
      </c>
      <c r="S493" s="102">
        <f t="shared" si="586"/>
        <v>1771</v>
      </c>
    </row>
    <row r="494" spans="1:19" ht="14.25">
      <c r="A494" s="12"/>
      <c r="B494" s="116" t="s">
        <v>177</v>
      </c>
      <c r="C494" s="135">
        <v>59</v>
      </c>
      <c r="D494" s="102">
        <f t="shared" si="586"/>
        <v>0</v>
      </c>
      <c r="E494" s="102">
        <f t="shared" si="586"/>
        <v>151</v>
      </c>
      <c r="F494" s="102">
        <f t="shared" si="586"/>
        <v>151</v>
      </c>
      <c r="G494" s="102">
        <f t="shared" si="586"/>
        <v>151</v>
      </c>
      <c r="H494" s="102">
        <f t="shared" ref="H494" si="589">H505+H521+H532+H543+H554</f>
        <v>141</v>
      </c>
      <c r="I494" s="102">
        <f t="shared" si="586"/>
        <v>420</v>
      </c>
      <c r="J494" s="102">
        <f t="shared" si="586"/>
        <v>0</v>
      </c>
      <c r="K494" s="208">
        <f t="shared" ref="K494:N494" si="590">K505+K521+K532+K543+K554</f>
        <v>0</v>
      </c>
      <c r="L494" s="102">
        <f t="shared" si="590"/>
        <v>0</v>
      </c>
      <c r="M494" s="102">
        <f t="shared" si="590"/>
        <v>0</v>
      </c>
      <c r="N494" s="102">
        <f t="shared" si="590"/>
        <v>0</v>
      </c>
      <c r="O494" s="30">
        <f t="shared" si="509"/>
        <v>0</v>
      </c>
      <c r="P494" s="100">
        <f t="shared" si="512"/>
        <v>0</v>
      </c>
      <c r="Q494" s="102">
        <f t="shared" si="586"/>
        <v>0</v>
      </c>
      <c r="R494" s="102">
        <f t="shared" si="586"/>
        <v>0</v>
      </c>
      <c r="S494" s="102">
        <f t="shared" si="586"/>
        <v>0</v>
      </c>
    </row>
    <row r="495" spans="1:19" ht="16.5" customHeight="1">
      <c r="A495" s="12"/>
      <c r="B495" s="129" t="s">
        <v>164</v>
      </c>
      <c r="C495" s="135"/>
      <c r="D495" s="102">
        <f t="shared" ref="D495:S495" si="591">D508+D523+D534+D545+D556+D572</f>
        <v>368.31</v>
      </c>
      <c r="E495" s="102">
        <f t="shared" si="591"/>
        <v>0</v>
      </c>
      <c r="F495" s="102">
        <f t="shared" si="591"/>
        <v>0</v>
      </c>
      <c r="G495" s="102">
        <f t="shared" si="591"/>
        <v>0</v>
      </c>
      <c r="H495" s="102">
        <f t="shared" ref="H495" si="592">H508+H523+H534+H545+H556+H572</f>
        <v>0</v>
      </c>
      <c r="I495" s="102">
        <f t="shared" si="591"/>
        <v>526</v>
      </c>
      <c r="J495" s="102">
        <f t="shared" si="591"/>
        <v>73</v>
      </c>
      <c r="K495" s="208">
        <f t="shared" ref="K495:N495" si="593">K508+K523+K534+K545+K556+K572</f>
        <v>73</v>
      </c>
      <c r="L495" s="102">
        <f t="shared" si="593"/>
        <v>0</v>
      </c>
      <c r="M495" s="102">
        <f t="shared" si="593"/>
        <v>0</v>
      </c>
      <c r="N495" s="102">
        <f t="shared" si="593"/>
        <v>0</v>
      </c>
      <c r="O495" s="30">
        <f t="shared" si="509"/>
        <v>73</v>
      </c>
      <c r="P495" s="100">
        <f t="shared" si="512"/>
        <v>0</v>
      </c>
      <c r="Q495" s="102">
        <f t="shared" si="591"/>
        <v>0</v>
      </c>
      <c r="R495" s="102">
        <f t="shared" si="591"/>
        <v>0</v>
      </c>
      <c r="S495" s="102">
        <f t="shared" si="591"/>
        <v>0</v>
      </c>
    </row>
    <row r="496" spans="1:19" ht="16.5" hidden="1" customHeight="1">
      <c r="A496" s="12"/>
      <c r="B496" s="116" t="s">
        <v>173</v>
      </c>
      <c r="C496" s="135">
        <v>56</v>
      </c>
      <c r="D496" s="46"/>
      <c r="E496" s="30"/>
      <c r="F496" s="46"/>
      <c r="G496" s="30"/>
      <c r="H496" s="30"/>
      <c r="I496" s="30"/>
      <c r="J496" s="30"/>
      <c r="K496" s="64"/>
      <c r="L496" s="30"/>
      <c r="M496" s="30"/>
      <c r="N496" s="30"/>
      <c r="O496" s="30">
        <f t="shared" si="509"/>
        <v>0</v>
      </c>
      <c r="P496" s="100">
        <f t="shared" si="512"/>
        <v>0</v>
      </c>
      <c r="Q496" s="30"/>
      <c r="R496" s="30"/>
      <c r="S496" s="30"/>
    </row>
    <row r="497" spans="1:19" ht="12.75" customHeight="1">
      <c r="A497" s="12"/>
      <c r="B497" s="35" t="s">
        <v>193</v>
      </c>
      <c r="C497" s="135">
        <v>70</v>
      </c>
      <c r="D497" s="102">
        <f t="shared" ref="D497:S497" si="594">D513+D524+D535+D546+D557+D573</f>
        <v>368.31</v>
      </c>
      <c r="E497" s="102">
        <f t="shared" si="594"/>
        <v>0</v>
      </c>
      <c r="F497" s="102">
        <f t="shared" si="594"/>
        <v>0</v>
      </c>
      <c r="G497" s="102">
        <f t="shared" si="594"/>
        <v>0</v>
      </c>
      <c r="H497" s="102">
        <f t="shared" ref="H497" si="595">H513+H524+H535+H546+H557+H573</f>
        <v>0</v>
      </c>
      <c r="I497" s="102">
        <f t="shared" si="594"/>
        <v>526</v>
      </c>
      <c r="J497" s="102">
        <f t="shared" si="594"/>
        <v>73</v>
      </c>
      <c r="K497" s="208">
        <f t="shared" ref="K497:N497" si="596">K513+K524+K535+K546+K557+K573</f>
        <v>73</v>
      </c>
      <c r="L497" s="102">
        <f t="shared" si="596"/>
        <v>0</v>
      </c>
      <c r="M497" s="102">
        <f t="shared" si="596"/>
        <v>0</v>
      </c>
      <c r="N497" s="102">
        <f t="shared" si="596"/>
        <v>0</v>
      </c>
      <c r="O497" s="30">
        <f t="shared" si="509"/>
        <v>73</v>
      </c>
      <c r="P497" s="100">
        <f t="shared" si="512"/>
        <v>0</v>
      </c>
      <c r="Q497" s="102">
        <f t="shared" si="594"/>
        <v>0</v>
      </c>
      <c r="R497" s="102">
        <f t="shared" si="594"/>
        <v>0</v>
      </c>
      <c r="S497" s="102">
        <f t="shared" si="594"/>
        <v>0</v>
      </c>
    </row>
    <row r="498" spans="1:19" ht="28.5" customHeight="1">
      <c r="A498" s="12" t="s">
        <v>258</v>
      </c>
      <c r="B498" s="250" t="s">
        <v>259</v>
      </c>
      <c r="C498" s="37" t="s">
        <v>260</v>
      </c>
      <c r="D498" s="138">
        <f t="shared" ref="D498:S498" si="597">D499+D508</f>
        <v>1135.5899999999999</v>
      </c>
      <c r="E498" s="138">
        <f t="shared" si="597"/>
        <v>1301</v>
      </c>
      <c r="F498" s="138">
        <f t="shared" si="597"/>
        <v>1183</v>
      </c>
      <c r="G498" s="138">
        <f t="shared" si="597"/>
        <v>1301</v>
      </c>
      <c r="H498" s="138">
        <f t="shared" ref="H498" si="598">H499+H508</f>
        <v>1239</v>
      </c>
      <c r="I498" s="138">
        <f t="shared" si="597"/>
        <v>1935</v>
      </c>
      <c r="J498" s="138">
        <f t="shared" si="597"/>
        <v>1412</v>
      </c>
      <c r="K498" s="206">
        <f t="shared" ref="K498:N498" si="599">K499+K508</f>
        <v>354</v>
      </c>
      <c r="L498" s="138">
        <f t="shared" si="599"/>
        <v>352</v>
      </c>
      <c r="M498" s="138">
        <f t="shared" si="599"/>
        <v>354</v>
      </c>
      <c r="N498" s="138">
        <f t="shared" si="599"/>
        <v>352</v>
      </c>
      <c r="O498" s="30">
        <f t="shared" si="509"/>
        <v>1412</v>
      </c>
      <c r="P498" s="100">
        <f t="shared" si="512"/>
        <v>0</v>
      </c>
      <c r="Q498" s="138">
        <f t="shared" si="597"/>
        <v>1524</v>
      </c>
      <c r="R498" s="138">
        <f t="shared" si="597"/>
        <v>1519</v>
      </c>
      <c r="S498" s="138">
        <f t="shared" si="597"/>
        <v>1519</v>
      </c>
    </row>
    <row r="499" spans="1:19" ht="14.25">
      <c r="A499" s="12"/>
      <c r="B499" s="129" t="s">
        <v>152</v>
      </c>
      <c r="C499" s="135"/>
      <c r="D499" s="138">
        <f t="shared" ref="D499:S499" si="600">D500</f>
        <v>1124</v>
      </c>
      <c r="E499" s="138">
        <f t="shared" si="600"/>
        <v>1301</v>
      </c>
      <c r="F499" s="138">
        <f t="shared" si="600"/>
        <v>1183</v>
      </c>
      <c r="G499" s="138">
        <f t="shared" si="600"/>
        <v>1301</v>
      </c>
      <c r="H499" s="138">
        <f t="shared" si="600"/>
        <v>1239</v>
      </c>
      <c r="I499" s="138">
        <f t="shared" si="600"/>
        <v>1887</v>
      </c>
      <c r="J499" s="138">
        <f t="shared" si="600"/>
        <v>1412</v>
      </c>
      <c r="K499" s="206">
        <f t="shared" si="600"/>
        <v>354</v>
      </c>
      <c r="L499" s="138">
        <f t="shared" si="600"/>
        <v>352</v>
      </c>
      <c r="M499" s="138">
        <f t="shared" si="600"/>
        <v>354</v>
      </c>
      <c r="N499" s="138">
        <f t="shared" si="600"/>
        <v>352</v>
      </c>
      <c r="O499" s="30">
        <f t="shared" si="509"/>
        <v>1412</v>
      </c>
      <c r="P499" s="100">
        <f t="shared" si="512"/>
        <v>0</v>
      </c>
      <c r="Q499" s="138">
        <f t="shared" si="600"/>
        <v>1524</v>
      </c>
      <c r="R499" s="138">
        <f t="shared" si="600"/>
        <v>1519</v>
      </c>
      <c r="S499" s="138">
        <f t="shared" si="600"/>
        <v>1519</v>
      </c>
    </row>
    <row r="500" spans="1:19" ht="14.25">
      <c r="A500" s="12"/>
      <c r="B500" s="116" t="s">
        <v>153</v>
      </c>
      <c r="C500" s="135">
        <v>1</v>
      </c>
      <c r="D500" s="102">
        <f t="shared" ref="D500:S500" si="601">D501+D503+D504+D505+D506+D507</f>
        <v>1124</v>
      </c>
      <c r="E500" s="102">
        <f t="shared" si="601"/>
        <v>1301</v>
      </c>
      <c r="F500" s="102">
        <f t="shared" si="601"/>
        <v>1183</v>
      </c>
      <c r="G500" s="102">
        <f t="shared" si="601"/>
        <v>1301</v>
      </c>
      <c r="H500" s="102">
        <f t="shared" ref="H500" si="602">H501+H503+H504+H505+H506+H507</f>
        <v>1239</v>
      </c>
      <c r="I500" s="102">
        <f t="shared" si="601"/>
        <v>1887</v>
      </c>
      <c r="J500" s="102">
        <f t="shared" si="601"/>
        <v>1412</v>
      </c>
      <c r="K500" s="208">
        <f t="shared" ref="K500:N500" si="603">K501+K503+K504+K505+K506+K507</f>
        <v>354</v>
      </c>
      <c r="L500" s="102">
        <f t="shared" si="603"/>
        <v>352</v>
      </c>
      <c r="M500" s="102">
        <f t="shared" si="603"/>
        <v>354</v>
      </c>
      <c r="N500" s="102">
        <f t="shared" si="603"/>
        <v>352</v>
      </c>
      <c r="O500" s="30">
        <f t="shared" si="509"/>
        <v>1412</v>
      </c>
      <c r="P500" s="100">
        <f t="shared" si="512"/>
        <v>0</v>
      </c>
      <c r="Q500" s="102">
        <f t="shared" si="601"/>
        <v>1524</v>
      </c>
      <c r="R500" s="102">
        <f t="shared" si="601"/>
        <v>1519</v>
      </c>
      <c r="S500" s="102">
        <f t="shared" si="601"/>
        <v>1519</v>
      </c>
    </row>
    <row r="501" spans="1:19" ht="15.75" customHeight="1">
      <c r="A501" s="12"/>
      <c r="B501" s="116" t="s">
        <v>571</v>
      </c>
      <c r="C501" s="135">
        <v>10</v>
      </c>
      <c r="D501" s="46">
        <v>60</v>
      </c>
      <c r="E501" s="30">
        <v>83</v>
      </c>
      <c r="F501" s="46">
        <v>50</v>
      </c>
      <c r="G501" s="30">
        <v>83</v>
      </c>
      <c r="H501" s="30">
        <v>83</v>
      </c>
      <c r="I501" s="30">
        <v>120</v>
      </c>
      <c r="J501" s="30">
        <v>100</v>
      </c>
      <c r="K501" s="64">
        <v>25</v>
      </c>
      <c r="L501" s="30">
        <v>25</v>
      </c>
      <c r="M501" s="30">
        <v>25</v>
      </c>
      <c r="N501" s="30">
        <v>25</v>
      </c>
      <c r="O501" s="30">
        <f t="shared" si="509"/>
        <v>100</v>
      </c>
      <c r="P501" s="100">
        <f t="shared" si="512"/>
        <v>0</v>
      </c>
      <c r="Q501" s="30">
        <v>100</v>
      </c>
      <c r="R501" s="30">
        <v>100</v>
      </c>
      <c r="S501" s="30">
        <v>100</v>
      </c>
    </row>
    <row r="502" spans="1:19" ht="15" hidden="1" customHeight="1">
      <c r="A502" s="12"/>
      <c r="B502" s="116" t="s">
        <v>675</v>
      </c>
      <c r="C502" s="135"/>
      <c r="D502" s="46"/>
      <c r="E502" s="30"/>
      <c r="F502" s="46"/>
      <c r="G502" s="30"/>
      <c r="H502" s="30"/>
      <c r="I502" s="30"/>
      <c r="J502" s="30"/>
      <c r="K502" s="64"/>
      <c r="L502" s="30"/>
      <c r="M502" s="30"/>
      <c r="N502" s="30"/>
      <c r="O502" s="30">
        <f t="shared" si="509"/>
        <v>0</v>
      </c>
      <c r="P502" s="100">
        <f t="shared" si="512"/>
        <v>0</v>
      </c>
      <c r="Q502" s="30"/>
      <c r="R502" s="30"/>
      <c r="S502" s="30"/>
    </row>
    <row r="503" spans="1:19" ht="15" customHeight="1">
      <c r="A503" s="12"/>
      <c r="B503" s="116" t="s">
        <v>581</v>
      </c>
      <c r="C503" s="135">
        <v>20</v>
      </c>
      <c r="D503" s="46">
        <v>616.39</v>
      </c>
      <c r="E503" s="30">
        <v>520</v>
      </c>
      <c r="F503" s="46">
        <v>500</v>
      </c>
      <c r="G503" s="30">
        <v>520</v>
      </c>
      <c r="H503" s="30">
        <v>515</v>
      </c>
      <c r="I503" s="30">
        <v>689</v>
      </c>
      <c r="J503" s="30">
        <v>570</v>
      </c>
      <c r="K503" s="64">
        <v>143</v>
      </c>
      <c r="L503" s="30">
        <v>142</v>
      </c>
      <c r="M503" s="30">
        <v>143</v>
      </c>
      <c r="N503" s="30">
        <v>142</v>
      </c>
      <c r="O503" s="30">
        <f t="shared" si="509"/>
        <v>570</v>
      </c>
      <c r="P503" s="100">
        <f t="shared" si="512"/>
        <v>0</v>
      </c>
      <c r="Q503" s="30">
        <v>682</v>
      </c>
      <c r="R503" s="30">
        <v>677</v>
      </c>
      <c r="S503" s="30">
        <v>677</v>
      </c>
    </row>
    <row r="504" spans="1:19" ht="13.5" customHeight="1">
      <c r="A504" s="12"/>
      <c r="B504" s="116" t="s">
        <v>261</v>
      </c>
      <c r="C504" s="135" t="s">
        <v>268</v>
      </c>
      <c r="D504" s="46">
        <v>447.61</v>
      </c>
      <c r="E504" s="30">
        <v>635</v>
      </c>
      <c r="F504" s="46">
        <v>572</v>
      </c>
      <c r="G504" s="30">
        <v>635</v>
      </c>
      <c r="H504" s="30">
        <v>579</v>
      </c>
      <c r="I504" s="30">
        <v>890</v>
      </c>
      <c r="J504" s="30">
        <v>742</v>
      </c>
      <c r="K504" s="64">
        <v>186</v>
      </c>
      <c r="L504" s="30">
        <v>185</v>
      </c>
      <c r="M504" s="30">
        <v>186</v>
      </c>
      <c r="N504" s="30">
        <v>185</v>
      </c>
      <c r="O504" s="30">
        <f t="shared" si="509"/>
        <v>742</v>
      </c>
      <c r="P504" s="100">
        <f t="shared" si="512"/>
        <v>0</v>
      </c>
      <c r="Q504" s="30">
        <v>742</v>
      </c>
      <c r="R504" s="30">
        <v>742</v>
      </c>
      <c r="S504" s="30">
        <v>742</v>
      </c>
    </row>
    <row r="505" spans="1:19" ht="1.5" hidden="1" customHeight="1">
      <c r="A505" s="12"/>
      <c r="B505" s="116" t="s">
        <v>614</v>
      </c>
      <c r="C505" s="135" t="s">
        <v>615</v>
      </c>
      <c r="D505" s="46"/>
      <c r="E505" s="30">
        <v>63</v>
      </c>
      <c r="F505" s="46">
        <v>61</v>
      </c>
      <c r="G505" s="30">
        <v>63</v>
      </c>
      <c r="H505" s="30">
        <v>62</v>
      </c>
      <c r="I505" s="30">
        <v>188</v>
      </c>
      <c r="J505" s="30">
        <v>0</v>
      </c>
      <c r="K505" s="64">
        <v>0</v>
      </c>
      <c r="L505" s="30">
        <v>0</v>
      </c>
      <c r="M505" s="30"/>
      <c r="N505" s="30">
        <v>0</v>
      </c>
      <c r="O505" s="30">
        <f t="shared" si="509"/>
        <v>0</v>
      </c>
      <c r="P505" s="100">
        <f t="shared" si="512"/>
        <v>0</v>
      </c>
      <c r="Q505" s="30"/>
      <c r="R505" s="30"/>
      <c r="S505" s="30"/>
    </row>
    <row r="506" spans="1:19" ht="13.5" hidden="1" customHeight="1">
      <c r="A506" s="12"/>
      <c r="B506" s="116" t="s">
        <v>421</v>
      </c>
      <c r="C506" s="135" t="s">
        <v>613</v>
      </c>
      <c r="D506" s="46"/>
      <c r="E506" s="30"/>
      <c r="F506" s="46"/>
      <c r="G506" s="30"/>
      <c r="H506" s="30"/>
      <c r="I506" s="30"/>
      <c r="J506" s="30"/>
      <c r="K506" s="64"/>
      <c r="L506" s="30"/>
      <c r="M506" s="30"/>
      <c r="N506" s="30"/>
      <c r="O506" s="30">
        <f t="shared" si="509"/>
        <v>0</v>
      </c>
      <c r="P506" s="100">
        <f t="shared" si="512"/>
        <v>0</v>
      </c>
      <c r="Q506" s="30"/>
      <c r="R506" s="30"/>
      <c r="S506" s="30"/>
    </row>
    <row r="507" spans="1:19" ht="21" hidden="1" customHeight="1">
      <c r="A507" s="12"/>
      <c r="B507" s="116" t="s">
        <v>163</v>
      </c>
      <c r="C507" s="135">
        <v>85.01</v>
      </c>
      <c r="D507" s="46"/>
      <c r="E507" s="30"/>
      <c r="F507" s="46"/>
      <c r="G507" s="30"/>
      <c r="H507" s="30"/>
      <c r="I507" s="30"/>
      <c r="J507" s="30"/>
      <c r="K507" s="64"/>
      <c r="L507" s="30"/>
      <c r="M507" s="30"/>
      <c r="N507" s="30"/>
      <c r="O507" s="30">
        <f t="shared" si="509"/>
        <v>0</v>
      </c>
      <c r="P507" s="100">
        <f t="shared" si="512"/>
        <v>0</v>
      </c>
      <c r="Q507" s="30"/>
      <c r="R507" s="30"/>
      <c r="S507" s="30"/>
    </row>
    <row r="508" spans="1:19" ht="15.75" hidden="1" customHeight="1">
      <c r="A508" s="12"/>
      <c r="B508" s="129" t="s">
        <v>164</v>
      </c>
      <c r="C508" s="135"/>
      <c r="D508" s="102">
        <f t="shared" ref="D508:S508" si="604">D509+D513</f>
        <v>11.59</v>
      </c>
      <c r="E508" s="102">
        <f t="shared" si="604"/>
        <v>0</v>
      </c>
      <c r="F508" s="102">
        <f t="shared" si="604"/>
        <v>0</v>
      </c>
      <c r="G508" s="102">
        <f t="shared" si="604"/>
        <v>0</v>
      </c>
      <c r="H508" s="102">
        <f t="shared" ref="H508" si="605">H509+H513</f>
        <v>0</v>
      </c>
      <c r="I508" s="102">
        <f t="shared" si="604"/>
        <v>48</v>
      </c>
      <c r="J508" s="102">
        <f t="shared" si="604"/>
        <v>0</v>
      </c>
      <c r="K508" s="208">
        <f t="shared" ref="K508:N508" si="606">K509+K513</f>
        <v>0</v>
      </c>
      <c r="L508" s="102">
        <f t="shared" si="606"/>
        <v>0</v>
      </c>
      <c r="M508" s="102">
        <f t="shared" si="606"/>
        <v>0</v>
      </c>
      <c r="N508" s="102">
        <f t="shared" si="606"/>
        <v>0</v>
      </c>
      <c r="O508" s="30">
        <f t="shared" si="509"/>
        <v>0</v>
      </c>
      <c r="P508" s="100">
        <f t="shared" si="512"/>
        <v>0</v>
      </c>
      <c r="Q508" s="102">
        <f t="shared" si="604"/>
        <v>0</v>
      </c>
      <c r="R508" s="102">
        <f t="shared" si="604"/>
        <v>0</v>
      </c>
      <c r="S508" s="102">
        <f t="shared" si="604"/>
        <v>0</v>
      </c>
    </row>
    <row r="509" spans="1:19" ht="15.75" hidden="1" customHeight="1">
      <c r="A509" s="185"/>
      <c r="B509" s="116" t="s">
        <v>173</v>
      </c>
      <c r="C509" s="135">
        <v>56</v>
      </c>
      <c r="D509" s="46"/>
      <c r="E509" s="30"/>
      <c r="F509" s="46"/>
      <c r="G509" s="30"/>
      <c r="H509" s="30"/>
      <c r="I509" s="30"/>
      <c r="J509" s="30"/>
      <c r="K509" s="64"/>
      <c r="L509" s="30"/>
      <c r="M509" s="30"/>
      <c r="N509" s="30"/>
      <c r="O509" s="30">
        <f t="shared" si="509"/>
        <v>0</v>
      </c>
      <c r="P509" s="100">
        <f t="shared" si="512"/>
        <v>0</v>
      </c>
      <c r="Q509" s="30"/>
      <c r="R509" s="30"/>
      <c r="S509" s="30"/>
    </row>
    <row r="510" spans="1:19" ht="15.75" hidden="1" customHeight="1">
      <c r="A510" s="12"/>
      <c r="B510" s="116" t="s">
        <v>204</v>
      </c>
      <c r="C510" s="135" t="s">
        <v>205</v>
      </c>
      <c r="D510" s="46"/>
      <c r="E510" s="30"/>
      <c r="F510" s="46"/>
      <c r="G510" s="30"/>
      <c r="H510" s="30"/>
      <c r="I510" s="30"/>
      <c r="J510" s="30"/>
      <c r="K510" s="64"/>
      <c r="L510" s="30"/>
      <c r="M510" s="30"/>
      <c r="N510" s="30"/>
      <c r="O510" s="30">
        <f t="shared" si="509"/>
        <v>0</v>
      </c>
      <c r="P510" s="100">
        <f t="shared" si="512"/>
        <v>0</v>
      </c>
      <c r="Q510" s="30"/>
      <c r="R510" s="30"/>
      <c r="S510" s="30"/>
    </row>
    <row r="511" spans="1:19" ht="18.75" hidden="1" customHeight="1">
      <c r="A511" s="12"/>
      <c r="B511" s="116" t="s">
        <v>206</v>
      </c>
      <c r="C511" s="135" t="s">
        <v>207</v>
      </c>
      <c r="D511" s="46"/>
      <c r="E511" s="30"/>
      <c r="F511" s="46"/>
      <c r="G511" s="30"/>
      <c r="H511" s="30"/>
      <c r="I511" s="30"/>
      <c r="J511" s="30"/>
      <c r="K511" s="64"/>
      <c r="L511" s="30"/>
      <c r="M511" s="30"/>
      <c r="N511" s="30"/>
      <c r="O511" s="30">
        <f t="shared" si="509"/>
        <v>0</v>
      </c>
      <c r="P511" s="100">
        <f t="shared" si="512"/>
        <v>0</v>
      </c>
      <c r="Q511" s="30"/>
      <c r="R511" s="30"/>
      <c r="S511" s="30"/>
    </row>
    <row r="512" spans="1:19" ht="12" hidden="1" customHeight="1">
      <c r="A512" s="12"/>
      <c r="B512" s="116" t="s">
        <v>209</v>
      </c>
      <c r="C512" s="135" t="s">
        <v>208</v>
      </c>
      <c r="D512" s="46"/>
      <c r="E512" s="30"/>
      <c r="F512" s="46"/>
      <c r="G512" s="30"/>
      <c r="H512" s="30"/>
      <c r="I512" s="30"/>
      <c r="J512" s="30"/>
      <c r="K512" s="64"/>
      <c r="L512" s="30"/>
      <c r="M512" s="30"/>
      <c r="N512" s="30"/>
      <c r="O512" s="30">
        <f t="shared" si="509"/>
        <v>0</v>
      </c>
      <c r="P512" s="100">
        <f t="shared" si="512"/>
        <v>0</v>
      </c>
      <c r="Q512" s="30"/>
      <c r="R512" s="30"/>
      <c r="S512" s="30"/>
    </row>
    <row r="513" spans="1:19" ht="13.5" hidden="1" customHeight="1">
      <c r="A513" s="12"/>
      <c r="B513" s="116" t="s">
        <v>193</v>
      </c>
      <c r="C513" s="135">
        <v>70</v>
      </c>
      <c r="D513" s="46">
        <v>11.59</v>
      </c>
      <c r="E513" s="30">
        <v>0</v>
      </c>
      <c r="F513" s="46">
        <v>0</v>
      </c>
      <c r="G513" s="30">
        <v>0</v>
      </c>
      <c r="H513" s="30">
        <v>0</v>
      </c>
      <c r="I513" s="30">
        <v>48</v>
      </c>
      <c r="J513" s="30">
        <v>0</v>
      </c>
      <c r="K513" s="64">
        <v>0</v>
      </c>
      <c r="L513" s="30">
        <v>0</v>
      </c>
      <c r="M513" s="30">
        <v>0</v>
      </c>
      <c r="N513" s="30">
        <v>0</v>
      </c>
      <c r="O513" s="30">
        <f t="shared" si="509"/>
        <v>0</v>
      </c>
      <c r="P513" s="100">
        <f t="shared" si="512"/>
        <v>0</v>
      </c>
      <c r="Q513" s="30">
        <v>0</v>
      </c>
      <c r="R513" s="30">
        <v>0</v>
      </c>
      <c r="S513" s="30">
        <v>0</v>
      </c>
    </row>
    <row r="514" spans="1:19" ht="34.5" customHeight="1">
      <c r="A514" s="12" t="s">
        <v>262</v>
      </c>
      <c r="B514" s="250" t="s">
        <v>263</v>
      </c>
      <c r="C514" s="37" t="s">
        <v>264</v>
      </c>
      <c r="D514" s="138">
        <f t="shared" ref="D514:S514" si="607">D515+D523</f>
        <v>925.1</v>
      </c>
      <c r="E514" s="138">
        <f t="shared" si="607"/>
        <v>1042</v>
      </c>
      <c r="F514" s="138">
        <f t="shared" si="607"/>
        <v>1028</v>
      </c>
      <c r="G514" s="138">
        <f t="shared" si="607"/>
        <v>1042</v>
      </c>
      <c r="H514" s="138">
        <f t="shared" ref="H514" si="608">H515+H523</f>
        <v>905</v>
      </c>
      <c r="I514" s="138">
        <f t="shared" si="607"/>
        <v>1455</v>
      </c>
      <c r="J514" s="138">
        <f t="shared" si="607"/>
        <v>1047</v>
      </c>
      <c r="K514" s="206">
        <f t="shared" ref="K514:N514" si="609">K515+K523</f>
        <v>258</v>
      </c>
      <c r="L514" s="138">
        <f t="shared" si="609"/>
        <v>262</v>
      </c>
      <c r="M514" s="138">
        <f t="shared" si="609"/>
        <v>262</v>
      </c>
      <c r="N514" s="138">
        <f t="shared" si="609"/>
        <v>265</v>
      </c>
      <c r="O514" s="30">
        <f t="shared" si="509"/>
        <v>1047</v>
      </c>
      <c r="P514" s="100">
        <f t="shared" si="512"/>
        <v>0</v>
      </c>
      <c r="Q514" s="138">
        <f t="shared" si="607"/>
        <v>1047</v>
      </c>
      <c r="R514" s="138">
        <f t="shared" si="607"/>
        <v>1047</v>
      </c>
      <c r="S514" s="138">
        <f t="shared" si="607"/>
        <v>1047</v>
      </c>
    </row>
    <row r="515" spans="1:19" ht="14.25">
      <c r="A515" s="12"/>
      <c r="B515" s="129" t="s">
        <v>152</v>
      </c>
      <c r="C515" s="135"/>
      <c r="D515" s="138">
        <f t="shared" ref="D515:S515" si="610">D516</f>
        <v>865.38</v>
      </c>
      <c r="E515" s="138">
        <f t="shared" si="610"/>
        <v>1042</v>
      </c>
      <c r="F515" s="138">
        <f t="shared" si="610"/>
        <v>1028</v>
      </c>
      <c r="G515" s="138">
        <f t="shared" si="610"/>
        <v>1042</v>
      </c>
      <c r="H515" s="138">
        <f t="shared" si="610"/>
        <v>905</v>
      </c>
      <c r="I515" s="138">
        <f t="shared" si="610"/>
        <v>1237</v>
      </c>
      <c r="J515" s="138">
        <f t="shared" si="610"/>
        <v>1047</v>
      </c>
      <c r="K515" s="206">
        <f t="shared" si="610"/>
        <v>258</v>
      </c>
      <c r="L515" s="138">
        <f t="shared" si="610"/>
        <v>262</v>
      </c>
      <c r="M515" s="138">
        <f t="shared" si="610"/>
        <v>262</v>
      </c>
      <c r="N515" s="138">
        <f t="shared" si="610"/>
        <v>265</v>
      </c>
      <c r="O515" s="30">
        <f t="shared" si="509"/>
        <v>1047</v>
      </c>
      <c r="P515" s="100">
        <f t="shared" si="512"/>
        <v>0</v>
      </c>
      <c r="Q515" s="138">
        <f t="shared" si="610"/>
        <v>1047</v>
      </c>
      <c r="R515" s="138">
        <f t="shared" si="610"/>
        <v>1047</v>
      </c>
      <c r="S515" s="138">
        <f t="shared" si="610"/>
        <v>1047</v>
      </c>
    </row>
    <row r="516" spans="1:19" ht="14.25">
      <c r="A516" s="12"/>
      <c r="B516" s="116" t="s">
        <v>153</v>
      </c>
      <c r="C516" s="135">
        <v>1</v>
      </c>
      <c r="D516" s="102">
        <f t="shared" ref="D516:S516" si="611">D517+D519+D520+D521</f>
        <v>865.38</v>
      </c>
      <c r="E516" s="102">
        <f t="shared" si="611"/>
        <v>1042</v>
      </c>
      <c r="F516" s="102">
        <f t="shared" si="611"/>
        <v>1028</v>
      </c>
      <c r="G516" s="102">
        <f t="shared" si="611"/>
        <v>1042</v>
      </c>
      <c r="H516" s="102">
        <f t="shared" ref="H516" si="612">H517+H519+H520+H521</f>
        <v>905</v>
      </c>
      <c r="I516" s="102">
        <f t="shared" si="611"/>
        <v>1237</v>
      </c>
      <c r="J516" s="102">
        <f t="shared" si="611"/>
        <v>1047</v>
      </c>
      <c r="K516" s="208">
        <f t="shared" ref="K516:N516" si="613">K517+K519+K520+K521</f>
        <v>258</v>
      </c>
      <c r="L516" s="102">
        <f t="shared" si="613"/>
        <v>262</v>
      </c>
      <c r="M516" s="102">
        <f t="shared" si="613"/>
        <v>262</v>
      </c>
      <c r="N516" s="102">
        <f t="shared" si="613"/>
        <v>265</v>
      </c>
      <c r="O516" s="30">
        <f t="shared" si="509"/>
        <v>1047</v>
      </c>
      <c r="P516" s="100">
        <f t="shared" si="512"/>
        <v>0</v>
      </c>
      <c r="Q516" s="102">
        <f t="shared" si="611"/>
        <v>1047</v>
      </c>
      <c r="R516" s="102">
        <f t="shared" si="611"/>
        <v>1047</v>
      </c>
      <c r="S516" s="102">
        <f t="shared" si="611"/>
        <v>1047</v>
      </c>
    </row>
    <row r="517" spans="1:19" ht="14.25" customHeight="1">
      <c r="A517" s="12"/>
      <c r="B517" s="116" t="s">
        <v>154</v>
      </c>
      <c r="C517" s="135">
        <v>10</v>
      </c>
      <c r="D517" s="46">
        <v>35.58</v>
      </c>
      <c r="E517" s="30">
        <v>50</v>
      </c>
      <c r="F517" s="46">
        <v>30</v>
      </c>
      <c r="G517" s="30">
        <v>50</v>
      </c>
      <c r="H517" s="30">
        <v>50</v>
      </c>
      <c r="I517" s="30">
        <v>70</v>
      </c>
      <c r="J517" s="30">
        <v>60</v>
      </c>
      <c r="K517" s="64">
        <v>15</v>
      </c>
      <c r="L517" s="30">
        <v>15</v>
      </c>
      <c r="M517" s="30">
        <v>15</v>
      </c>
      <c r="N517" s="30">
        <v>15</v>
      </c>
      <c r="O517" s="30">
        <f t="shared" si="509"/>
        <v>60</v>
      </c>
      <c r="P517" s="100">
        <f t="shared" si="512"/>
        <v>0</v>
      </c>
      <c r="Q517" s="30">
        <v>60</v>
      </c>
      <c r="R517" s="30">
        <v>60</v>
      </c>
      <c r="S517" s="30">
        <v>60</v>
      </c>
    </row>
    <row r="518" spans="1:19" ht="15" hidden="1" customHeight="1">
      <c r="A518" s="12"/>
      <c r="B518" s="116" t="s">
        <v>675</v>
      </c>
      <c r="C518" s="135"/>
      <c r="D518" s="46"/>
      <c r="E518" s="30"/>
      <c r="F518" s="46"/>
      <c r="G518" s="30"/>
      <c r="H518" s="30"/>
      <c r="I518" s="30"/>
      <c r="J518" s="30"/>
      <c r="K518" s="64"/>
      <c r="L518" s="30"/>
      <c r="M518" s="30"/>
      <c r="N518" s="30"/>
      <c r="O518" s="30">
        <f t="shared" si="509"/>
        <v>0</v>
      </c>
      <c r="P518" s="100">
        <f t="shared" si="512"/>
        <v>0</v>
      </c>
      <c r="Q518" s="30"/>
      <c r="R518" s="30"/>
      <c r="S518" s="30"/>
    </row>
    <row r="519" spans="1:19" ht="14.25">
      <c r="A519" s="12"/>
      <c r="B519" s="116" t="s">
        <v>581</v>
      </c>
      <c r="C519" s="135">
        <v>20</v>
      </c>
      <c r="D519" s="46">
        <v>599.14</v>
      </c>
      <c r="E519" s="30">
        <v>545</v>
      </c>
      <c r="F519" s="46">
        <v>500</v>
      </c>
      <c r="G519" s="30">
        <v>545</v>
      </c>
      <c r="H519" s="30">
        <v>543</v>
      </c>
      <c r="I519" s="30">
        <v>666</v>
      </c>
      <c r="J519" s="30">
        <v>600</v>
      </c>
      <c r="K519" s="64">
        <v>150</v>
      </c>
      <c r="L519" s="30">
        <v>150</v>
      </c>
      <c r="M519" s="30">
        <v>150</v>
      </c>
      <c r="N519" s="30">
        <v>150</v>
      </c>
      <c r="O519" s="30">
        <f t="shared" si="509"/>
        <v>600</v>
      </c>
      <c r="P519" s="100">
        <f t="shared" si="512"/>
        <v>0</v>
      </c>
      <c r="Q519" s="30">
        <v>600</v>
      </c>
      <c r="R519" s="30">
        <v>600</v>
      </c>
      <c r="S519" s="30">
        <v>600</v>
      </c>
    </row>
    <row r="520" spans="1:19" ht="15" customHeight="1">
      <c r="A520" s="12"/>
      <c r="B520" s="116" t="s">
        <v>261</v>
      </c>
      <c r="C520" s="135" t="s">
        <v>268</v>
      </c>
      <c r="D520" s="46">
        <v>230.66</v>
      </c>
      <c r="E520" s="30">
        <v>410</v>
      </c>
      <c r="F520" s="46">
        <v>450</v>
      </c>
      <c r="G520" s="30">
        <v>410</v>
      </c>
      <c r="H520" s="30">
        <v>277</v>
      </c>
      <c r="I520" s="30">
        <v>410</v>
      </c>
      <c r="J520" s="30">
        <v>387</v>
      </c>
      <c r="K520" s="64">
        <v>93</v>
      </c>
      <c r="L520" s="30">
        <v>97</v>
      </c>
      <c r="M520" s="30">
        <v>97</v>
      </c>
      <c r="N520" s="30">
        <v>100</v>
      </c>
      <c r="O520" s="30">
        <f t="shared" si="509"/>
        <v>387</v>
      </c>
      <c r="P520" s="100">
        <f t="shared" si="512"/>
        <v>0</v>
      </c>
      <c r="Q520" s="30">
        <v>387</v>
      </c>
      <c r="R520" s="30">
        <v>387</v>
      </c>
      <c r="S520" s="30">
        <v>387</v>
      </c>
    </row>
    <row r="521" spans="1:19" ht="0.75" customHeight="1">
      <c r="A521" s="12"/>
      <c r="B521" s="116" t="s">
        <v>616</v>
      </c>
      <c r="C521" s="135" t="s">
        <v>615</v>
      </c>
      <c r="D521" s="46">
        <v>0</v>
      </c>
      <c r="E521" s="30">
        <v>37</v>
      </c>
      <c r="F521" s="46">
        <v>48</v>
      </c>
      <c r="G521" s="30">
        <v>37</v>
      </c>
      <c r="H521" s="30">
        <v>35</v>
      </c>
      <c r="I521" s="30">
        <v>91</v>
      </c>
      <c r="J521" s="30"/>
      <c r="K521" s="64"/>
      <c r="L521" s="30"/>
      <c r="M521" s="30"/>
      <c r="N521" s="30"/>
      <c r="O521" s="30">
        <f t="shared" si="509"/>
        <v>0</v>
      </c>
      <c r="P521" s="100">
        <f t="shared" si="512"/>
        <v>0</v>
      </c>
      <c r="Q521" s="30"/>
      <c r="R521" s="30"/>
      <c r="S521" s="30"/>
    </row>
    <row r="522" spans="1:19" ht="15" hidden="1" customHeight="1">
      <c r="A522" s="12"/>
      <c r="B522" s="116" t="s">
        <v>163</v>
      </c>
      <c r="C522" s="135" t="s">
        <v>251</v>
      </c>
      <c r="D522" s="46"/>
      <c r="E522" s="30"/>
      <c r="F522" s="46"/>
      <c r="G522" s="30"/>
      <c r="H522" s="31"/>
      <c r="I522" s="30"/>
      <c r="J522" s="30"/>
      <c r="K522" s="64"/>
      <c r="L522" s="30"/>
      <c r="M522" s="30"/>
      <c r="N522" s="30"/>
      <c r="O522" s="30">
        <f t="shared" si="509"/>
        <v>0</v>
      </c>
      <c r="P522" s="100">
        <f t="shared" si="512"/>
        <v>0</v>
      </c>
      <c r="Q522" s="30"/>
      <c r="R522" s="30"/>
      <c r="S522" s="30"/>
    </row>
    <row r="523" spans="1:19" ht="17.25" hidden="1" customHeight="1">
      <c r="A523" s="12"/>
      <c r="B523" s="129" t="s">
        <v>164</v>
      </c>
      <c r="C523" s="135"/>
      <c r="D523" s="102">
        <f t="shared" ref="D523:S523" si="614">D524</f>
        <v>59.72</v>
      </c>
      <c r="E523" s="102">
        <f t="shared" si="614"/>
        <v>0</v>
      </c>
      <c r="F523" s="102">
        <f t="shared" si="614"/>
        <v>0</v>
      </c>
      <c r="G523" s="102">
        <f t="shared" si="614"/>
        <v>0</v>
      </c>
      <c r="H523" s="102">
        <f t="shared" si="614"/>
        <v>0</v>
      </c>
      <c r="I523" s="102">
        <f t="shared" si="614"/>
        <v>218</v>
      </c>
      <c r="J523" s="102">
        <f t="shared" si="614"/>
        <v>0</v>
      </c>
      <c r="K523" s="208">
        <f t="shared" si="614"/>
        <v>0</v>
      </c>
      <c r="L523" s="102">
        <f t="shared" si="614"/>
        <v>0</v>
      </c>
      <c r="M523" s="102">
        <f t="shared" si="614"/>
        <v>0</v>
      </c>
      <c r="N523" s="102">
        <f t="shared" si="614"/>
        <v>0</v>
      </c>
      <c r="O523" s="30">
        <f t="shared" si="509"/>
        <v>0</v>
      </c>
      <c r="P523" s="100">
        <f t="shared" si="512"/>
        <v>0</v>
      </c>
      <c r="Q523" s="102">
        <f t="shared" si="614"/>
        <v>0</v>
      </c>
      <c r="R523" s="102">
        <f t="shared" si="614"/>
        <v>0</v>
      </c>
      <c r="S523" s="102">
        <f t="shared" si="614"/>
        <v>0</v>
      </c>
    </row>
    <row r="524" spans="1:19" ht="16.5" hidden="1" customHeight="1">
      <c r="A524" s="12"/>
      <c r="B524" s="116" t="s">
        <v>193</v>
      </c>
      <c r="C524" s="135">
        <v>70</v>
      </c>
      <c r="D524" s="46">
        <v>59.72</v>
      </c>
      <c r="E524" s="30">
        <v>0</v>
      </c>
      <c r="F524" s="46">
        <v>0</v>
      </c>
      <c r="G524" s="30">
        <v>0</v>
      </c>
      <c r="H524" s="30">
        <v>0</v>
      </c>
      <c r="I524" s="30">
        <v>218</v>
      </c>
      <c r="J524" s="30">
        <v>0</v>
      </c>
      <c r="K524" s="64">
        <v>0</v>
      </c>
      <c r="L524" s="30">
        <v>0</v>
      </c>
      <c r="M524" s="30">
        <v>0</v>
      </c>
      <c r="N524" s="30">
        <v>0</v>
      </c>
      <c r="O524" s="30">
        <f t="shared" ref="O524:O587" si="615">K524+L524+M524+N524</f>
        <v>0</v>
      </c>
      <c r="P524" s="100">
        <f t="shared" si="512"/>
        <v>0</v>
      </c>
      <c r="Q524" s="30">
        <v>0</v>
      </c>
      <c r="R524" s="30">
        <v>0</v>
      </c>
      <c r="S524" s="30">
        <v>0</v>
      </c>
    </row>
    <row r="525" spans="1:19" ht="25.5">
      <c r="A525" s="12" t="s">
        <v>265</v>
      </c>
      <c r="B525" s="250" t="s">
        <v>620</v>
      </c>
      <c r="C525" s="37" t="s">
        <v>266</v>
      </c>
      <c r="D525" s="138">
        <f t="shared" ref="D525:S525" si="616">D526+D534</f>
        <v>1013.5</v>
      </c>
      <c r="E525" s="138">
        <f t="shared" si="616"/>
        <v>632</v>
      </c>
      <c r="F525" s="138">
        <f t="shared" si="616"/>
        <v>615</v>
      </c>
      <c r="G525" s="138">
        <f t="shared" si="616"/>
        <v>632</v>
      </c>
      <c r="H525" s="138">
        <f t="shared" ref="H525" si="617">H526+H534</f>
        <v>604</v>
      </c>
      <c r="I525" s="138">
        <f t="shared" si="616"/>
        <v>1061</v>
      </c>
      <c r="J525" s="138">
        <f t="shared" si="616"/>
        <v>716</v>
      </c>
      <c r="K525" s="206">
        <f t="shared" ref="K525:N525" si="618">K526+K534</f>
        <v>183</v>
      </c>
      <c r="L525" s="138">
        <f t="shared" si="618"/>
        <v>177</v>
      </c>
      <c r="M525" s="138">
        <f t="shared" si="618"/>
        <v>177</v>
      </c>
      <c r="N525" s="138">
        <f t="shared" si="618"/>
        <v>179</v>
      </c>
      <c r="O525" s="30">
        <f t="shared" si="615"/>
        <v>716</v>
      </c>
      <c r="P525" s="100">
        <f t="shared" ref="P525:P588" si="619">J525-O525</f>
        <v>0</v>
      </c>
      <c r="Q525" s="138">
        <f t="shared" si="616"/>
        <v>704</v>
      </c>
      <c r="R525" s="138">
        <f t="shared" si="616"/>
        <v>704</v>
      </c>
      <c r="S525" s="138">
        <f t="shared" si="616"/>
        <v>704</v>
      </c>
    </row>
    <row r="526" spans="1:19" ht="14.25">
      <c r="A526" s="12"/>
      <c r="B526" s="129" t="s">
        <v>152</v>
      </c>
      <c r="C526" s="135"/>
      <c r="D526" s="138">
        <f t="shared" ref="D526:S526" si="620">D527</f>
        <v>733.5</v>
      </c>
      <c r="E526" s="138">
        <f t="shared" si="620"/>
        <v>632</v>
      </c>
      <c r="F526" s="138">
        <f t="shared" si="620"/>
        <v>615</v>
      </c>
      <c r="G526" s="138">
        <f t="shared" si="620"/>
        <v>632</v>
      </c>
      <c r="H526" s="138">
        <f t="shared" si="620"/>
        <v>604</v>
      </c>
      <c r="I526" s="138">
        <f t="shared" si="620"/>
        <v>965</v>
      </c>
      <c r="J526" s="138">
        <f t="shared" si="620"/>
        <v>710</v>
      </c>
      <c r="K526" s="206">
        <f t="shared" si="620"/>
        <v>177</v>
      </c>
      <c r="L526" s="138">
        <f t="shared" si="620"/>
        <v>177</v>
      </c>
      <c r="M526" s="138">
        <f t="shared" si="620"/>
        <v>177</v>
      </c>
      <c r="N526" s="138">
        <f t="shared" si="620"/>
        <v>179</v>
      </c>
      <c r="O526" s="30">
        <f t="shared" si="615"/>
        <v>710</v>
      </c>
      <c r="P526" s="100">
        <f t="shared" si="619"/>
        <v>0</v>
      </c>
      <c r="Q526" s="138">
        <f t="shared" si="620"/>
        <v>704</v>
      </c>
      <c r="R526" s="138">
        <f t="shared" si="620"/>
        <v>704</v>
      </c>
      <c r="S526" s="138">
        <f t="shared" si="620"/>
        <v>704</v>
      </c>
    </row>
    <row r="527" spans="1:19" ht="14.25">
      <c r="A527" s="12"/>
      <c r="B527" s="116" t="s">
        <v>153</v>
      </c>
      <c r="C527" s="135">
        <v>1</v>
      </c>
      <c r="D527" s="102">
        <f t="shared" ref="D527:S527" si="621">D528+D530+D531+D532+D533</f>
        <v>733.5</v>
      </c>
      <c r="E527" s="102">
        <f t="shared" si="621"/>
        <v>632</v>
      </c>
      <c r="F527" s="102">
        <f t="shared" si="621"/>
        <v>615</v>
      </c>
      <c r="G527" s="102">
        <f t="shared" si="621"/>
        <v>632</v>
      </c>
      <c r="H527" s="102">
        <f t="shared" ref="H527" si="622">H528+H530+H531+H532+H533</f>
        <v>604</v>
      </c>
      <c r="I527" s="102">
        <f t="shared" si="621"/>
        <v>965</v>
      </c>
      <c r="J527" s="102">
        <f t="shared" si="621"/>
        <v>710</v>
      </c>
      <c r="K527" s="208">
        <f t="shared" ref="K527:N527" si="623">K528+K530+K531+K532+K533</f>
        <v>177</v>
      </c>
      <c r="L527" s="102">
        <f t="shared" si="623"/>
        <v>177</v>
      </c>
      <c r="M527" s="102">
        <f t="shared" si="623"/>
        <v>177</v>
      </c>
      <c r="N527" s="102">
        <f t="shared" si="623"/>
        <v>179</v>
      </c>
      <c r="O527" s="30">
        <f t="shared" si="615"/>
        <v>710</v>
      </c>
      <c r="P527" s="100">
        <f t="shared" si="619"/>
        <v>0</v>
      </c>
      <c r="Q527" s="102">
        <f t="shared" si="621"/>
        <v>704</v>
      </c>
      <c r="R527" s="102">
        <f t="shared" si="621"/>
        <v>704</v>
      </c>
      <c r="S527" s="102">
        <f t="shared" si="621"/>
        <v>704</v>
      </c>
    </row>
    <row r="528" spans="1:19" ht="14.25">
      <c r="A528" s="12"/>
      <c r="B528" s="116" t="s">
        <v>571</v>
      </c>
      <c r="C528" s="135">
        <v>10</v>
      </c>
      <c r="D528" s="46">
        <v>30.5</v>
      </c>
      <c r="E528" s="30">
        <v>37</v>
      </c>
      <c r="F528" s="46">
        <v>25</v>
      </c>
      <c r="G528" s="30">
        <v>37</v>
      </c>
      <c r="H528" s="30">
        <v>37</v>
      </c>
      <c r="I528" s="30">
        <v>48</v>
      </c>
      <c r="J528" s="30">
        <v>40</v>
      </c>
      <c r="K528" s="64">
        <v>10</v>
      </c>
      <c r="L528" s="30">
        <v>10</v>
      </c>
      <c r="M528" s="30">
        <v>10</v>
      </c>
      <c r="N528" s="30">
        <v>10</v>
      </c>
      <c r="O528" s="30">
        <f t="shared" si="615"/>
        <v>40</v>
      </c>
      <c r="P528" s="100">
        <f t="shared" si="619"/>
        <v>0</v>
      </c>
      <c r="Q528" s="30">
        <v>49</v>
      </c>
      <c r="R528" s="30">
        <v>49</v>
      </c>
      <c r="S528" s="30">
        <v>49</v>
      </c>
    </row>
    <row r="529" spans="1:19" ht="0.75" customHeight="1">
      <c r="A529" s="12"/>
      <c r="B529" s="116" t="s">
        <v>675</v>
      </c>
      <c r="C529" s="135"/>
      <c r="D529" s="46"/>
      <c r="E529" s="30"/>
      <c r="F529" s="46"/>
      <c r="G529" s="30"/>
      <c r="H529" s="30"/>
      <c r="I529" s="30"/>
      <c r="J529" s="30"/>
      <c r="K529" s="64"/>
      <c r="L529" s="30"/>
      <c r="M529" s="30"/>
      <c r="N529" s="30"/>
      <c r="O529" s="30">
        <f t="shared" si="615"/>
        <v>0</v>
      </c>
      <c r="P529" s="100">
        <f t="shared" si="619"/>
        <v>0</v>
      </c>
      <c r="Q529" s="30"/>
      <c r="R529" s="30"/>
      <c r="S529" s="30"/>
    </row>
    <row r="530" spans="1:19" ht="14.25">
      <c r="A530" s="12"/>
      <c r="B530" s="116" t="s">
        <v>581</v>
      </c>
      <c r="C530" s="135">
        <v>20</v>
      </c>
      <c r="D530" s="46">
        <v>589</v>
      </c>
      <c r="E530" s="30">
        <v>420</v>
      </c>
      <c r="F530" s="46">
        <v>400</v>
      </c>
      <c r="G530" s="30">
        <v>420</v>
      </c>
      <c r="H530" s="30">
        <v>411</v>
      </c>
      <c r="I530" s="30">
        <v>649</v>
      </c>
      <c r="J530" s="30">
        <v>465</v>
      </c>
      <c r="K530" s="64">
        <v>116</v>
      </c>
      <c r="L530" s="30">
        <v>116</v>
      </c>
      <c r="M530" s="30">
        <v>116</v>
      </c>
      <c r="N530" s="30">
        <v>117</v>
      </c>
      <c r="O530" s="30">
        <f t="shared" si="615"/>
        <v>465</v>
      </c>
      <c r="P530" s="100">
        <f t="shared" si="619"/>
        <v>0</v>
      </c>
      <c r="Q530" s="30">
        <v>450</v>
      </c>
      <c r="R530" s="30">
        <v>450</v>
      </c>
      <c r="S530" s="30">
        <v>450</v>
      </c>
    </row>
    <row r="531" spans="1:19" ht="16.5" customHeight="1">
      <c r="A531" s="12"/>
      <c r="B531" s="116" t="s">
        <v>267</v>
      </c>
      <c r="C531" s="135" t="s">
        <v>268</v>
      </c>
      <c r="D531" s="46">
        <v>114</v>
      </c>
      <c r="E531" s="30">
        <v>157</v>
      </c>
      <c r="F531" s="46">
        <v>172</v>
      </c>
      <c r="G531" s="30">
        <v>157</v>
      </c>
      <c r="H531" s="30">
        <v>144</v>
      </c>
      <c r="I531" s="30">
        <v>224</v>
      </c>
      <c r="J531" s="30">
        <v>205</v>
      </c>
      <c r="K531" s="64">
        <v>51</v>
      </c>
      <c r="L531" s="30">
        <v>51</v>
      </c>
      <c r="M531" s="30">
        <v>51</v>
      </c>
      <c r="N531" s="30">
        <v>52</v>
      </c>
      <c r="O531" s="30">
        <f t="shared" si="615"/>
        <v>205</v>
      </c>
      <c r="P531" s="100">
        <f t="shared" si="619"/>
        <v>0</v>
      </c>
      <c r="Q531" s="30">
        <v>205</v>
      </c>
      <c r="R531" s="30">
        <v>205</v>
      </c>
      <c r="S531" s="30">
        <v>205</v>
      </c>
    </row>
    <row r="532" spans="1:19" ht="0.75" customHeight="1">
      <c r="A532" s="12"/>
      <c r="B532" s="116" t="s">
        <v>614</v>
      </c>
      <c r="C532" s="135" t="s">
        <v>615</v>
      </c>
      <c r="D532" s="46">
        <v>0</v>
      </c>
      <c r="E532" s="30">
        <v>18</v>
      </c>
      <c r="F532" s="46">
        <v>18</v>
      </c>
      <c r="G532" s="30">
        <v>18</v>
      </c>
      <c r="H532" s="30">
        <v>12</v>
      </c>
      <c r="I532" s="30">
        <v>44</v>
      </c>
      <c r="J532" s="30">
        <v>0</v>
      </c>
      <c r="K532" s="64"/>
      <c r="L532" s="30">
        <v>0</v>
      </c>
      <c r="M532" s="30"/>
      <c r="N532" s="30">
        <v>0</v>
      </c>
      <c r="O532" s="30">
        <f t="shared" si="615"/>
        <v>0</v>
      </c>
      <c r="P532" s="100">
        <f t="shared" si="619"/>
        <v>0</v>
      </c>
      <c r="Q532" s="30"/>
      <c r="R532" s="30"/>
      <c r="S532" s="30"/>
    </row>
    <row r="533" spans="1:19" ht="16.5" hidden="1" customHeight="1">
      <c r="A533" s="12"/>
      <c r="B533" s="116" t="s">
        <v>163</v>
      </c>
      <c r="C533" s="135">
        <v>85.01</v>
      </c>
      <c r="D533" s="46"/>
      <c r="E533" s="30"/>
      <c r="F533" s="46"/>
      <c r="G533" s="30"/>
      <c r="H533" s="30"/>
      <c r="I533" s="30"/>
      <c r="J533" s="30"/>
      <c r="K533" s="64"/>
      <c r="L533" s="30"/>
      <c r="M533" s="30"/>
      <c r="N533" s="30"/>
      <c r="O533" s="30">
        <f t="shared" si="615"/>
        <v>0</v>
      </c>
      <c r="P533" s="100">
        <f t="shared" si="619"/>
        <v>0</v>
      </c>
      <c r="Q533" s="30"/>
      <c r="R533" s="30"/>
      <c r="S533" s="30"/>
    </row>
    <row r="534" spans="1:19" ht="16.5" customHeight="1">
      <c r="A534" s="12"/>
      <c r="B534" s="129" t="s">
        <v>164</v>
      </c>
      <c r="C534" s="135"/>
      <c r="D534" s="138">
        <f t="shared" ref="D534:S534" si="624">D535</f>
        <v>280</v>
      </c>
      <c r="E534" s="138">
        <f t="shared" si="624"/>
        <v>0</v>
      </c>
      <c r="F534" s="138">
        <f t="shared" si="624"/>
        <v>0</v>
      </c>
      <c r="G534" s="138">
        <f t="shared" si="624"/>
        <v>0</v>
      </c>
      <c r="H534" s="138">
        <f t="shared" si="624"/>
        <v>0</v>
      </c>
      <c r="I534" s="138">
        <f t="shared" si="624"/>
        <v>96</v>
      </c>
      <c r="J534" s="138">
        <f t="shared" si="624"/>
        <v>6</v>
      </c>
      <c r="K534" s="206">
        <f t="shared" si="624"/>
        <v>6</v>
      </c>
      <c r="L534" s="138">
        <f t="shared" si="624"/>
        <v>0</v>
      </c>
      <c r="M534" s="138">
        <f t="shared" si="624"/>
        <v>0</v>
      </c>
      <c r="N534" s="138">
        <f t="shared" si="624"/>
        <v>0</v>
      </c>
      <c r="O534" s="30">
        <f t="shared" si="615"/>
        <v>6</v>
      </c>
      <c r="P534" s="100">
        <f t="shared" si="619"/>
        <v>0</v>
      </c>
      <c r="Q534" s="138">
        <f t="shared" si="624"/>
        <v>0</v>
      </c>
      <c r="R534" s="138">
        <f t="shared" si="624"/>
        <v>0</v>
      </c>
      <c r="S534" s="138">
        <f t="shared" si="624"/>
        <v>0</v>
      </c>
    </row>
    <row r="535" spans="1:19" ht="16.5" customHeight="1">
      <c r="A535" s="12"/>
      <c r="B535" s="116" t="s">
        <v>269</v>
      </c>
      <c r="C535" s="135">
        <v>70</v>
      </c>
      <c r="D535" s="46">
        <v>280</v>
      </c>
      <c r="E535" s="30">
        <v>0</v>
      </c>
      <c r="F535" s="46">
        <v>0</v>
      </c>
      <c r="G535" s="30">
        <v>0</v>
      </c>
      <c r="H535" s="30">
        <v>0</v>
      </c>
      <c r="I535" s="30">
        <v>96</v>
      </c>
      <c r="J535" s="30">
        <v>6</v>
      </c>
      <c r="K535" s="64">
        <v>6</v>
      </c>
      <c r="L535" s="30">
        <v>0</v>
      </c>
      <c r="M535" s="30"/>
      <c r="N535" s="30"/>
      <c r="O535" s="30">
        <f t="shared" si="615"/>
        <v>6</v>
      </c>
      <c r="P535" s="100">
        <f t="shared" si="619"/>
        <v>0</v>
      </c>
      <c r="Q535" s="30">
        <v>0</v>
      </c>
      <c r="R535" s="30">
        <v>0</v>
      </c>
      <c r="S535" s="30">
        <v>0</v>
      </c>
    </row>
    <row r="536" spans="1:19" ht="29.25" customHeight="1">
      <c r="A536" s="12" t="s">
        <v>270</v>
      </c>
      <c r="B536" s="255" t="s">
        <v>634</v>
      </c>
      <c r="C536" s="37" t="s">
        <v>271</v>
      </c>
      <c r="D536" s="138">
        <f t="shared" ref="D536:S536" si="625">D537+D545</f>
        <v>268</v>
      </c>
      <c r="E536" s="138">
        <f t="shared" si="625"/>
        <v>310</v>
      </c>
      <c r="F536" s="138">
        <f t="shared" si="625"/>
        <v>303</v>
      </c>
      <c r="G536" s="138">
        <f t="shared" si="625"/>
        <v>310</v>
      </c>
      <c r="H536" s="138">
        <f t="shared" ref="H536" si="626">H537+H545</f>
        <v>255</v>
      </c>
      <c r="I536" s="138">
        <f t="shared" si="625"/>
        <v>440</v>
      </c>
      <c r="J536" s="138">
        <f t="shared" si="625"/>
        <v>397</v>
      </c>
      <c r="K536" s="206">
        <f t="shared" ref="K536:N536" si="627">K537+K545</f>
        <v>140</v>
      </c>
      <c r="L536" s="138">
        <f t="shared" si="627"/>
        <v>86</v>
      </c>
      <c r="M536" s="138">
        <f t="shared" si="627"/>
        <v>86</v>
      </c>
      <c r="N536" s="138">
        <f t="shared" si="627"/>
        <v>85</v>
      </c>
      <c r="O536" s="30">
        <f t="shared" si="615"/>
        <v>397</v>
      </c>
      <c r="P536" s="100">
        <f t="shared" si="619"/>
        <v>0</v>
      </c>
      <c r="Q536" s="138">
        <f t="shared" si="625"/>
        <v>397</v>
      </c>
      <c r="R536" s="138">
        <f t="shared" si="625"/>
        <v>406</v>
      </c>
      <c r="S536" s="138">
        <f t="shared" si="625"/>
        <v>421</v>
      </c>
    </row>
    <row r="537" spans="1:19" ht="14.25">
      <c r="A537" s="12"/>
      <c r="B537" s="129" t="s">
        <v>152</v>
      </c>
      <c r="C537" s="135"/>
      <c r="D537" s="138">
        <f t="shared" ref="D537:S537" si="628">D538</f>
        <v>261</v>
      </c>
      <c r="E537" s="138">
        <f t="shared" si="628"/>
        <v>310</v>
      </c>
      <c r="F537" s="138">
        <f t="shared" si="628"/>
        <v>303</v>
      </c>
      <c r="G537" s="138">
        <f t="shared" si="628"/>
        <v>310</v>
      </c>
      <c r="H537" s="138">
        <f t="shared" si="628"/>
        <v>255</v>
      </c>
      <c r="I537" s="138">
        <f t="shared" si="628"/>
        <v>388</v>
      </c>
      <c r="J537" s="138">
        <f t="shared" si="628"/>
        <v>345</v>
      </c>
      <c r="K537" s="206">
        <f t="shared" si="628"/>
        <v>88</v>
      </c>
      <c r="L537" s="138">
        <f t="shared" si="628"/>
        <v>86</v>
      </c>
      <c r="M537" s="138">
        <f t="shared" si="628"/>
        <v>86</v>
      </c>
      <c r="N537" s="138">
        <f t="shared" si="628"/>
        <v>85</v>
      </c>
      <c r="O537" s="30">
        <f t="shared" si="615"/>
        <v>345</v>
      </c>
      <c r="P537" s="100">
        <f t="shared" si="619"/>
        <v>0</v>
      </c>
      <c r="Q537" s="138">
        <f t="shared" si="628"/>
        <v>397</v>
      </c>
      <c r="R537" s="138">
        <f t="shared" si="628"/>
        <v>406</v>
      </c>
      <c r="S537" s="138">
        <f t="shared" si="628"/>
        <v>421</v>
      </c>
    </row>
    <row r="538" spans="1:19" ht="21.75" customHeight="1">
      <c r="A538" s="12"/>
      <c r="B538" s="116" t="s">
        <v>153</v>
      </c>
      <c r="C538" s="135">
        <v>1</v>
      </c>
      <c r="D538" s="102">
        <f t="shared" ref="D538:S538" si="629">D539+D541+D542+D543+D544</f>
        <v>261</v>
      </c>
      <c r="E538" s="102">
        <f t="shared" si="629"/>
        <v>310</v>
      </c>
      <c r="F538" s="102">
        <f t="shared" si="629"/>
        <v>303</v>
      </c>
      <c r="G538" s="102">
        <f t="shared" si="629"/>
        <v>310</v>
      </c>
      <c r="H538" s="102">
        <f t="shared" ref="H538" si="630">H539+H541+H542+H543+H544</f>
        <v>255</v>
      </c>
      <c r="I538" s="102">
        <f t="shared" si="629"/>
        <v>388</v>
      </c>
      <c r="J538" s="102">
        <f t="shared" si="629"/>
        <v>345</v>
      </c>
      <c r="K538" s="208">
        <f t="shared" ref="K538:N538" si="631">K539+K541+K542+K543+K544</f>
        <v>88</v>
      </c>
      <c r="L538" s="102">
        <f t="shared" si="631"/>
        <v>86</v>
      </c>
      <c r="M538" s="102">
        <f t="shared" si="631"/>
        <v>86</v>
      </c>
      <c r="N538" s="102">
        <f t="shared" si="631"/>
        <v>85</v>
      </c>
      <c r="O538" s="30">
        <f t="shared" si="615"/>
        <v>345</v>
      </c>
      <c r="P538" s="100">
        <f t="shared" si="619"/>
        <v>0</v>
      </c>
      <c r="Q538" s="102">
        <f t="shared" si="629"/>
        <v>397</v>
      </c>
      <c r="R538" s="102">
        <f t="shared" si="629"/>
        <v>406</v>
      </c>
      <c r="S538" s="102">
        <f t="shared" si="629"/>
        <v>421</v>
      </c>
    </row>
    <row r="539" spans="1:19" ht="18.75" customHeight="1">
      <c r="A539" s="12"/>
      <c r="B539" s="116" t="s">
        <v>571</v>
      </c>
      <c r="C539" s="135">
        <v>10</v>
      </c>
      <c r="D539" s="46">
        <v>19</v>
      </c>
      <c r="E539" s="30">
        <v>22</v>
      </c>
      <c r="F539" s="46">
        <v>15</v>
      </c>
      <c r="G539" s="30">
        <v>22</v>
      </c>
      <c r="H539" s="30">
        <v>22</v>
      </c>
      <c r="I539" s="30">
        <v>30</v>
      </c>
      <c r="J539" s="30">
        <v>30</v>
      </c>
      <c r="K539" s="64">
        <v>8</v>
      </c>
      <c r="L539" s="30">
        <v>7</v>
      </c>
      <c r="M539" s="30">
        <v>8</v>
      </c>
      <c r="N539" s="30">
        <v>7</v>
      </c>
      <c r="O539" s="30">
        <f t="shared" si="615"/>
        <v>30</v>
      </c>
      <c r="P539" s="100">
        <f t="shared" si="619"/>
        <v>0</v>
      </c>
      <c r="Q539" s="30">
        <v>35</v>
      </c>
      <c r="R539" s="30">
        <v>35</v>
      </c>
      <c r="S539" s="30">
        <v>40</v>
      </c>
    </row>
    <row r="540" spans="1:19" ht="0.75" customHeight="1">
      <c r="A540" s="12"/>
      <c r="B540" s="116" t="s">
        <v>675</v>
      </c>
      <c r="C540" s="135"/>
      <c r="D540" s="46">
        <v>0</v>
      </c>
      <c r="E540" s="30"/>
      <c r="F540" s="46">
        <v>0</v>
      </c>
      <c r="G540" s="30"/>
      <c r="H540" s="30"/>
      <c r="I540" s="30"/>
      <c r="J540" s="30"/>
      <c r="K540" s="64"/>
      <c r="L540" s="30"/>
      <c r="M540" s="30"/>
      <c r="N540" s="30"/>
      <c r="O540" s="30">
        <f t="shared" si="615"/>
        <v>0</v>
      </c>
      <c r="P540" s="100">
        <f t="shared" si="619"/>
        <v>0</v>
      </c>
      <c r="Q540" s="30"/>
      <c r="R540" s="30"/>
      <c r="S540" s="30"/>
    </row>
    <row r="541" spans="1:19" ht="16.5" customHeight="1">
      <c r="A541" s="12"/>
      <c r="B541" s="116" t="s">
        <v>581</v>
      </c>
      <c r="C541" s="135">
        <v>20</v>
      </c>
      <c r="D541" s="46">
        <v>177</v>
      </c>
      <c r="E541" s="30">
        <v>170</v>
      </c>
      <c r="F541" s="46">
        <v>170</v>
      </c>
      <c r="G541" s="30">
        <v>170</v>
      </c>
      <c r="H541" s="30">
        <v>153</v>
      </c>
      <c r="I541" s="30">
        <v>200</v>
      </c>
      <c r="J541" s="30">
        <v>165</v>
      </c>
      <c r="K541" s="64">
        <v>42</v>
      </c>
      <c r="L541" s="30">
        <v>41</v>
      </c>
      <c r="M541" s="30">
        <v>41</v>
      </c>
      <c r="N541" s="30">
        <v>41</v>
      </c>
      <c r="O541" s="30">
        <f t="shared" si="615"/>
        <v>165</v>
      </c>
      <c r="P541" s="100">
        <f t="shared" si="619"/>
        <v>0</v>
      </c>
      <c r="Q541" s="30">
        <v>212</v>
      </c>
      <c r="R541" s="30">
        <v>221</v>
      </c>
      <c r="S541" s="30">
        <v>231</v>
      </c>
    </row>
    <row r="542" spans="1:19" ht="15.75" customHeight="1">
      <c r="A542" s="12"/>
      <c r="B542" s="116" t="s">
        <v>257</v>
      </c>
      <c r="C542" s="135" t="s">
        <v>509</v>
      </c>
      <c r="D542" s="46">
        <v>65</v>
      </c>
      <c r="E542" s="30">
        <v>118</v>
      </c>
      <c r="F542" s="46">
        <v>118</v>
      </c>
      <c r="G542" s="30">
        <v>118</v>
      </c>
      <c r="H542" s="30">
        <v>80</v>
      </c>
      <c r="I542" s="30">
        <v>158</v>
      </c>
      <c r="J542" s="30">
        <v>150</v>
      </c>
      <c r="K542" s="64">
        <v>38</v>
      </c>
      <c r="L542" s="30">
        <v>38</v>
      </c>
      <c r="M542" s="30">
        <v>37</v>
      </c>
      <c r="N542" s="30">
        <v>37</v>
      </c>
      <c r="O542" s="30">
        <f t="shared" si="615"/>
        <v>150</v>
      </c>
      <c r="P542" s="100">
        <f t="shared" si="619"/>
        <v>0</v>
      </c>
      <c r="Q542" s="30">
        <v>150</v>
      </c>
      <c r="R542" s="30">
        <v>150</v>
      </c>
      <c r="S542" s="30">
        <v>150</v>
      </c>
    </row>
    <row r="543" spans="1:19" ht="1.5" hidden="1" customHeight="1">
      <c r="A543" s="12"/>
      <c r="B543" s="116" t="s">
        <v>614</v>
      </c>
      <c r="C543" s="135" t="s">
        <v>615</v>
      </c>
      <c r="D543" s="46">
        <v>0</v>
      </c>
      <c r="E543" s="30">
        <v>0</v>
      </c>
      <c r="F543" s="46">
        <v>0</v>
      </c>
      <c r="G543" s="30">
        <v>0</v>
      </c>
      <c r="H543" s="30">
        <v>0</v>
      </c>
      <c r="I543" s="30">
        <v>0</v>
      </c>
      <c r="J543" s="30"/>
      <c r="K543" s="64"/>
      <c r="L543" s="30"/>
      <c r="M543" s="30"/>
      <c r="N543" s="30"/>
      <c r="O543" s="30">
        <f t="shared" si="615"/>
        <v>0</v>
      </c>
      <c r="P543" s="100">
        <f t="shared" si="619"/>
        <v>0</v>
      </c>
      <c r="Q543" s="30"/>
      <c r="R543" s="30"/>
      <c r="S543" s="30"/>
    </row>
    <row r="544" spans="1:19" ht="24" hidden="1" customHeight="1">
      <c r="A544" s="12"/>
      <c r="B544" s="116" t="s">
        <v>506</v>
      </c>
      <c r="C544" s="135">
        <v>85.01</v>
      </c>
      <c r="D544" s="46"/>
      <c r="E544" s="30"/>
      <c r="F544" s="46"/>
      <c r="G544" s="30"/>
      <c r="H544" s="30"/>
      <c r="I544" s="30"/>
      <c r="J544" s="30"/>
      <c r="K544" s="64"/>
      <c r="L544" s="30"/>
      <c r="M544" s="30"/>
      <c r="N544" s="30"/>
      <c r="O544" s="30">
        <f t="shared" si="615"/>
        <v>0</v>
      </c>
      <c r="P544" s="100">
        <f t="shared" si="619"/>
        <v>0</v>
      </c>
      <c r="Q544" s="30"/>
      <c r="R544" s="30"/>
      <c r="S544" s="30"/>
    </row>
    <row r="545" spans="1:19" ht="18" customHeight="1">
      <c r="A545" s="12"/>
      <c r="B545" s="129" t="s">
        <v>164</v>
      </c>
      <c r="C545" s="135"/>
      <c r="D545" s="102">
        <f t="shared" ref="D545:S545" si="632">D546</f>
        <v>7</v>
      </c>
      <c r="E545" s="102">
        <f t="shared" si="632"/>
        <v>0</v>
      </c>
      <c r="F545" s="102">
        <f t="shared" si="632"/>
        <v>0</v>
      </c>
      <c r="G545" s="102">
        <f t="shared" si="632"/>
        <v>0</v>
      </c>
      <c r="H545" s="102">
        <f t="shared" si="632"/>
        <v>0</v>
      </c>
      <c r="I545" s="102">
        <f t="shared" si="632"/>
        <v>52</v>
      </c>
      <c r="J545" s="102">
        <f t="shared" si="632"/>
        <v>52</v>
      </c>
      <c r="K545" s="208">
        <f t="shared" si="632"/>
        <v>52</v>
      </c>
      <c r="L545" s="102">
        <f t="shared" si="632"/>
        <v>0</v>
      </c>
      <c r="M545" s="102">
        <f t="shared" si="632"/>
        <v>0</v>
      </c>
      <c r="N545" s="102">
        <f t="shared" si="632"/>
        <v>0</v>
      </c>
      <c r="O545" s="30">
        <f t="shared" si="615"/>
        <v>52</v>
      </c>
      <c r="P545" s="100">
        <f t="shared" si="619"/>
        <v>0</v>
      </c>
      <c r="Q545" s="102">
        <f t="shared" si="632"/>
        <v>0</v>
      </c>
      <c r="R545" s="102">
        <f t="shared" si="632"/>
        <v>0</v>
      </c>
      <c r="S545" s="102">
        <f t="shared" si="632"/>
        <v>0</v>
      </c>
    </row>
    <row r="546" spans="1:19" ht="20.25" customHeight="1">
      <c r="A546" s="12"/>
      <c r="B546" s="116" t="s">
        <v>193</v>
      </c>
      <c r="C546" s="135">
        <v>70</v>
      </c>
      <c r="D546" s="46">
        <v>7</v>
      </c>
      <c r="E546" s="30">
        <v>0</v>
      </c>
      <c r="F546" s="46">
        <v>0</v>
      </c>
      <c r="G546" s="30">
        <v>0</v>
      </c>
      <c r="H546" s="30">
        <v>0</v>
      </c>
      <c r="I546" s="30">
        <v>52</v>
      </c>
      <c r="J546" s="30">
        <v>52</v>
      </c>
      <c r="K546" s="64">
        <v>52</v>
      </c>
      <c r="L546" s="30">
        <v>0</v>
      </c>
      <c r="M546" s="30"/>
      <c r="N546" s="30"/>
      <c r="O546" s="30">
        <f t="shared" si="615"/>
        <v>52</v>
      </c>
      <c r="P546" s="100">
        <f t="shared" si="619"/>
        <v>0</v>
      </c>
      <c r="Q546" s="30">
        <v>0</v>
      </c>
      <c r="R546" s="30">
        <v>0</v>
      </c>
      <c r="S546" s="30">
        <v>0</v>
      </c>
    </row>
    <row r="547" spans="1:19" ht="42.75" customHeight="1">
      <c r="A547" s="12" t="s">
        <v>272</v>
      </c>
      <c r="B547" s="250" t="s">
        <v>652</v>
      </c>
      <c r="C547" s="37" t="s">
        <v>271</v>
      </c>
      <c r="D547" s="138">
        <f t="shared" ref="D547:S547" si="633">D548+D556</f>
        <v>366</v>
      </c>
      <c r="E547" s="138">
        <f t="shared" si="633"/>
        <v>489</v>
      </c>
      <c r="F547" s="138">
        <f t="shared" si="633"/>
        <v>475</v>
      </c>
      <c r="G547" s="138">
        <f t="shared" si="633"/>
        <v>489</v>
      </c>
      <c r="H547" s="138">
        <f t="shared" ref="H547" si="634">H548+H556</f>
        <v>440</v>
      </c>
      <c r="I547" s="138">
        <f t="shared" si="633"/>
        <v>733</v>
      </c>
      <c r="J547" s="138">
        <f t="shared" si="633"/>
        <v>512</v>
      </c>
      <c r="K547" s="206">
        <f t="shared" ref="K547:N547" si="635">K548+K556</f>
        <v>140</v>
      </c>
      <c r="L547" s="138">
        <f t="shared" si="635"/>
        <v>124</v>
      </c>
      <c r="M547" s="138">
        <f t="shared" si="635"/>
        <v>125</v>
      </c>
      <c r="N547" s="138">
        <f t="shared" si="635"/>
        <v>123</v>
      </c>
      <c r="O547" s="30">
        <f t="shared" si="615"/>
        <v>512</v>
      </c>
      <c r="P547" s="100">
        <f t="shared" si="619"/>
        <v>0</v>
      </c>
      <c r="Q547" s="138">
        <f t="shared" si="633"/>
        <v>592</v>
      </c>
      <c r="R547" s="138">
        <f t="shared" si="633"/>
        <v>607</v>
      </c>
      <c r="S547" s="138">
        <f t="shared" si="633"/>
        <v>617</v>
      </c>
    </row>
    <row r="548" spans="1:19" ht="15" customHeight="1">
      <c r="A548" s="12"/>
      <c r="B548" s="129" t="s">
        <v>152</v>
      </c>
      <c r="C548" s="135"/>
      <c r="D548" s="102">
        <f t="shared" ref="D548:S548" si="636">D549+D555</f>
        <v>366</v>
      </c>
      <c r="E548" s="102">
        <f t="shared" si="636"/>
        <v>489</v>
      </c>
      <c r="F548" s="102">
        <f t="shared" si="636"/>
        <v>475</v>
      </c>
      <c r="G548" s="102">
        <f t="shared" si="636"/>
        <v>489</v>
      </c>
      <c r="H548" s="102">
        <f t="shared" ref="H548" si="637">H549+H555</f>
        <v>440</v>
      </c>
      <c r="I548" s="102">
        <f t="shared" si="636"/>
        <v>718</v>
      </c>
      <c r="J548" s="102">
        <f t="shared" si="636"/>
        <v>497</v>
      </c>
      <c r="K548" s="208">
        <f t="shared" ref="K548:N548" si="638">K549+K555</f>
        <v>125</v>
      </c>
      <c r="L548" s="102">
        <f t="shared" si="638"/>
        <v>124</v>
      </c>
      <c r="M548" s="102">
        <f t="shared" si="638"/>
        <v>125</v>
      </c>
      <c r="N548" s="102">
        <f t="shared" si="638"/>
        <v>123</v>
      </c>
      <c r="O548" s="30">
        <f t="shared" si="615"/>
        <v>497</v>
      </c>
      <c r="P548" s="100">
        <f t="shared" si="619"/>
        <v>0</v>
      </c>
      <c r="Q548" s="102">
        <f t="shared" si="636"/>
        <v>592</v>
      </c>
      <c r="R548" s="102">
        <f t="shared" si="636"/>
        <v>607</v>
      </c>
      <c r="S548" s="102">
        <f t="shared" si="636"/>
        <v>617</v>
      </c>
    </row>
    <row r="549" spans="1:19" ht="15" customHeight="1">
      <c r="A549" s="12"/>
      <c r="B549" s="116" t="s">
        <v>153</v>
      </c>
      <c r="C549" s="135">
        <v>1</v>
      </c>
      <c r="D549" s="102">
        <f t="shared" ref="D549:S549" si="639">D550+D552+D553+D554+D555</f>
        <v>366</v>
      </c>
      <c r="E549" s="102">
        <f t="shared" si="639"/>
        <v>489</v>
      </c>
      <c r="F549" s="102">
        <f t="shared" si="639"/>
        <v>475</v>
      </c>
      <c r="G549" s="102">
        <f t="shared" si="639"/>
        <v>489</v>
      </c>
      <c r="H549" s="102">
        <f t="shared" ref="H549" si="640">H550+H552+H553+H554+H555</f>
        <v>440</v>
      </c>
      <c r="I549" s="102">
        <f t="shared" si="639"/>
        <v>718</v>
      </c>
      <c r="J549" s="102">
        <f t="shared" si="639"/>
        <v>497</v>
      </c>
      <c r="K549" s="208">
        <f t="shared" ref="K549:N549" si="641">K550+K552+K553+K554+K555</f>
        <v>125</v>
      </c>
      <c r="L549" s="102">
        <f t="shared" si="641"/>
        <v>124</v>
      </c>
      <c r="M549" s="102">
        <f t="shared" si="641"/>
        <v>125</v>
      </c>
      <c r="N549" s="102">
        <f t="shared" si="641"/>
        <v>123</v>
      </c>
      <c r="O549" s="30">
        <f t="shared" si="615"/>
        <v>497</v>
      </c>
      <c r="P549" s="100">
        <f t="shared" si="619"/>
        <v>0</v>
      </c>
      <c r="Q549" s="102">
        <f t="shared" si="639"/>
        <v>592</v>
      </c>
      <c r="R549" s="102">
        <f t="shared" si="639"/>
        <v>607</v>
      </c>
      <c r="S549" s="102">
        <f t="shared" si="639"/>
        <v>617</v>
      </c>
    </row>
    <row r="550" spans="1:19" ht="17.25" customHeight="1">
      <c r="A550" s="12"/>
      <c r="B550" s="116" t="s">
        <v>571</v>
      </c>
      <c r="C550" s="135">
        <v>10</v>
      </c>
      <c r="D550" s="46">
        <v>31</v>
      </c>
      <c r="E550" s="30">
        <v>35</v>
      </c>
      <c r="F550" s="46">
        <v>30</v>
      </c>
      <c r="G550" s="30">
        <v>35</v>
      </c>
      <c r="H550" s="30">
        <v>35</v>
      </c>
      <c r="I550" s="30">
        <v>52</v>
      </c>
      <c r="J550" s="30">
        <v>50</v>
      </c>
      <c r="K550" s="64">
        <v>13</v>
      </c>
      <c r="L550" s="30">
        <v>12</v>
      </c>
      <c r="M550" s="30">
        <v>13</v>
      </c>
      <c r="N550" s="30">
        <v>12</v>
      </c>
      <c r="O550" s="30">
        <f t="shared" si="615"/>
        <v>50</v>
      </c>
      <c r="P550" s="100">
        <f t="shared" si="619"/>
        <v>0</v>
      </c>
      <c r="Q550" s="30">
        <v>55</v>
      </c>
      <c r="R550" s="30">
        <v>60</v>
      </c>
      <c r="S550" s="30">
        <v>60</v>
      </c>
    </row>
    <row r="551" spans="1:19" ht="0.75" customHeight="1">
      <c r="A551" s="12"/>
      <c r="B551" s="116" t="s">
        <v>675</v>
      </c>
      <c r="C551" s="135"/>
      <c r="D551" s="46"/>
      <c r="E551" s="30"/>
      <c r="F551" s="46"/>
      <c r="G551" s="30"/>
      <c r="H551" s="30"/>
      <c r="I551" s="30"/>
      <c r="J551" s="30"/>
      <c r="K551" s="64"/>
      <c r="L551" s="30"/>
      <c r="M551" s="30"/>
      <c r="N551" s="30"/>
      <c r="O551" s="30">
        <f t="shared" si="615"/>
        <v>0</v>
      </c>
      <c r="P551" s="100">
        <f t="shared" si="619"/>
        <v>0</v>
      </c>
      <c r="Q551" s="30"/>
      <c r="R551" s="30"/>
      <c r="S551" s="30"/>
    </row>
    <row r="552" spans="1:19" ht="15" customHeight="1">
      <c r="A552" s="12"/>
      <c r="B552" s="116" t="s">
        <v>581</v>
      </c>
      <c r="C552" s="135">
        <v>20</v>
      </c>
      <c r="D552" s="46">
        <v>172</v>
      </c>
      <c r="E552" s="30">
        <v>200</v>
      </c>
      <c r="F552" s="46">
        <v>200</v>
      </c>
      <c r="G552" s="30">
        <v>200</v>
      </c>
      <c r="H552" s="30">
        <v>152</v>
      </c>
      <c r="I552" s="30">
        <v>246</v>
      </c>
      <c r="J552" s="30">
        <v>160</v>
      </c>
      <c r="K552" s="64">
        <v>40</v>
      </c>
      <c r="L552" s="30">
        <v>40</v>
      </c>
      <c r="M552" s="30">
        <v>40</v>
      </c>
      <c r="N552" s="30">
        <v>40</v>
      </c>
      <c r="O552" s="30">
        <f t="shared" si="615"/>
        <v>160</v>
      </c>
      <c r="P552" s="100">
        <f t="shared" si="619"/>
        <v>0</v>
      </c>
      <c r="Q552" s="30">
        <v>250</v>
      </c>
      <c r="R552" s="30">
        <v>260</v>
      </c>
      <c r="S552" s="30">
        <v>270</v>
      </c>
    </row>
    <row r="553" spans="1:19" ht="14.25" customHeight="1">
      <c r="A553" s="12"/>
      <c r="B553" s="116" t="s">
        <v>257</v>
      </c>
      <c r="C553" s="135" t="s">
        <v>509</v>
      </c>
      <c r="D553" s="46">
        <v>163</v>
      </c>
      <c r="E553" s="30">
        <v>221</v>
      </c>
      <c r="F553" s="46">
        <v>221</v>
      </c>
      <c r="G553" s="30">
        <v>221</v>
      </c>
      <c r="H553" s="30">
        <v>221</v>
      </c>
      <c r="I553" s="30">
        <v>323</v>
      </c>
      <c r="J553" s="30">
        <v>287</v>
      </c>
      <c r="K553" s="64">
        <v>72</v>
      </c>
      <c r="L553" s="30">
        <v>72</v>
      </c>
      <c r="M553" s="30">
        <v>72</v>
      </c>
      <c r="N553" s="30">
        <v>71</v>
      </c>
      <c r="O553" s="30">
        <f t="shared" si="615"/>
        <v>287</v>
      </c>
      <c r="P553" s="100">
        <f t="shared" si="619"/>
        <v>0</v>
      </c>
      <c r="Q553" s="30">
        <v>287</v>
      </c>
      <c r="R553" s="30">
        <v>287</v>
      </c>
      <c r="S553" s="30">
        <v>287</v>
      </c>
    </row>
    <row r="554" spans="1:19" ht="0.75" customHeight="1">
      <c r="A554" s="12"/>
      <c r="B554" s="116" t="s">
        <v>614</v>
      </c>
      <c r="C554" s="135" t="s">
        <v>615</v>
      </c>
      <c r="D554" s="46">
        <v>0</v>
      </c>
      <c r="E554" s="30">
        <v>33</v>
      </c>
      <c r="F554" s="46">
        <v>24</v>
      </c>
      <c r="G554" s="30">
        <v>33</v>
      </c>
      <c r="H554" s="30">
        <v>32</v>
      </c>
      <c r="I554" s="30">
        <v>97</v>
      </c>
      <c r="J554" s="30">
        <v>0</v>
      </c>
      <c r="K554" s="64">
        <v>0</v>
      </c>
      <c r="L554" s="30">
        <v>0</v>
      </c>
      <c r="M554" s="30"/>
      <c r="N554" s="30">
        <v>0</v>
      </c>
      <c r="O554" s="30">
        <f t="shared" si="615"/>
        <v>0</v>
      </c>
      <c r="P554" s="100">
        <f t="shared" si="619"/>
        <v>0</v>
      </c>
      <c r="Q554" s="30"/>
      <c r="R554" s="30"/>
      <c r="S554" s="30"/>
    </row>
    <row r="555" spans="1:19" ht="20.25" hidden="1" customHeight="1">
      <c r="A555" s="12"/>
      <c r="B555" s="116" t="s">
        <v>163</v>
      </c>
      <c r="C555" s="135">
        <v>85.01</v>
      </c>
      <c r="D555" s="46"/>
      <c r="E555" s="30"/>
      <c r="F555" s="46"/>
      <c r="G555" s="30"/>
      <c r="H555" s="30"/>
      <c r="I555" s="30"/>
      <c r="J555" s="30"/>
      <c r="K555" s="64"/>
      <c r="L555" s="30"/>
      <c r="M555" s="30"/>
      <c r="N555" s="30"/>
      <c r="O555" s="30">
        <f t="shared" si="615"/>
        <v>0</v>
      </c>
      <c r="P555" s="100">
        <f t="shared" si="619"/>
        <v>0</v>
      </c>
      <c r="Q555" s="30"/>
      <c r="R555" s="30"/>
      <c r="S555" s="30"/>
    </row>
    <row r="556" spans="1:19" ht="16.5" customHeight="1">
      <c r="A556" s="12"/>
      <c r="B556" s="129" t="s">
        <v>164</v>
      </c>
      <c r="C556" s="135"/>
      <c r="D556" s="102">
        <f t="shared" ref="D556:S556" si="642">D557</f>
        <v>0</v>
      </c>
      <c r="E556" s="102">
        <f t="shared" si="642"/>
        <v>0</v>
      </c>
      <c r="F556" s="102">
        <f t="shared" si="642"/>
        <v>0</v>
      </c>
      <c r="G556" s="102">
        <f t="shared" si="642"/>
        <v>0</v>
      </c>
      <c r="H556" s="102">
        <f t="shared" si="642"/>
        <v>0</v>
      </c>
      <c r="I556" s="102">
        <f t="shared" si="642"/>
        <v>15</v>
      </c>
      <c r="J556" s="102">
        <f t="shared" si="642"/>
        <v>15</v>
      </c>
      <c r="K556" s="208">
        <f t="shared" si="642"/>
        <v>15</v>
      </c>
      <c r="L556" s="102">
        <f t="shared" si="642"/>
        <v>0</v>
      </c>
      <c r="M556" s="102">
        <f t="shared" si="642"/>
        <v>0</v>
      </c>
      <c r="N556" s="102">
        <f t="shared" si="642"/>
        <v>0</v>
      </c>
      <c r="O556" s="30">
        <f t="shared" si="615"/>
        <v>15</v>
      </c>
      <c r="P556" s="100">
        <f t="shared" si="619"/>
        <v>0</v>
      </c>
      <c r="Q556" s="102">
        <f t="shared" si="642"/>
        <v>0</v>
      </c>
      <c r="R556" s="102">
        <f t="shared" si="642"/>
        <v>0</v>
      </c>
      <c r="S556" s="102">
        <f t="shared" si="642"/>
        <v>0</v>
      </c>
    </row>
    <row r="557" spans="1:19" ht="18.75" customHeight="1">
      <c r="A557" s="12"/>
      <c r="B557" s="116" t="s">
        <v>193</v>
      </c>
      <c r="C557" s="135">
        <v>70</v>
      </c>
      <c r="D557" s="46">
        <v>0</v>
      </c>
      <c r="E557" s="30">
        <v>0</v>
      </c>
      <c r="F557" s="46">
        <v>0</v>
      </c>
      <c r="G557" s="30">
        <v>0</v>
      </c>
      <c r="H557" s="31"/>
      <c r="I557" s="30">
        <v>15</v>
      </c>
      <c r="J557" s="30">
        <v>15</v>
      </c>
      <c r="K557" s="64">
        <v>15</v>
      </c>
      <c r="L557" s="30">
        <v>0</v>
      </c>
      <c r="M557" s="30"/>
      <c r="N557" s="30"/>
      <c r="O557" s="30">
        <f t="shared" si="615"/>
        <v>15</v>
      </c>
      <c r="P557" s="100">
        <f t="shared" si="619"/>
        <v>0</v>
      </c>
      <c r="Q557" s="30">
        <v>0</v>
      </c>
      <c r="R557" s="30">
        <v>0</v>
      </c>
      <c r="S557" s="30">
        <v>0</v>
      </c>
    </row>
    <row r="558" spans="1:19" ht="25.5">
      <c r="A558" s="12" t="s">
        <v>273</v>
      </c>
      <c r="B558" s="250" t="s">
        <v>463</v>
      </c>
      <c r="C558" s="135" t="s">
        <v>274</v>
      </c>
      <c r="D558" s="138">
        <f t="shared" ref="D558:S559" si="643">D559</f>
        <v>5230.54</v>
      </c>
      <c r="E558" s="138">
        <f t="shared" si="643"/>
        <v>9466</v>
      </c>
      <c r="F558" s="138">
        <f t="shared" si="643"/>
        <v>11902</v>
      </c>
      <c r="G558" s="138">
        <f t="shared" si="643"/>
        <v>9466</v>
      </c>
      <c r="H558" s="138">
        <f t="shared" si="643"/>
        <v>4248</v>
      </c>
      <c r="I558" s="138">
        <f t="shared" si="643"/>
        <v>13500</v>
      </c>
      <c r="J558" s="138">
        <f t="shared" si="643"/>
        <v>10123</v>
      </c>
      <c r="K558" s="206">
        <f t="shared" si="643"/>
        <v>3150</v>
      </c>
      <c r="L558" s="138">
        <f t="shared" si="643"/>
        <v>1750</v>
      </c>
      <c r="M558" s="138">
        <f t="shared" si="643"/>
        <v>3487</v>
      </c>
      <c r="N558" s="138">
        <f t="shared" si="643"/>
        <v>1736</v>
      </c>
      <c r="O558" s="30">
        <f t="shared" si="615"/>
        <v>10123</v>
      </c>
      <c r="P558" s="100">
        <f t="shared" si="619"/>
        <v>0</v>
      </c>
      <c r="Q558" s="138">
        <f t="shared" si="643"/>
        <v>15341</v>
      </c>
      <c r="R558" s="138">
        <f t="shared" si="643"/>
        <v>0</v>
      </c>
      <c r="S558" s="138">
        <f t="shared" si="643"/>
        <v>0</v>
      </c>
    </row>
    <row r="559" spans="1:19" ht="14.25">
      <c r="A559" s="12"/>
      <c r="B559" s="129" t="s">
        <v>152</v>
      </c>
      <c r="C559" s="135"/>
      <c r="D559" s="138">
        <f t="shared" si="643"/>
        <v>5230.54</v>
      </c>
      <c r="E559" s="138">
        <f t="shared" si="643"/>
        <v>9466</v>
      </c>
      <c r="F559" s="138">
        <f t="shared" si="643"/>
        <v>11902</v>
      </c>
      <c r="G559" s="138">
        <f t="shared" si="643"/>
        <v>9466</v>
      </c>
      <c r="H559" s="138">
        <f t="shared" si="643"/>
        <v>4248</v>
      </c>
      <c r="I559" s="138">
        <f t="shared" si="643"/>
        <v>13500</v>
      </c>
      <c r="J559" s="138">
        <f t="shared" si="643"/>
        <v>10123</v>
      </c>
      <c r="K559" s="206">
        <f t="shared" si="643"/>
        <v>3150</v>
      </c>
      <c r="L559" s="138">
        <f t="shared" si="643"/>
        <v>1750</v>
      </c>
      <c r="M559" s="138">
        <f t="shared" si="643"/>
        <v>3487</v>
      </c>
      <c r="N559" s="138">
        <f t="shared" si="643"/>
        <v>1736</v>
      </c>
      <c r="O559" s="30">
        <f t="shared" si="615"/>
        <v>10123</v>
      </c>
      <c r="P559" s="100">
        <f t="shared" si="619"/>
        <v>0</v>
      </c>
      <c r="Q559" s="138">
        <f t="shared" si="643"/>
        <v>15341</v>
      </c>
      <c r="R559" s="138">
        <f t="shared" si="643"/>
        <v>0</v>
      </c>
      <c r="S559" s="138">
        <f t="shared" si="643"/>
        <v>0</v>
      </c>
    </row>
    <row r="560" spans="1:19" ht="14.25" customHeight="1">
      <c r="A560" s="12"/>
      <c r="B560" s="116" t="s">
        <v>153</v>
      </c>
      <c r="C560" s="135">
        <v>1</v>
      </c>
      <c r="D560" s="102">
        <f t="shared" ref="D560:S560" si="644">D562+D561+D563</f>
        <v>5230.54</v>
      </c>
      <c r="E560" s="102">
        <f t="shared" si="644"/>
        <v>9466</v>
      </c>
      <c r="F560" s="102">
        <f t="shared" si="644"/>
        <v>11902</v>
      </c>
      <c r="G560" s="102">
        <f t="shared" si="644"/>
        <v>9466</v>
      </c>
      <c r="H560" s="102">
        <f t="shared" ref="H560" si="645">H562+H561+H563</f>
        <v>4248</v>
      </c>
      <c r="I560" s="102">
        <f t="shared" si="644"/>
        <v>13500</v>
      </c>
      <c r="J560" s="102">
        <f t="shared" si="644"/>
        <v>10123</v>
      </c>
      <c r="K560" s="208">
        <f t="shared" ref="K560:N560" si="646">K562+K561+K563</f>
        <v>3150</v>
      </c>
      <c r="L560" s="102">
        <f t="shared" si="646"/>
        <v>1750</v>
      </c>
      <c r="M560" s="102">
        <f t="shared" si="646"/>
        <v>3487</v>
      </c>
      <c r="N560" s="102">
        <f t="shared" si="646"/>
        <v>1736</v>
      </c>
      <c r="O560" s="30">
        <f t="shared" si="615"/>
        <v>10123</v>
      </c>
      <c r="P560" s="100">
        <f t="shared" si="619"/>
        <v>0</v>
      </c>
      <c r="Q560" s="102">
        <f t="shared" si="644"/>
        <v>15341</v>
      </c>
      <c r="R560" s="102">
        <f t="shared" si="644"/>
        <v>0</v>
      </c>
      <c r="S560" s="102">
        <f t="shared" si="644"/>
        <v>0</v>
      </c>
    </row>
    <row r="561" spans="1:22" ht="0.75" customHeight="1">
      <c r="A561" s="12"/>
      <c r="B561" s="251" t="s">
        <v>275</v>
      </c>
      <c r="C561" s="135" t="s">
        <v>276</v>
      </c>
      <c r="D561" s="46"/>
      <c r="E561" s="30"/>
      <c r="F561" s="46"/>
      <c r="G561" s="30"/>
      <c r="H561" s="30"/>
      <c r="I561" s="30"/>
      <c r="J561" s="30"/>
      <c r="K561" s="64"/>
      <c r="L561" s="30"/>
      <c r="M561" s="30"/>
      <c r="N561" s="30"/>
      <c r="O561" s="30">
        <f t="shared" si="615"/>
        <v>0</v>
      </c>
      <c r="P561" s="100">
        <f t="shared" si="619"/>
        <v>0</v>
      </c>
      <c r="Q561" s="30"/>
      <c r="R561" s="30"/>
      <c r="S561" s="30"/>
    </row>
    <row r="562" spans="1:22" ht="18.75" customHeight="1">
      <c r="A562" s="183"/>
      <c r="B562" s="116" t="s">
        <v>277</v>
      </c>
      <c r="C562" s="135" t="s">
        <v>278</v>
      </c>
      <c r="D562" s="46">
        <v>5230.54</v>
      </c>
      <c r="E562" s="30">
        <v>9466</v>
      </c>
      <c r="F562" s="46">
        <f>11902</f>
        <v>11902</v>
      </c>
      <c r="G562" s="30">
        <v>9466</v>
      </c>
      <c r="H562" s="30">
        <v>4248</v>
      </c>
      <c r="I562" s="30">
        <v>13500</v>
      </c>
      <c r="J562" s="30">
        <v>10123</v>
      </c>
      <c r="K562" s="64">
        <f>4131-500-481</f>
        <v>3150</v>
      </c>
      <c r="L562" s="30">
        <f>3128-500-878</f>
        <v>1750</v>
      </c>
      <c r="M562" s="30">
        <f>2128+1359</f>
        <v>3487</v>
      </c>
      <c r="N562" s="30">
        <v>1736</v>
      </c>
      <c r="O562" s="30">
        <f t="shared" si="615"/>
        <v>10123</v>
      </c>
      <c r="P562" s="100">
        <f t="shared" si="619"/>
        <v>0</v>
      </c>
      <c r="Q562" s="30">
        <v>15341</v>
      </c>
      <c r="R562" s="30">
        <v>0</v>
      </c>
      <c r="S562" s="30">
        <v>0</v>
      </c>
    </row>
    <row r="563" spans="1:22" ht="0.75" customHeight="1">
      <c r="A563" s="183"/>
      <c r="B563" s="116" t="s">
        <v>506</v>
      </c>
      <c r="C563" s="135"/>
      <c r="D563" s="46"/>
      <c r="E563" s="30"/>
      <c r="F563" s="46"/>
      <c r="G563" s="30"/>
      <c r="H563" s="31"/>
      <c r="I563" s="30"/>
      <c r="J563" s="30"/>
      <c r="K563" s="64"/>
      <c r="L563" s="30"/>
      <c r="M563" s="30"/>
      <c r="N563" s="30"/>
      <c r="O563" s="30">
        <f t="shared" si="615"/>
        <v>0</v>
      </c>
      <c r="P563" s="100">
        <f t="shared" si="619"/>
        <v>0</v>
      </c>
      <c r="Q563" s="30"/>
      <c r="R563" s="30"/>
      <c r="S563" s="30"/>
    </row>
    <row r="564" spans="1:22" ht="27" customHeight="1">
      <c r="A564" s="12" t="s">
        <v>279</v>
      </c>
      <c r="B564" s="250" t="s">
        <v>621</v>
      </c>
      <c r="C564" s="135" t="s">
        <v>280</v>
      </c>
      <c r="D564" s="138">
        <f t="shared" ref="D564:S564" si="647">D565+D572</f>
        <v>233</v>
      </c>
      <c r="E564" s="138">
        <f t="shared" si="647"/>
        <v>250</v>
      </c>
      <c r="F564" s="138">
        <f t="shared" si="647"/>
        <v>180</v>
      </c>
      <c r="G564" s="138">
        <f t="shared" si="647"/>
        <v>250</v>
      </c>
      <c r="H564" s="138">
        <f t="shared" ref="H564" si="648">H565+H572</f>
        <v>246</v>
      </c>
      <c r="I564" s="138">
        <f t="shared" si="647"/>
        <v>404</v>
      </c>
      <c r="J564" s="138">
        <f t="shared" si="647"/>
        <v>260</v>
      </c>
      <c r="K564" s="206">
        <f t="shared" ref="K564:N564" si="649">K565+K572</f>
        <v>65</v>
      </c>
      <c r="L564" s="138">
        <f t="shared" si="649"/>
        <v>65</v>
      </c>
      <c r="M564" s="138">
        <f t="shared" si="649"/>
        <v>65</v>
      </c>
      <c r="N564" s="138">
        <f t="shared" si="649"/>
        <v>65</v>
      </c>
      <c r="O564" s="30">
        <f t="shared" si="615"/>
        <v>260</v>
      </c>
      <c r="P564" s="100">
        <f t="shared" si="619"/>
        <v>0</v>
      </c>
      <c r="Q564" s="138">
        <f t="shared" si="647"/>
        <v>305</v>
      </c>
      <c r="R564" s="138">
        <f t="shared" si="647"/>
        <v>314</v>
      </c>
      <c r="S564" s="138">
        <f t="shared" si="647"/>
        <v>319</v>
      </c>
    </row>
    <row r="565" spans="1:22" ht="12" customHeight="1">
      <c r="A565" s="12"/>
      <c r="B565" s="129" t="s">
        <v>152</v>
      </c>
      <c r="C565" s="135"/>
      <c r="D565" s="138">
        <f t="shared" ref="D565:S565" si="650">D566</f>
        <v>223</v>
      </c>
      <c r="E565" s="138">
        <f t="shared" si="650"/>
        <v>250</v>
      </c>
      <c r="F565" s="138">
        <f t="shared" si="650"/>
        <v>180</v>
      </c>
      <c r="G565" s="138">
        <f t="shared" si="650"/>
        <v>250</v>
      </c>
      <c r="H565" s="138">
        <f t="shared" si="650"/>
        <v>246</v>
      </c>
      <c r="I565" s="138">
        <f t="shared" si="650"/>
        <v>307</v>
      </c>
      <c r="J565" s="138">
        <f t="shared" si="650"/>
        <v>260</v>
      </c>
      <c r="K565" s="206">
        <f t="shared" si="650"/>
        <v>65</v>
      </c>
      <c r="L565" s="138">
        <f t="shared" si="650"/>
        <v>65</v>
      </c>
      <c r="M565" s="138">
        <f t="shared" si="650"/>
        <v>65</v>
      </c>
      <c r="N565" s="138">
        <f t="shared" si="650"/>
        <v>65</v>
      </c>
      <c r="O565" s="30">
        <f t="shared" si="615"/>
        <v>260</v>
      </c>
      <c r="P565" s="100">
        <f t="shared" si="619"/>
        <v>0</v>
      </c>
      <c r="Q565" s="138">
        <f t="shared" si="650"/>
        <v>305</v>
      </c>
      <c r="R565" s="138">
        <f t="shared" si="650"/>
        <v>314</v>
      </c>
      <c r="S565" s="138">
        <f t="shared" si="650"/>
        <v>319</v>
      </c>
    </row>
    <row r="566" spans="1:22" ht="14.25" customHeight="1">
      <c r="A566" s="12"/>
      <c r="B566" s="116" t="s">
        <v>153</v>
      </c>
      <c r="C566" s="135"/>
      <c r="D566" s="102">
        <f t="shared" ref="D566:S566" si="651">D567+D569+D570</f>
        <v>223</v>
      </c>
      <c r="E566" s="102">
        <f t="shared" si="651"/>
        <v>250</v>
      </c>
      <c r="F566" s="102">
        <f t="shared" si="651"/>
        <v>180</v>
      </c>
      <c r="G566" s="102">
        <f t="shared" si="651"/>
        <v>250</v>
      </c>
      <c r="H566" s="102">
        <f t="shared" ref="H566" si="652">H567+H569+H570</f>
        <v>246</v>
      </c>
      <c r="I566" s="102">
        <f t="shared" si="651"/>
        <v>307</v>
      </c>
      <c r="J566" s="102">
        <f t="shared" si="651"/>
        <v>260</v>
      </c>
      <c r="K566" s="208">
        <f t="shared" ref="K566:N566" si="653">K567+K569+K570</f>
        <v>65</v>
      </c>
      <c r="L566" s="102">
        <f t="shared" si="653"/>
        <v>65</v>
      </c>
      <c r="M566" s="102">
        <f t="shared" si="653"/>
        <v>65</v>
      </c>
      <c r="N566" s="102">
        <f t="shared" si="653"/>
        <v>65</v>
      </c>
      <c r="O566" s="30">
        <f t="shared" si="615"/>
        <v>260</v>
      </c>
      <c r="P566" s="100">
        <f t="shared" si="619"/>
        <v>0</v>
      </c>
      <c r="Q566" s="102">
        <f t="shared" si="651"/>
        <v>305</v>
      </c>
      <c r="R566" s="102">
        <f t="shared" si="651"/>
        <v>314</v>
      </c>
      <c r="S566" s="102">
        <f t="shared" si="651"/>
        <v>319</v>
      </c>
    </row>
    <row r="567" spans="1:22" ht="14.25" customHeight="1">
      <c r="A567" s="12"/>
      <c r="B567" s="116" t="s">
        <v>571</v>
      </c>
      <c r="C567" s="135">
        <v>10</v>
      </c>
      <c r="D567" s="46">
        <v>81</v>
      </c>
      <c r="E567" s="30">
        <v>120</v>
      </c>
      <c r="F567" s="46">
        <v>50</v>
      </c>
      <c r="G567" s="30">
        <v>120</v>
      </c>
      <c r="H567" s="30">
        <v>120</v>
      </c>
      <c r="I567" s="30">
        <v>136</v>
      </c>
      <c r="J567" s="30">
        <v>120</v>
      </c>
      <c r="K567" s="64">
        <v>30</v>
      </c>
      <c r="L567" s="30">
        <v>30</v>
      </c>
      <c r="M567" s="30">
        <v>30</v>
      </c>
      <c r="N567" s="30">
        <v>30</v>
      </c>
      <c r="O567" s="30">
        <f t="shared" si="615"/>
        <v>120</v>
      </c>
      <c r="P567" s="100">
        <f t="shared" si="619"/>
        <v>0</v>
      </c>
      <c r="Q567" s="30">
        <v>120</v>
      </c>
      <c r="R567" s="30">
        <v>120</v>
      </c>
      <c r="S567" s="30">
        <v>120</v>
      </c>
    </row>
    <row r="568" spans="1:22" ht="0.75" customHeight="1">
      <c r="A568" s="12"/>
      <c r="B568" s="116" t="s">
        <v>675</v>
      </c>
      <c r="C568" s="135"/>
      <c r="D568" s="46"/>
      <c r="E568" s="30"/>
      <c r="F568" s="46"/>
      <c r="G568" s="30"/>
      <c r="H568" s="30"/>
      <c r="I568" s="30"/>
      <c r="J568" s="30"/>
      <c r="K568" s="64"/>
      <c r="L568" s="30"/>
      <c r="M568" s="30"/>
      <c r="N568" s="30"/>
      <c r="O568" s="30">
        <f t="shared" si="615"/>
        <v>0</v>
      </c>
      <c r="P568" s="100">
        <f t="shared" si="619"/>
        <v>0</v>
      </c>
      <c r="Q568" s="30"/>
      <c r="R568" s="30"/>
      <c r="S568" s="30"/>
    </row>
    <row r="569" spans="1:22" ht="12.75" customHeight="1">
      <c r="A569" s="12"/>
      <c r="B569" s="116" t="s">
        <v>581</v>
      </c>
      <c r="C569" s="135">
        <v>20</v>
      </c>
      <c r="D569" s="46">
        <v>142</v>
      </c>
      <c r="E569" s="30">
        <v>130</v>
      </c>
      <c r="F569" s="46">
        <v>130</v>
      </c>
      <c r="G569" s="30">
        <v>130</v>
      </c>
      <c r="H569" s="30">
        <v>126</v>
      </c>
      <c r="I569" s="30">
        <v>171</v>
      </c>
      <c r="J569" s="30">
        <v>140</v>
      </c>
      <c r="K569" s="64">
        <v>35</v>
      </c>
      <c r="L569" s="30">
        <v>35</v>
      </c>
      <c r="M569" s="30">
        <v>35</v>
      </c>
      <c r="N569" s="30">
        <v>35</v>
      </c>
      <c r="O569" s="30">
        <f t="shared" si="615"/>
        <v>140</v>
      </c>
      <c r="P569" s="100">
        <f t="shared" si="619"/>
        <v>0</v>
      </c>
      <c r="Q569" s="30">
        <v>185</v>
      </c>
      <c r="R569" s="30">
        <v>194</v>
      </c>
      <c r="S569" s="30">
        <v>199</v>
      </c>
    </row>
    <row r="570" spans="1:22" ht="0.75" customHeight="1">
      <c r="A570" s="12"/>
      <c r="B570" s="116" t="s">
        <v>506</v>
      </c>
      <c r="C570" s="135"/>
      <c r="D570" s="46"/>
      <c r="E570" s="30"/>
      <c r="F570" s="46"/>
      <c r="G570" s="30"/>
      <c r="H570" s="30"/>
      <c r="I570" s="30"/>
      <c r="J570" s="30"/>
      <c r="K570" s="64"/>
      <c r="L570" s="30"/>
      <c r="M570" s="30"/>
      <c r="N570" s="30"/>
      <c r="O570" s="30">
        <f t="shared" si="615"/>
        <v>0</v>
      </c>
      <c r="P570" s="100">
        <f t="shared" si="619"/>
        <v>0</v>
      </c>
      <c r="Q570" s="30"/>
      <c r="R570" s="30"/>
      <c r="S570" s="30"/>
    </row>
    <row r="571" spans="1:22" ht="16.5" hidden="1" customHeight="1">
      <c r="A571" s="12"/>
      <c r="B571" s="116"/>
      <c r="C571" s="135"/>
      <c r="D571" s="46"/>
      <c r="E571" s="30"/>
      <c r="F571" s="46"/>
      <c r="G571" s="30"/>
      <c r="H571" s="30"/>
      <c r="I571" s="30"/>
      <c r="J571" s="30"/>
      <c r="K571" s="64"/>
      <c r="L571" s="30"/>
      <c r="M571" s="30"/>
      <c r="N571" s="30"/>
      <c r="O571" s="30">
        <f t="shared" si="615"/>
        <v>0</v>
      </c>
      <c r="P571" s="100">
        <f t="shared" si="619"/>
        <v>0</v>
      </c>
      <c r="Q571" s="30"/>
      <c r="R571" s="30"/>
      <c r="S571" s="30"/>
    </row>
    <row r="572" spans="1:22" ht="16.5" hidden="1" customHeight="1">
      <c r="A572" s="12"/>
      <c r="B572" s="129" t="s">
        <v>164</v>
      </c>
      <c r="C572" s="135"/>
      <c r="D572" s="102">
        <f t="shared" ref="D572:S572" si="654">D573</f>
        <v>10</v>
      </c>
      <c r="E572" s="102">
        <f t="shared" si="654"/>
        <v>0</v>
      </c>
      <c r="F572" s="102">
        <f t="shared" si="654"/>
        <v>0</v>
      </c>
      <c r="G572" s="102">
        <f t="shared" si="654"/>
        <v>0</v>
      </c>
      <c r="H572" s="102">
        <f t="shared" si="654"/>
        <v>0</v>
      </c>
      <c r="I572" s="102">
        <f t="shared" si="654"/>
        <v>97</v>
      </c>
      <c r="J572" s="102">
        <f t="shared" si="654"/>
        <v>0</v>
      </c>
      <c r="K572" s="208">
        <f t="shared" si="654"/>
        <v>0</v>
      </c>
      <c r="L572" s="102">
        <f t="shared" si="654"/>
        <v>0</v>
      </c>
      <c r="M572" s="102">
        <f t="shared" si="654"/>
        <v>0</v>
      </c>
      <c r="N572" s="102">
        <f t="shared" si="654"/>
        <v>0</v>
      </c>
      <c r="O572" s="30">
        <f t="shared" si="615"/>
        <v>0</v>
      </c>
      <c r="P572" s="100">
        <f t="shared" si="619"/>
        <v>0</v>
      </c>
      <c r="Q572" s="102">
        <f t="shared" si="654"/>
        <v>0</v>
      </c>
      <c r="R572" s="102">
        <f t="shared" si="654"/>
        <v>0</v>
      </c>
      <c r="S572" s="102">
        <f t="shared" si="654"/>
        <v>0</v>
      </c>
    </row>
    <row r="573" spans="1:22" ht="19.5" hidden="1" customHeight="1">
      <c r="A573" s="12"/>
      <c r="B573" s="116" t="s">
        <v>193</v>
      </c>
      <c r="C573" s="135">
        <v>70</v>
      </c>
      <c r="D573" s="46">
        <v>10</v>
      </c>
      <c r="E573" s="30">
        <v>0</v>
      </c>
      <c r="F573" s="46">
        <v>0</v>
      </c>
      <c r="G573" s="30">
        <v>0</v>
      </c>
      <c r="H573" s="30">
        <v>0</v>
      </c>
      <c r="I573" s="30">
        <v>97</v>
      </c>
      <c r="J573" s="30">
        <v>0</v>
      </c>
      <c r="K573" s="64">
        <v>0</v>
      </c>
      <c r="L573" s="30">
        <v>0</v>
      </c>
      <c r="M573" s="30">
        <v>0</v>
      </c>
      <c r="N573" s="30">
        <v>0</v>
      </c>
      <c r="O573" s="30">
        <f t="shared" si="615"/>
        <v>0</v>
      </c>
      <c r="P573" s="100">
        <f t="shared" si="619"/>
        <v>0</v>
      </c>
      <c r="Q573" s="30">
        <v>0</v>
      </c>
      <c r="R573" s="30">
        <v>0</v>
      </c>
      <c r="S573" s="30">
        <v>0</v>
      </c>
    </row>
    <row r="574" spans="1:22" ht="14.25">
      <c r="A574" s="180">
        <v>2</v>
      </c>
      <c r="B574" s="241" t="s">
        <v>590</v>
      </c>
      <c r="C574" s="242">
        <v>66.02</v>
      </c>
      <c r="D574" s="140">
        <f t="shared" ref="D574:S574" si="655">D575+D583+D617</f>
        <v>5613</v>
      </c>
      <c r="E574" s="140">
        <f t="shared" si="655"/>
        <v>30932</v>
      </c>
      <c r="F574" s="140">
        <f t="shared" si="655"/>
        <v>21702</v>
      </c>
      <c r="G574" s="140">
        <f t="shared" si="655"/>
        <v>30932</v>
      </c>
      <c r="H574" s="140">
        <f t="shared" si="655"/>
        <v>23231</v>
      </c>
      <c r="I574" s="140">
        <f t="shared" si="655"/>
        <v>6698</v>
      </c>
      <c r="J574" s="140">
        <f t="shared" si="655"/>
        <v>31656</v>
      </c>
      <c r="K574" s="209">
        <f t="shared" ref="K574:N574" si="656">K575+K583+K617</f>
        <v>4886</v>
      </c>
      <c r="L574" s="140">
        <f t="shared" si="656"/>
        <v>8445</v>
      </c>
      <c r="M574" s="140">
        <f t="shared" si="656"/>
        <v>9424</v>
      </c>
      <c r="N574" s="140">
        <f t="shared" si="656"/>
        <v>8901</v>
      </c>
      <c r="O574" s="30">
        <f t="shared" si="615"/>
        <v>31656</v>
      </c>
      <c r="P574" s="100">
        <f t="shared" si="619"/>
        <v>0</v>
      </c>
      <c r="Q574" s="151">
        <f t="shared" si="655"/>
        <v>13398</v>
      </c>
      <c r="R574" s="151">
        <f t="shared" si="655"/>
        <v>13398</v>
      </c>
      <c r="S574" s="151">
        <f t="shared" si="655"/>
        <v>13398</v>
      </c>
      <c r="V574" s="2" t="s">
        <v>617</v>
      </c>
    </row>
    <row r="575" spans="1:22" ht="14.25">
      <c r="A575" s="12" t="s">
        <v>281</v>
      </c>
      <c r="B575" s="129" t="s">
        <v>282</v>
      </c>
      <c r="C575" s="135" t="s">
        <v>283</v>
      </c>
      <c r="D575" s="138">
        <f t="shared" ref="D575:S575" si="657">D576+D580</f>
        <v>0</v>
      </c>
      <c r="E575" s="138">
        <f t="shared" si="657"/>
        <v>23796</v>
      </c>
      <c r="F575" s="138">
        <f t="shared" si="657"/>
        <v>16889</v>
      </c>
      <c r="G575" s="138">
        <f t="shared" si="657"/>
        <v>23796</v>
      </c>
      <c r="H575" s="138">
        <f t="shared" ref="H575" si="658">H576+H580</f>
        <v>17610</v>
      </c>
      <c r="I575" s="138">
        <f t="shared" si="657"/>
        <v>0</v>
      </c>
      <c r="J575" s="138">
        <f t="shared" si="657"/>
        <v>25258</v>
      </c>
      <c r="K575" s="206">
        <f t="shared" ref="K575:N575" si="659">K576+K580</f>
        <v>3221</v>
      </c>
      <c r="L575" s="138">
        <f t="shared" si="659"/>
        <v>6800</v>
      </c>
      <c r="M575" s="138">
        <f t="shared" si="659"/>
        <v>7800</v>
      </c>
      <c r="N575" s="138">
        <f t="shared" si="659"/>
        <v>7437</v>
      </c>
      <c r="O575" s="30">
        <f t="shared" si="615"/>
        <v>25258</v>
      </c>
      <c r="P575" s="100">
        <f t="shared" si="619"/>
        <v>0</v>
      </c>
      <c r="Q575" s="138">
        <f t="shared" si="657"/>
        <v>7000</v>
      </c>
      <c r="R575" s="138">
        <f t="shared" si="657"/>
        <v>7000</v>
      </c>
      <c r="S575" s="138">
        <f t="shared" si="657"/>
        <v>7000</v>
      </c>
    </row>
    <row r="576" spans="1:22" ht="14.25">
      <c r="A576" s="12"/>
      <c r="B576" s="129" t="s">
        <v>152</v>
      </c>
      <c r="C576" s="135"/>
      <c r="D576" s="138">
        <f t="shared" ref="D576:S578" si="660">D577</f>
        <v>0</v>
      </c>
      <c r="E576" s="138">
        <f t="shared" si="660"/>
        <v>7706</v>
      </c>
      <c r="F576" s="138">
        <f t="shared" si="660"/>
        <v>6889</v>
      </c>
      <c r="G576" s="138">
        <f t="shared" si="660"/>
        <v>7706</v>
      </c>
      <c r="H576" s="138">
        <f t="shared" si="660"/>
        <v>7226</v>
      </c>
      <c r="I576" s="138">
        <f t="shared" si="660"/>
        <v>0</v>
      </c>
      <c r="J576" s="138">
        <f t="shared" si="660"/>
        <v>7000</v>
      </c>
      <c r="K576" s="206">
        <f t="shared" si="660"/>
        <v>1600</v>
      </c>
      <c r="L576" s="138">
        <f t="shared" si="660"/>
        <v>1800</v>
      </c>
      <c r="M576" s="138">
        <f t="shared" si="660"/>
        <v>1800</v>
      </c>
      <c r="N576" s="138">
        <f t="shared" si="660"/>
        <v>1800</v>
      </c>
      <c r="O576" s="30">
        <f t="shared" si="615"/>
        <v>7000</v>
      </c>
      <c r="P576" s="100">
        <f t="shared" si="619"/>
        <v>0</v>
      </c>
      <c r="Q576" s="138">
        <f t="shared" si="660"/>
        <v>7000</v>
      </c>
      <c r="R576" s="138">
        <f t="shared" si="660"/>
        <v>7000</v>
      </c>
      <c r="S576" s="138">
        <f t="shared" si="660"/>
        <v>7000</v>
      </c>
    </row>
    <row r="577" spans="1:21" ht="14.25">
      <c r="A577" s="12"/>
      <c r="B577" s="116" t="s">
        <v>153</v>
      </c>
      <c r="C577" s="135">
        <v>1</v>
      </c>
      <c r="D577" s="102">
        <f t="shared" si="660"/>
        <v>0</v>
      </c>
      <c r="E577" s="102">
        <f t="shared" si="660"/>
        <v>7706</v>
      </c>
      <c r="F577" s="102">
        <f t="shared" si="660"/>
        <v>6889</v>
      </c>
      <c r="G577" s="102">
        <f t="shared" si="660"/>
        <v>7706</v>
      </c>
      <c r="H577" s="102">
        <f t="shared" si="660"/>
        <v>7226</v>
      </c>
      <c r="I577" s="102">
        <f t="shared" si="660"/>
        <v>0</v>
      </c>
      <c r="J577" s="102">
        <f t="shared" si="660"/>
        <v>7000</v>
      </c>
      <c r="K577" s="208">
        <f t="shared" si="660"/>
        <v>1600</v>
      </c>
      <c r="L577" s="102">
        <f t="shared" si="660"/>
        <v>1800</v>
      </c>
      <c r="M577" s="102">
        <f t="shared" si="660"/>
        <v>1800</v>
      </c>
      <c r="N577" s="102">
        <f t="shared" si="660"/>
        <v>1800</v>
      </c>
      <c r="O577" s="30">
        <f t="shared" si="615"/>
        <v>7000</v>
      </c>
      <c r="P577" s="100">
        <f t="shared" si="619"/>
        <v>0</v>
      </c>
      <c r="Q577" s="102">
        <f t="shared" si="660"/>
        <v>7000</v>
      </c>
      <c r="R577" s="102">
        <f t="shared" si="660"/>
        <v>7000</v>
      </c>
      <c r="S577" s="102">
        <f t="shared" si="660"/>
        <v>7000</v>
      </c>
    </row>
    <row r="578" spans="1:21" ht="14.25">
      <c r="A578" s="12"/>
      <c r="B578" s="116" t="s">
        <v>284</v>
      </c>
      <c r="C578" s="37" t="s">
        <v>285</v>
      </c>
      <c r="D578" s="102">
        <f t="shared" si="660"/>
        <v>0</v>
      </c>
      <c r="E578" s="102">
        <f t="shared" si="660"/>
        <v>7706</v>
      </c>
      <c r="F578" s="102">
        <f t="shared" si="660"/>
        <v>6889</v>
      </c>
      <c r="G578" s="102">
        <f t="shared" si="660"/>
        <v>7706</v>
      </c>
      <c r="H578" s="102">
        <f t="shared" si="660"/>
        <v>7226</v>
      </c>
      <c r="I578" s="102">
        <f t="shared" si="660"/>
        <v>0</v>
      </c>
      <c r="J578" s="102">
        <f t="shared" si="660"/>
        <v>7000</v>
      </c>
      <c r="K578" s="208">
        <f t="shared" si="660"/>
        <v>1600</v>
      </c>
      <c r="L578" s="102">
        <f t="shared" si="660"/>
        <v>1800</v>
      </c>
      <c r="M578" s="102">
        <f t="shared" si="660"/>
        <v>1800</v>
      </c>
      <c r="N578" s="102">
        <f t="shared" si="660"/>
        <v>1800</v>
      </c>
      <c r="O578" s="30">
        <f t="shared" si="615"/>
        <v>7000</v>
      </c>
      <c r="P578" s="100">
        <f t="shared" si="619"/>
        <v>0</v>
      </c>
      <c r="Q578" s="102">
        <f t="shared" si="660"/>
        <v>7000</v>
      </c>
      <c r="R578" s="102">
        <f t="shared" si="660"/>
        <v>7000</v>
      </c>
      <c r="S578" s="102">
        <f t="shared" si="660"/>
        <v>7000</v>
      </c>
    </row>
    <row r="579" spans="1:21" ht="14.25">
      <c r="A579" s="12"/>
      <c r="B579" s="116" t="s">
        <v>286</v>
      </c>
      <c r="C579" s="37" t="s">
        <v>287</v>
      </c>
      <c r="D579" s="46"/>
      <c r="E579" s="30">
        <v>7706</v>
      </c>
      <c r="F579" s="46">
        <f>6389+500</f>
        <v>6889</v>
      </c>
      <c r="G579" s="30">
        <v>7706</v>
      </c>
      <c r="H579" s="30">
        <v>7226</v>
      </c>
      <c r="I579" s="30"/>
      <c r="J579" s="30">
        <v>7000</v>
      </c>
      <c r="K579" s="64">
        <f>1800-200</f>
        <v>1600</v>
      </c>
      <c r="L579" s="30">
        <v>1800</v>
      </c>
      <c r="M579" s="30">
        <v>1800</v>
      </c>
      <c r="N579" s="30">
        <f>1600+200</f>
        <v>1800</v>
      </c>
      <c r="O579" s="30">
        <f t="shared" si="615"/>
        <v>7000</v>
      </c>
      <c r="P579" s="100">
        <f t="shared" si="619"/>
        <v>0</v>
      </c>
      <c r="Q579" s="30">
        <v>7000</v>
      </c>
      <c r="R579" s="30">
        <v>7000</v>
      </c>
      <c r="S579" s="30">
        <v>7000</v>
      </c>
    </row>
    <row r="580" spans="1:21" ht="14.25">
      <c r="A580" s="12"/>
      <c r="B580" s="129" t="s">
        <v>164</v>
      </c>
      <c r="C580" s="135"/>
      <c r="D580" s="102">
        <f t="shared" ref="D580:S580" si="661">D581+D582</f>
        <v>0</v>
      </c>
      <c r="E580" s="102">
        <f t="shared" si="661"/>
        <v>16090</v>
      </c>
      <c r="F580" s="102">
        <f t="shared" si="661"/>
        <v>10000</v>
      </c>
      <c r="G580" s="102">
        <f t="shared" si="661"/>
        <v>16090</v>
      </c>
      <c r="H580" s="102">
        <f t="shared" ref="H580" si="662">H581+H582</f>
        <v>10384</v>
      </c>
      <c r="I580" s="102">
        <f t="shared" si="661"/>
        <v>0</v>
      </c>
      <c r="J580" s="102">
        <f t="shared" si="661"/>
        <v>18258</v>
      </c>
      <c r="K580" s="208">
        <f t="shared" ref="K580:N580" si="663">K581+K582</f>
        <v>1621</v>
      </c>
      <c r="L580" s="102">
        <f t="shared" si="663"/>
        <v>5000</v>
      </c>
      <c r="M580" s="102">
        <f t="shared" si="663"/>
        <v>6000</v>
      </c>
      <c r="N580" s="102">
        <f t="shared" si="663"/>
        <v>5637</v>
      </c>
      <c r="O580" s="30">
        <f t="shared" si="615"/>
        <v>18258</v>
      </c>
      <c r="P580" s="100">
        <f t="shared" si="619"/>
        <v>0</v>
      </c>
      <c r="Q580" s="102">
        <f t="shared" si="661"/>
        <v>0</v>
      </c>
      <c r="R580" s="102">
        <f t="shared" si="661"/>
        <v>0</v>
      </c>
      <c r="S580" s="102">
        <f t="shared" si="661"/>
        <v>0</v>
      </c>
    </row>
    <row r="581" spans="1:21" ht="16.5" customHeight="1">
      <c r="A581" s="12"/>
      <c r="B581" s="116" t="s">
        <v>252</v>
      </c>
      <c r="C581" s="135" t="s">
        <v>167</v>
      </c>
      <c r="D581" s="46"/>
      <c r="E581" s="30">
        <v>16090</v>
      </c>
      <c r="F581" s="46">
        <v>10000</v>
      </c>
      <c r="G581" s="30">
        <v>16090</v>
      </c>
      <c r="H581" s="30">
        <v>10384</v>
      </c>
      <c r="I581" s="30"/>
      <c r="J581" s="30">
        <f>17206+1052</f>
        <v>18258</v>
      </c>
      <c r="K581" s="64">
        <f>621+1000+1000-1000</f>
        <v>1621</v>
      </c>
      <c r="L581" s="30">
        <v>5000</v>
      </c>
      <c r="M581" s="30">
        <f>5000+1000</f>
        <v>6000</v>
      </c>
      <c r="N581" s="30">
        <f>5000+1052+500-1000+85</f>
        <v>5637</v>
      </c>
      <c r="O581" s="30">
        <f t="shared" si="615"/>
        <v>18258</v>
      </c>
      <c r="P581" s="100">
        <f t="shared" si="619"/>
        <v>0</v>
      </c>
      <c r="Q581" s="30"/>
      <c r="R581" s="30"/>
      <c r="S581" s="30"/>
    </row>
    <row r="582" spans="1:21" ht="28.5" hidden="1" customHeight="1">
      <c r="A582" s="12"/>
      <c r="B582" s="116" t="s">
        <v>168</v>
      </c>
      <c r="C582" s="135" t="s">
        <v>169</v>
      </c>
      <c r="D582" s="46"/>
      <c r="E582" s="30"/>
      <c r="F582" s="46"/>
      <c r="G582" s="30"/>
      <c r="H582" s="31"/>
      <c r="I582" s="30"/>
      <c r="J582" s="30"/>
      <c r="K582" s="64"/>
      <c r="L582" s="30"/>
      <c r="M582" s="30"/>
      <c r="N582" s="30"/>
      <c r="O582" s="30">
        <f t="shared" si="615"/>
        <v>0</v>
      </c>
      <c r="P582" s="100">
        <f t="shared" si="619"/>
        <v>0</v>
      </c>
      <c r="Q582" s="30"/>
      <c r="R582" s="30"/>
      <c r="S582" s="30"/>
    </row>
    <row r="583" spans="1:21" ht="25.5" customHeight="1">
      <c r="A583" s="12" t="s">
        <v>288</v>
      </c>
      <c r="B583" s="33" t="s">
        <v>591</v>
      </c>
      <c r="C583" s="135" t="s">
        <v>289</v>
      </c>
      <c r="D583" s="138">
        <f t="shared" ref="D583:S583" si="664">D587+D593+D599+D605+D611</f>
        <v>5613</v>
      </c>
      <c r="E583" s="138">
        <f t="shared" si="664"/>
        <v>6261</v>
      </c>
      <c r="F583" s="138">
        <f t="shared" si="664"/>
        <v>4813</v>
      </c>
      <c r="G583" s="138">
        <f t="shared" si="664"/>
        <v>6261</v>
      </c>
      <c r="H583" s="138">
        <f t="shared" si="664"/>
        <v>5621</v>
      </c>
      <c r="I583" s="138">
        <f t="shared" si="664"/>
        <v>6367</v>
      </c>
      <c r="J583" s="138">
        <f t="shared" si="664"/>
        <v>6398</v>
      </c>
      <c r="K583" s="206">
        <f t="shared" ref="K583:N583" si="665">K587+K593+K599+K605+K611</f>
        <v>1665</v>
      </c>
      <c r="L583" s="138">
        <f t="shared" si="665"/>
        <v>1645</v>
      </c>
      <c r="M583" s="138">
        <f t="shared" si="665"/>
        <v>1624</v>
      </c>
      <c r="N583" s="138">
        <f t="shared" si="665"/>
        <v>1464</v>
      </c>
      <c r="O583" s="30">
        <f t="shared" si="615"/>
        <v>6398</v>
      </c>
      <c r="P583" s="100">
        <f t="shared" si="619"/>
        <v>0</v>
      </c>
      <c r="Q583" s="138">
        <f t="shared" si="664"/>
        <v>6398</v>
      </c>
      <c r="R583" s="138">
        <f t="shared" si="664"/>
        <v>6398</v>
      </c>
      <c r="S583" s="138">
        <f t="shared" si="664"/>
        <v>6398</v>
      </c>
    </row>
    <row r="584" spans="1:21" ht="14.25">
      <c r="A584" s="12"/>
      <c r="B584" s="129" t="s">
        <v>152</v>
      </c>
      <c r="C584" s="135"/>
      <c r="D584" s="138">
        <f t="shared" ref="D584:S584" si="666">D588+D594+D600+D606+D612</f>
        <v>5613</v>
      </c>
      <c r="E584" s="138">
        <f t="shared" si="666"/>
        <v>6261</v>
      </c>
      <c r="F584" s="138">
        <f t="shared" si="666"/>
        <v>4813</v>
      </c>
      <c r="G584" s="138">
        <f t="shared" si="666"/>
        <v>6261</v>
      </c>
      <c r="H584" s="138">
        <f t="shared" si="666"/>
        <v>5621</v>
      </c>
      <c r="I584" s="138">
        <f t="shared" si="666"/>
        <v>6367</v>
      </c>
      <c r="J584" s="138">
        <f t="shared" si="666"/>
        <v>6398</v>
      </c>
      <c r="K584" s="206">
        <f t="shared" ref="K584:N584" si="667">K588+K594+K600+K606+K612</f>
        <v>1665</v>
      </c>
      <c r="L584" s="138">
        <f t="shared" si="667"/>
        <v>1645</v>
      </c>
      <c r="M584" s="138">
        <f t="shared" si="667"/>
        <v>1624</v>
      </c>
      <c r="N584" s="138">
        <f t="shared" si="667"/>
        <v>1464</v>
      </c>
      <c r="O584" s="30">
        <f t="shared" si="615"/>
        <v>6398</v>
      </c>
      <c r="P584" s="100">
        <f t="shared" si="619"/>
        <v>0</v>
      </c>
      <c r="Q584" s="138">
        <f t="shared" si="666"/>
        <v>6398</v>
      </c>
      <c r="R584" s="138">
        <f t="shared" si="666"/>
        <v>6398</v>
      </c>
      <c r="S584" s="138">
        <f t="shared" si="666"/>
        <v>6398</v>
      </c>
      <c r="U584" s="48"/>
    </row>
    <row r="585" spans="1:21" ht="14.25">
      <c r="A585" s="12"/>
      <c r="B585" s="116" t="s">
        <v>153</v>
      </c>
      <c r="C585" s="135"/>
      <c r="D585" s="102">
        <f t="shared" ref="D585:S585" si="668">D589+D595+D601+D607+D613</f>
        <v>5613</v>
      </c>
      <c r="E585" s="102">
        <f t="shared" si="668"/>
        <v>6261</v>
      </c>
      <c r="F585" s="102">
        <f t="shared" si="668"/>
        <v>4813</v>
      </c>
      <c r="G585" s="102">
        <f t="shared" si="668"/>
        <v>6261</v>
      </c>
      <c r="H585" s="102">
        <f t="shared" si="668"/>
        <v>5621</v>
      </c>
      <c r="I585" s="102">
        <f t="shared" si="668"/>
        <v>6367</v>
      </c>
      <c r="J585" s="102">
        <f t="shared" si="668"/>
        <v>6398</v>
      </c>
      <c r="K585" s="208">
        <f t="shared" ref="K585:N585" si="669">K589+K595+K601+K607+K613</f>
        <v>1665</v>
      </c>
      <c r="L585" s="102">
        <f t="shared" si="669"/>
        <v>1645</v>
      </c>
      <c r="M585" s="102">
        <f t="shared" si="669"/>
        <v>1624</v>
      </c>
      <c r="N585" s="102">
        <f t="shared" si="669"/>
        <v>1464</v>
      </c>
      <c r="O585" s="30">
        <f t="shared" si="615"/>
        <v>6398</v>
      </c>
      <c r="P585" s="100">
        <f t="shared" si="619"/>
        <v>0</v>
      </c>
      <c r="Q585" s="102">
        <f t="shared" si="668"/>
        <v>6398</v>
      </c>
      <c r="R585" s="102">
        <f t="shared" si="668"/>
        <v>6398</v>
      </c>
      <c r="S585" s="102">
        <f t="shared" si="668"/>
        <v>6398</v>
      </c>
    </row>
    <row r="586" spans="1:21" ht="14.25">
      <c r="A586" s="12"/>
      <c r="B586" s="116" t="s">
        <v>290</v>
      </c>
      <c r="C586" s="135" t="s">
        <v>291</v>
      </c>
      <c r="D586" s="102">
        <f t="shared" ref="D586:S586" si="670">D590+D596+D602+D608+D614</f>
        <v>5613</v>
      </c>
      <c r="E586" s="102">
        <f t="shared" si="670"/>
        <v>6261</v>
      </c>
      <c r="F586" s="102">
        <f t="shared" si="670"/>
        <v>4813</v>
      </c>
      <c r="G586" s="102">
        <f t="shared" si="670"/>
        <v>6261</v>
      </c>
      <c r="H586" s="102">
        <f t="shared" si="670"/>
        <v>5621</v>
      </c>
      <c r="I586" s="102">
        <f t="shared" si="670"/>
        <v>6367</v>
      </c>
      <c r="J586" s="102">
        <f t="shared" si="670"/>
        <v>6398</v>
      </c>
      <c r="K586" s="208">
        <f t="shared" ref="K586:N586" si="671">K590+K596+K602+K608+K614</f>
        <v>1665</v>
      </c>
      <c r="L586" s="102">
        <f t="shared" si="671"/>
        <v>1645</v>
      </c>
      <c r="M586" s="102">
        <f t="shared" si="671"/>
        <v>1624</v>
      </c>
      <c r="N586" s="102">
        <f t="shared" si="671"/>
        <v>1464</v>
      </c>
      <c r="O586" s="30">
        <f t="shared" si="615"/>
        <v>6398</v>
      </c>
      <c r="P586" s="100">
        <f t="shared" si="619"/>
        <v>0</v>
      </c>
      <c r="Q586" s="102">
        <f t="shared" si="670"/>
        <v>6398</v>
      </c>
      <c r="R586" s="102">
        <f t="shared" si="670"/>
        <v>6398</v>
      </c>
      <c r="S586" s="102">
        <f t="shared" si="670"/>
        <v>6398</v>
      </c>
    </row>
    <row r="587" spans="1:21" ht="28.5" customHeight="1">
      <c r="A587" s="12" t="s">
        <v>292</v>
      </c>
      <c r="B587" s="250" t="s">
        <v>293</v>
      </c>
      <c r="C587" s="135" t="s">
        <v>289</v>
      </c>
      <c r="D587" s="138">
        <f t="shared" ref="D587:S589" si="672">D588</f>
        <v>1323</v>
      </c>
      <c r="E587" s="138">
        <f t="shared" si="672"/>
        <v>1330</v>
      </c>
      <c r="F587" s="138">
        <f t="shared" si="672"/>
        <v>1110</v>
      </c>
      <c r="G587" s="138">
        <f t="shared" si="672"/>
        <v>1330</v>
      </c>
      <c r="H587" s="154">
        <f t="shared" si="672"/>
        <v>1313</v>
      </c>
      <c r="I587" s="138">
        <f t="shared" si="672"/>
        <v>1365</v>
      </c>
      <c r="J587" s="138">
        <f t="shared" si="672"/>
        <v>1390</v>
      </c>
      <c r="K587" s="206">
        <f t="shared" si="672"/>
        <v>370</v>
      </c>
      <c r="L587" s="138">
        <f t="shared" si="672"/>
        <v>370</v>
      </c>
      <c r="M587" s="138">
        <f t="shared" si="672"/>
        <v>360</v>
      </c>
      <c r="N587" s="138">
        <f t="shared" si="672"/>
        <v>290</v>
      </c>
      <c r="O587" s="30">
        <f t="shared" si="615"/>
        <v>1390</v>
      </c>
      <c r="P587" s="100">
        <f t="shared" si="619"/>
        <v>0</v>
      </c>
      <c r="Q587" s="138">
        <f t="shared" si="672"/>
        <v>1390</v>
      </c>
      <c r="R587" s="138">
        <f t="shared" si="672"/>
        <v>1390</v>
      </c>
      <c r="S587" s="138">
        <f t="shared" si="672"/>
        <v>1390</v>
      </c>
    </row>
    <row r="588" spans="1:21" ht="14.25">
      <c r="A588" s="12"/>
      <c r="B588" s="129" t="s">
        <v>152</v>
      </c>
      <c r="C588" s="135"/>
      <c r="D588" s="138">
        <f t="shared" si="672"/>
        <v>1323</v>
      </c>
      <c r="E588" s="138">
        <f t="shared" si="672"/>
        <v>1330</v>
      </c>
      <c r="F588" s="138">
        <f t="shared" si="672"/>
        <v>1110</v>
      </c>
      <c r="G588" s="138">
        <f>G589</f>
        <v>1330</v>
      </c>
      <c r="H588" s="138">
        <f t="shared" si="672"/>
        <v>1313</v>
      </c>
      <c r="I588" s="138">
        <f t="shared" si="672"/>
        <v>1365</v>
      </c>
      <c r="J588" s="138">
        <f t="shared" si="672"/>
        <v>1390</v>
      </c>
      <c r="K588" s="206">
        <f t="shared" si="672"/>
        <v>370</v>
      </c>
      <c r="L588" s="138">
        <f t="shared" si="672"/>
        <v>370</v>
      </c>
      <c r="M588" s="138">
        <f t="shared" si="672"/>
        <v>360</v>
      </c>
      <c r="N588" s="138">
        <f t="shared" si="672"/>
        <v>290</v>
      </c>
      <c r="O588" s="30">
        <f t="shared" ref="O588:O651" si="673">K588+L588+M588+N588</f>
        <v>1390</v>
      </c>
      <c r="P588" s="100">
        <f t="shared" si="619"/>
        <v>0</v>
      </c>
      <c r="Q588" s="138">
        <f t="shared" si="672"/>
        <v>1390</v>
      </c>
      <c r="R588" s="138">
        <f t="shared" si="672"/>
        <v>1390</v>
      </c>
      <c r="S588" s="138">
        <f t="shared" si="672"/>
        <v>1390</v>
      </c>
    </row>
    <row r="589" spans="1:21" ht="14.25">
      <c r="A589" s="12"/>
      <c r="B589" s="116" t="s">
        <v>153</v>
      </c>
      <c r="C589" s="135">
        <v>0.1</v>
      </c>
      <c r="D589" s="102">
        <f t="shared" si="672"/>
        <v>1323</v>
      </c>
      <c r="E589" s="102">
        <f t="shared" si="672"/>
        <v>1330</v>
      </c>
      <c r="F589" s="102">
        <f t="shared" si="672"/>
        <v>1110</v>
      </c>
      <c r="G589" s="102">
        <f t="shared" si="672"/>
        <v>1330</v>
      </c>
      <c r="H589" s="102">
        <f t="shared" si="672"/>
        <v>1313</v>
      </c>
      <c r="I589" s="102">
        <f t="shared" si="672"/>
        <v>1365</v>
      </c>
      <c r="J589" s="102">
        <f t="shared" si="672"/>
        <v>1390</v>
      </c>
      <c r="K589" s="208">
        <f t="shared" si="672"/>
        <v>370</v>
      </c>
      <c r="L589" s="102">
        <f t="shared" si="672"/>
        <v>370</v>
      </c>
      <c r="M589" s="102">
        <f t="shared" si="672"/>
        <v>360</v>
      </c>
      <c r="N589" s="102">
        <f t="shared" si="672"/>
        <v>290</v>
      </c>
      <c r="O589" s="30">
        <f t="shared" si="673"/>
        <v>1390</v>
      </c>
      <c r="P589" s="100">
        <f t="shared" ref="P589:P652" si="674">J589-O589</f>
        <v>0</v>
      </c>
      <c r="Q589" s="102">
        <f t="shared" si="672"/>
        <v>1390</v>
      </c>
      <c r="R589" s="102">
        <f t="shared" si="672"/>
        <v>1390</v>
      </c>
      <c r="S589" s="102">
        <f t="shared" si="672"/>
        <v>1390</v>
      </c>
    </row>
    <row r="590" spans="1:21" ht="14.25">
      <c r="A590" s="12"/>
      <c r="B590" s="116" t="s">
        <v>290</v>
      </c>
      <c r="C590" s="135" t="s">
        <v>291</v>
      </c>
      <c r="D590" s="102">
        <f t="shared" ref="D590:S590" si="675">D591+D592</f>
        <v>1323</v>
      </c>
      <c r="E590" s="102">
        <f t="shared" si="675"/>
        <v>1330</v>
      </c>
      <c r="F590" s="102">
        <f t="shared" si="675"/>
        <v>1110</v>
      </c>
      <c r="G590" s="102">
        <f t="shared" si="675"/>
        <v>1330</v>
      </c>
      <c r="H590" s="102">
        <f t="shared" ref="H590" si="676">H591+H592</f>
        <v>1313</v>
      </c>
      <c r="I590" s="102">
        <f t="shared" si="675"/>
        <v>1365</v>
      </c>
      <c r="J590" s="102">
        <f t="shared" si="675"/>
        <v>1390</v>
      </c>
      <c r="K590" s="208">
        <f t="shared" ref="K590:N590" si="677">K591+K592</f>
        <v>370</v>
      </c>
      <c r="L590" s="102">
        <f t="shared" si="677"/>
        <v>370</v>
      </c>
      <c r="M590" s="102">
        <f t="shared" si="677"/>
        <v>360</v>
      </c>
      <c r="N590" s="102">
        <f t="shared" si="677"/>
        <v>290</v>
      </c>
      <c r="O590" s="30">
        <f t="shared" si="673"/>
        <v>1390</v>
      </c>
      <c r="P590" s="100">
        <f t="shared" si="674"/>
        <v>0</v>
      </c>
      <c r="Q590" s="102">
        <f t="shared" si="675"/>
        <v>1390</v>
      </c>
      <c r="R590" s="102">
        <f t="shared" si="675"/>
        <v>1390</v>
      </c>
      <c r="S590" s="102">
        <f t="shared" si="675"/>
        <v>1390</v>
      </c>
    </row>
    <row r="591" spans="1:21" ht="14.25">
      <c r="A591" s="12"/>
      <c r="B591" s="116" t="s">
        <v>154</v>
      </c>
      <c r="C591" s="135">
        <v>10</v>
      </c>
      <c r="D591" s="30">
        <v>1289</v>
      </c>
      <c r="E591" s="30">
        <v>1290</v>
      </c>
      <c r="F591" s="46">
        <f>1300-230</f>
        <v>1070</v>
      </c>
      <c r="G591" s="30">
        <v>1290</v>
      </c>
      <c r="H591" s="30">
        <v>1283</v>
      </c>
      <c r="I591" s="30">
        <v>1325</v>
      </c>
      <c r="J591" s="30">
        <v>1350</v>
      </c>
      <c r="K591" s="64">
        <v>360</v>
      </c>
      <c r="L591" s="30">
        <v>360</v>
      </c>
      <c r="M591" s="30">
        <v>350</v>
      </c>
      <c r="N591" s="30">
        <v>280</v>
      </c>
      <c r="O591" s="30">
        <f t="shared" si="673"/>
        <v>1350</v>
      </c>
      <c r="P591" s="100">
        <f t="shared" si="674"/>
        <v>0</v>
      </c>
      <c r="Q591" s="30">
        <v>1350</v>
      </c>
      <c r="R591" s="30">
        <v>1350</v>
      </c>
      <c r="S591" s="30">
        <v>1350</v>
      </c>
    </row>
    <row r="592" spans="1:21" ht="14.25">
      <c r="A592" s="12"/>
      <c r="B592" s="116" t="s">
        <v>581</v>
      </c>
      <c r="C592" s="135">
        <v>20</v>
      </c>
      <c r="D592" s="30">
        <v>34</v>
      </c>
      <c r="E592" s="30">
        <v>40</v>
      </c>
      <c r="F592" s="46">
        <f>50-10</f>
        <v>40</v>
      </c>
      <c r="G592" s="30">
        <v>40</v>
      </c>
      <c r="H592" s="30">
        <v>30</v>
      </c>
      <c r="I592" s="30">
        <v>40</v>
      </c>
      <c r="J592" s="30">
        <v>40</v>
      </c>
      <c r="K592" s="64">
        <v>10</v>
      </c>
      <c r="L592" s="30">
        <v>10</v>
      </c>
      <c r="M592" s="30">
        <v>10</v>
      </c>
      <c r="N592" s="30">
        <v>10</v>
      </c>
      <c r="O592" s="30">
        <f t="shared" si="673"/>
        <v>40</v>
      </c>
      <c r="P592" s="100">
        <f t="shared" si="674"/>
        <v>0</v>
      </c>
      <c r="Q592" s="30">
        <v>40</v>
      </c>
      <c r="R592" s="30">
        <v>40</v>
      </c>
      <c r="S592" s="30">
        <v>40</v>
      </c>
    </row>
    <row r="593" spans="1:19" ht="30.75" customHeight="1">
      <c r="A593" s="12" t="s">
        <v>294</v>
      </c>
      <c r="B593" s="250" t="s">
        <v>295</v>
      </c>
      <c r="C593" s="135" t="s">
        <v>289</v>
      </c>
      <c r="D593" s="138">
        <f t="shared" ref="D593:S595" si="678">D594</f>
        <v>478</v>
      </c>
      <c r="E593" s="138">
        <f t="shared" si="678"/>
        <v>633</v>
      </c>
      <c r="F593" s="138">
        <f t="shared" si="678"/>
        <v>485</v>
      </c>
      <c r="G593" s="138">
        <f t="shared" si="678"/>
        <v>633</v>
      </c>
      <c r="H593" s="138">
        <f t="shared" si="678"/>
        <v>529</v>
      </c>
      <c r="I593" s="138">
        <f t="shared" si="678"/>
        <v>567</v>
      </c>
      <c r="J593" s="138">
        <f t="shared" si="678"/>
        <v>570</v>
      </c>
      <c r="K593" s="206">
        <f t="shared" si="678"/>
        <v>160</v>
      </c>
      <c r="L593" s="138">
        <f t="shared" si="678"/>
        <v>160</v>
      </c>
      <c r="M593" s="138">
        <f t="shared" si="678"/>
        <v>150</v>
      </c>
      <c r="N593" s="138">
        <f t="shared" si="678"/>
        <v>100</v>
      </c>
      <c r="O593" s="30">
        <f t="shared" si="673"/>
        <v>570</v>
      </c>
      <c r="P593" s="100">
        <f t="shared" si="674"/>
        <v>0</v>
      </c>
      <c r="Q593" s="138">
        <f t="shared" si="678"/>
        <v>570</v>
      </c>
      <c r="R593" s="138">
        <f t="shared" si="678"/>
        <v>570</v>
      </c>
      <c r="S593" s="138">
        <f t="shared" si="678"/>
        <v>570</v>
      </c>
    </row>
    <row r="594" spans="1:19" ht="14.25">
      <c r="A594" s="12"/>
      <c r="B594" s="129" t="s">
        <v>152</v>
      </c>
      <c r="C594" s="135"/>
      <c r="D594" s="102">
        <f t="shared" si="678"/>
        <v>478</v>
      </c>
      <c r="E594" s="102">
        <f t="shared" si="678"/>
        <v>633</v>
      </c>
      <c r="F594" s="102">
        <f t="shared" si="678"/>
        <v>485</v>
      </c>
      <c r="G594" s="102">
        <f t="shared" si="678"/>
        <v>633</v>
      </c>
      <c r="H594" s="102">
        <f t="shared" si="678"/>
        <v>529</v>
      </c>
      <c r="I594" s="102">
        <f t="shared" si="678"/>
        <v>567</v>
      </c>
      <c r="J594" s="102">
        <f t="shared" si="678"/>
        <v>570</v>
      </c>
      <c r="K594" s="208">
        <f t="shared" si="678"/>
        <v>160</v>
      </c>
      <c r="L594" s="102">
        <f t="shared" si="678"/>
        <v>160</v>
      </c>
      <c r="M594" s="102">
        <f t="shared" si="678"/>
        <v>150</v>
      </c>
      <c r="N594" s="102">
        <f t="shared" si="678"/>
        <v>100</v>
      </c>
      <c r="O594" s="30">
        <f t="shared" si="673"/>
        <v>570</v>
      </c>
      <c r="P594" s="100">
        <f t="shared" si="674"/>
        <v>0</v>
      </c>
      <c r="Q594" s="102">
        <f t="shared" si="678"/>
        <v>570</v>
      </c>
      <c r="R594" s="102">
        <f t="shared" si="678"/>
        <v>570</v>
      </c>
      <c r="S594" s="102">
        <f t="shared" si="678"/>
        <v>570</v>
      </c>
    </row>
    <row r="595" spans="1:19" ht="14.25">
      <c r="A595" s="12"/>
      <c r="B595" s="116" t="s">
        <v>153</v>
      </c>
      <c r="C595" s="135"/>
      <c r="D595" s="102">
        <f t="shared" si="678"/>
        <v>478</v>
      </c>
      <c r="E595" s="102">
        <f t="shared" si="678"/>
        <v>633</v>
      </c>
      <c r="F595" s="102">
        <f t="shared" si="678"/>
        <v>485</v>
      </c>
      <c r="G595" s="102">
        <f t="shared" si="678"/>
        <v>633</v>
      </c>
      <c r="H595" s="102">
        <f t="shared" si="678"/>
        <v>529</v>
      </c>
      <c r="I595" s="102">
        <f t="shared" si="678"/>
        <v>567</v>
      </c>
      <c r="J595" s="102">
        <f t="shared" si="678"/>
        <v>570</v>
      </c>
      <c r="K595" s="208">
        <f t="shared" si="678"/>
        <v>160</v>
      </c>
      <c r="L595" s="102">
        <f t="shared" si="678"/>
        <v>160</v>
      </c>
      <c r="M595" s="102">
        <f t="shared" si="678"/>
        <v>150</v>
      </c>
      <c r="N595" s="102">
        <f t="shared" si="678"/>
        <v>100</v>
      </c>
      <c r="O595" s="30">
        <f t="shared" si="673"/>
        <v>570</v>
      </c>
      <c r="P595" s="100">
        <f t="shared" si="674"/>
        <v>0</v>
      </c>
      <c r="Q595" s="102">
        <f t="shared" si="678"/>
        <v>570</v>
      </c>
      <c r="R595" s="102">
        <f t="shared" si="678"/>
        <v>570</v>
      </c>
      <c r="S595" s="102">
        <f t="shared" si="678"/>
        <v>570</v>
      </c>
    </row>
    <row r="596" spans="1:19" ht="14.25">
      <c r="A596" s="12"/>
      <c r="B596" s="116" t="s">
        <v>290</v>
      </c>
      <c r="C596" s="135" t="s">
        <v>291</v>
      </c>
      <c r="D596" s="102">
        <f t="shared" ref="D596:S596" si="679">D597+D598</f>
        <v>478</v>
      </c>
      <c r="E596" s="102">
        <f t="shared" si="679"/>
        <v>633</v>
      </c>
      <c r="F596" s="102">
        <f t="shared" si="679"/>
        <v>485</v>
      </c>
      <c r="G596" s="102">
        <f t="shared" si="679"/>
        <v>633</v>
      </c>
      <c r="H596" s="102">
        <f t="shared" ref="H596" si="680">H597+H598</f>
        <v>529</v>
      </c>
      <c r="I596" s="102">
        <f t="shared" si="679"/>
        <v>567</v>
      </c>
      <c r="J596" s="102">
        <f t="shared" si="679"/>
        <v>570</v>
      </c>
      <c r="K596" s="208">
        <f t="shared" ref="K596:N596" si="681">K597+K598</f>
        <v>160</v>
      </c>
      <c r="L596" s="102">
        <f t="shared" si="681"/>
        <v>160</v>
      </c>
      <c r="M596" s="102">
        <f t="shared" si="681"/>
        <v>150</v>
      </c>
      <c r="N596" s="102">
        <f t="shared" si="681"/>
        <v>100</v>
      </c>
      <c r="O596" s="30">
        <f t="shared" si="673"/>
        <v>570</v>
      </c>
      <c r="P596" s="100">
        <f t="shared" si="674"/>
        <v>0</v>
      </c>
      <c r="Q596" s="102">
        <f t="shared" si="679"/>
        <v>570</v>
      </c>
      <c r="R596" s="102">
        <f t="shared" si="679"/>
        <v>570</v>
      </c>
      <c r="S596" s="102">
        <f t="shared" si="679"/>
        <v>570</v>
      </c>
    </row>
    <row r="597" spans="1:19" ht="14.25">
      <c r="A597" s="12"/>
      <c r="B597" s="116" t="s">
        <v>154</v>
      </c>
      <c r="C597" s="135">
        <v>10</v>
      </c>
      <c r="D597" s="30">
        <v>398</v>
      </c>
      <c r="E597" s="30">
        <v>608</v>
      </c>
      <c r="F597" s="46">
        <f>504-34</f>
        <v>470</v>
      </c>
      <c r="G597" s="30">
        <v>608</v>
      </c>
      <c r="H597" s="30">
        <f>514-10</f>
        <v>504</v>
      </c>
      <c r="I597" s="30">
        <v>537</v>
      </c>
      <c r="J597" s="30">
        <v>540</v>
      </c>
      <c r="K597" s="64">
        <v>150</v>
      </c>
      <c r="L597" s="30">
        <v>150</v>
      </c>
      <c r="M597" s="30">
        <v>140</v>
      </c>
      <c r="N597" s="30">
        <v>100</v>
      </c>
      <c r="O597" s="30">
        <f t="shared" si="673"/>
        <v>540</v>
      </c>
      <c r="P597" s="100">
        <f t="shared" si="674"/>
        <v>0</v>
      </c>
      <c r="Q597" s="30">
        <v>540</v>
      </c>
      <c r="R597" s="30">
        <v>540</v>
      </c>
      <c r="S597" s="30">
        <v>540</v>
      </c>
    </row>
    <row r="598" spans="1:19" ht="14.25">
      <c r="A598" s="12"/>
      <c r="B598" s="116" t="s">
        <v>581</v>
      </c>
      <c r="C598" s="135">
        <v>20</v>
      </c>
      <c r="D598" s="30">
        <v>80</v>
      </c>
      <c r="E598" s="30">
        <v>25</v>
      </c>
      <c r="F598" s="46">
        <f>20-5</f>
        <v>15</v>
      </c>
      <c r="G598" s="30">
        <v>25</v>
      </c>
      <c r="H598" s="30">
        <v>25</v>
      </c>
      <c r="I598" s="30">
        <v>30</v>
      </c>
      <c r="J598" s="30">
        <v>30</v>
      </c>
      <c r="K598" s="64">
        <v>10</v>
      </c>
      <c r="L598" s="30">
        <v>10</v>
      </c>
      <c r="M598" s="30">
        <v>10</v>
      </c>
      <c r="N598" s="30">
        <v>0</v>
      </c>
      <c r="O598" s="30">
        <f t="shared" si="673"/>
        <v>30</v>
      </c>
      <c r="P598" s="100">
        <f t="shared" si="674"/>
        <v>0</v>
      </c>
      <c r="Q598" s="30">
        <v>30</v>
      </c>
      <c r="R598" s="30">
        <v>30</v>
      </c>
      <c r="S598" s="30">
        <v>30</v>
      </c>
    </row>
    <row r="599" spans="1:19" ht="26.25" customHeight="1">
      <c r="A599" s="12" t="s">
        <v>296</v>
      </c>
      <c r="B599" s="33" t="s">
        <v>297</v>
      </c>
      <c r="C599" s="135" t="s">
        <v>289</v>
      </c>
      <c r="D599" s="138">
        <f t="shared" ref="D599:S601" si="682">D600</f>
        <v>2136</v>
      </c>
      <c r="E599" s="138">
        <f t="shared" si="682"/>
        <v>2451</v>
      </c>
      <c r="F599" s="138">
        <f t="shared" si="682"/>
        <v>1807</v>
      </c>
      <c r="G599" s="138">
        <f t="shared" si="682"/>
        <v>2451</v>
      </c>
      <c r="H599" s="138">
        <f t="shared" si="682"/>
        <v>2178</v>
      </c>
      <c r="I599" s="138">
        <f t="shared" si="682"/>
        <v>2500</v>
      </c>
      <c r="J599" s="138">
        <f t="shared" si="682"/>
        <v>2500</v>
      </c>
      <c r="K599" s="206">
        <f t="shared" si="682"/>
        <v>640</v>
      </c>
      <c r="L599" s="138">
        <f t="shared" si="682"/>
        <v>620</v>
      </c>
      <c r="M599" s="138">
        <f t="shared" si="682"/>
        <v>620</v>
      </c>
      <c r="N599" s="138">
        <f t="shared" si="682"/>
        <v>620</v>
      </c>
      <c r="O599" s="30">
        <f t="shared" si="673"/>
        <v>2500</v>
      </c>
      <c r="P599" s="100">
        <f t="shared" si="674"/>
        <v>0</v>
      </c>
      <c r="Q599" s="138">
        <f t="shared" si="682"/>
        <v>2500</v>
      </c>
      <c r="R599" s="138">
        <f t="shared" si="682"/>
        <v>2500</v>
      </c>
      <c r="S599" s="138">
        <f t="shared" si="682"/>
        <v>2500</v>
      </c>
    </row>
    <row r="600" spans="1:19" ht="14.25">
      <c r="A600" s="12"/>
      <c r="B600" s="129" t="s">
        <v>152</v>
      </c>
      <c r="C600" s="135"/>
      <c r="D600" s="138">
        <f t="shared" si="682"/>
        <v>2136</v>
      </c>
      <c r="E600" s="138">
        <f t="shared" si="682"/>
        <v>2451</v>
      </c>
      <c r="F600" s="138">
        <f t="shared" si="682"/>
        <v>1807</v>
      </c>
      <c r="G600" s="138">
        <f>G601</f>
        <v>2451</v>
      </c>
      <c r="H600" s="138">
        <f t="shared" si="682"/>
        <v>2178</v>
      </c>
      <c r="I600" s="138">
        <f t="shared" si="682"/>
        <v>2500</v>
      </c>
      <c r="J600" s="138">
        <f t="shared" si="682"/>
        <v>2500</v>
      </c>
      <c r="K600" s="206">
        <f t="shared" si="682"/>
        <v>640</v>
      </c>
      <c r="L600" s="138">
        <f t="shared" si="682"/>
        <v>620</v>
      </c>
      <c r="M600" s="138">
        <f t="shared" si="682"/>
        <v>620</v>
      </c>
      <c r="N600" s="138">
        <f t="shared" si="682"/>
        <v>620</v>
      </c>
      <c r="O600" s="30">
        <f t="shared" si="673"/>
        <v>2500</v>
      </c>
      <c r="P600" s="100">
        <f t="shared" si="674"/>
        <v>0</v>
      </c>
      <c r="Q600" s="138">
        <f t="shared" si="682"/>
        <v>2500</v>
      </c>
      <c r="R600" s="138">
        <f t="shared" si="682"/>
        <v>2500</v>
      </c>
      <c r="S600" s="138">
        <f t="shared" si="682"/>
        <v>2500</v>
      </c>
    </row>
    <row r="601" spans="1:19" ht="14.25">
      <c r="A601" s="12"/>
      <c r="B601" s="116" t="s">
        <v>153</v>
      </c>
      <c r="C601" s="135">
        <v>1</v>
      </c>
      <c r="D601" s="102">
        <f t="shared" si="682"/>
        <v>2136</v>
      </c>
      <c r="E601" s="102">
        <f t="shared" si="682"/>
        <v>2451</v>
      </c>
      <c r="F601" s="102">
        <f t="shared" si="682"/>
        <v>1807</v>
      </c>
      <c r="G601" s="102">
        <f t="shared" si="682"/>
        <v>2451</v>
      </c>
      <c r="H601" s="102">
        <f t="shared" si="682"/>
        <v>2178</v>
      </c>
      <c r="I601" s="102">
        <f t="shared" si="682"/>
        <v>2500</v>
      </c>
      <c r="J601" s="102">
        <f t="shared" si="682"/>
        <v>2500</v>
      </c>
      <c r="K601" s="208">
        <f t="shared" si="682"/>
        <v>640</v>
      </c>
      <c r="L601" s="102">
        <f t="shared" si="682"/>
        <v>620</v>
      </c>
      <c r="M601" s="102">
        <f t="shared" si="682"/>
        <v>620</v>
      </c>
      <c r="N601" s="102">
        <f t="shared" si="682"/>
        <v>620</v>
      </c>
      <c r="O601" s="30">
        <f t="shared" si="673"/>
        <v>2500</v>
      </c>
      <c r="P601" s="100">
        <f t="shared" si="674"/>
        <v>0</v>
      </c>
      <c r="Q601" s="102">
        <f t="shared" si="682"/>
        <v>2500</v>
      </c>
      <c r="R601" s="102">
        <f t="shared" si="682"/>
        <v>2500</v>
      </c>
      <c r="S601" s="102">
        <f t="shared" si="682"/>
        <v>2500</v>
      </c>
    </row>
    <row r="602" spans="1:19" ht="14.25">
      <c r="A602" s="12"/>
      <c r="B602" s="116" t="s">
        <v>290</v>
      </c>
      <c r="C602" s="135" t="s">
        <v>291</v>
      </c>
      <c r="D602" s="102">
        <f t="shared" ref="D602:S602" si="683">D603+D604</f>
        <v>2136</v>
      </c>
      <c r="E602" s="102">
        <f t="shared" si="683"/>
        <v>2451</v>
      </c>
      <c r="F602" s="102">
        <f t="shared" si="683"/>
        <v>1807</v>
      </c>
      <c r="G602" s="102">
        <f t="shared" si="683"/>
        <v>2451</v>
      </c>
      <c r="H602" s="102">
        <f t="shared" ref="H602" si="684">H603+H604</f>
        <v>2178</v>
      </c>
      <c r="I602" s="102">
        <f t="shared" si="683"/>
        <v>2500</v>
      </c>
      <c r="J602" s="102">
        <f t="shared" si="683"/>
        <v>2500</v>
      </c>
      <c r="K602" s="208">
        <f t="shared" ref="K602:N602" si="685">K603+K604</f>
        <v>640</v>
      </c>
      <c r="L602" s="102">
        <f t="shared" si="685"/>
        <v>620</v>
      </c>
      <c r="M602" s="102">
        <f t="shared" si="685"/>
        <v>620</v>
      </c>
      <c r="N602" s="102">
        <f t="shared" si="685"/>
        <v>620</v>
      </c>
      <c r="O602" s="30">
        <f t="shared" si="673"/>
        <v>2500</v>
      </c>
      <c r="P602" s="100">
        <f t="shared" si="674"/>
        <v>0</v>
      </c>
      <c r="Q602" s="102">
        <f t="shared" si="683"/>
        <v>2500</v>
      </c>
      <c r="R602" s="102">
        <f t="shared" si="683"/>
        <v>2500</v>
      </c>
      <c r="S602" s="102">
        <f t="shared" si="683"/>
        <v>2500</v>
      </c>
    </row>
    <row r="603" spans="1:19" ht="14.25">
      <c r="A603" s="12"/>
      <c r="B603" s="116" t="s">
        <v>154</v>
      </c>
      <c r="C603" s="135">
        <v>10</v>
      </c>
      <c r="D603" s="30">
        <v>1926</v>
      </c>
      <c r="E603" s="30">
        <v>2296</v>
      </c>
      <c r="F603" s="46">
        <f>2200-528</f>
        <v>1672</v>
      </c>
      <c r="G603" s="30">
        <v>2296</v>
      </c>
      <c r="H603" s="30">
        <v>2023</v>
      </c>
      <c r="I603" s="30">
        <v>2340</v>
      </c>
      <c r="J603" s="30">
        <v>2340</v>
      </c>
      <c r="K603" s="64">
        <v>600</v>
      </c>
      <c r="L603" s="30">
        <v>580</v>
      </c>
      <c r="M603" s="30">
        <v>580</v>
      </c>
      <c r="N603" s="30">
        <v>580</v>
      </c>
      <c r="O603" s="30">
        <f t="shared" si="673"/>
        <v>2340</v>
      </c>
      <c r="P603" s="100">
        <f t="shared" si="674"/>
        <v>0</v>
      </c>
      <c r="Q603" s="30">
        <v>2340</v>
      </c>
      <c r="R603" s="30">
        <v>2340</v>
      </c>
      <c r="S603" s="30">
        <v>2340</v>
      </c>
    </row>
    <row r="604" spans="1:19" ht="14.25">
      <c r="A604" s="12"/>
      <c r="B604" s="116" t="s">
        <v>581</v>
      </c>
      <c r="C604" s="135">
        <v>20</v>
      </c>
      <c r="D604" s="30">
        <v>210</v>
      </c>
      <c r="E604" s="30">
        <v>155</v>
      </c>
      <c r="F604" s="46">
        <f>180-45</f>
        <v>135</v>
      </c>
      <c r="G604" s="30">
        <v>155</v>
      </c>
      <c r="H604" s="30">
        <v>155</v>
      </c>
      <c r="I604" s="30">
        <v>160</v>
      </c>
      <c r="J604" s="30">
        <v>160</v>
      </c>
      <c r="K604" s="64">
        <v>40</v>
      </c>
      <c r="L604" s="30">
        <v>40</v>
      </c>
      <c r="M604" s="30">
        <v>40</v>
      </c>
      <c r="N604" s="30">
        <v>40</v>
      </c>
      <c r="O604" s="30">
        <f t="shared" si="673"/>
        <v>160</v>
      </c>
      <c r="P604" s="100">
        <f t="shared" si="674"/>
        <v>0</v>
      </c>
      <c r="Q604" s="30">
        <v>160</v>
      </c>
      <c r="R604" s="30">
        <v>160</v>
      </c>
      <c r="S604" s="30">
        <v>160</v>
      </c>
    </row>
    <row r="605" spans="1:19" ht="27.75" customHeight="1">
      <c r="A605" s="12" t="s">
        <v>298</v>
      </c>
      <c r="B605" s="250" t="s">
        <v>299</v>
      </c>
      <c r="C605" s="135" t="s">
        <v>289</v>
      </c>
      <c r="D605" s="138">
        <f t="shared" ref="D605:S607" si="686">D606</f>
        <v>876</v>
      </c>
      <c r="E605" s="138">
        <f t="shared" si="686"/>
        <v>922</v>
      </c>
      <c r="F605" s="138">
        <f t="shared" si="686"/>
        <v>695</v>
      </c>
      <c r="G605" s="138">
        <f t="shared" si="686"/>
        <v>922</v>
      </c>
      <c r="H605" s="138">
        <f t="shared" si="686"/>
        <v>822</v>
      </c>
      <c r="I605" s="138">
        <f t="shared" si="686"/>
        <v>1000</v>
      </c>
      <c r="J605" s="138">
        <f t="shared" si="686"/>
        <v>1003</v>
      </c>
      <c r="K605" s="206">
        <f t="shared" si="686"/>
        <v>255</v>
      </c>
      <c r="L605" s="138">
        <f t="shared" si="686"/>
        <v>255</v>
      </c>
      <c r="M605" s="138">
        <f t="shared" si="686"/>
        <v>254</v>
      </c>
      <c r="N605" s="138">
        <f t="shared" si="686"/>
        <v>239</v>
      </c>
      <c r="O605" s="30">
        <f t="shared" si="673"/>
        <v>1003</v>
      </c>
      <c r="P605" s="100">
        <f t="shared" si="674"/>
        <v>0</v>
      </c>
      <c r="Q605" s="138">
        <f t="shared" si="686"/>
        <v>1003</v>
      </c>
      <c r="R605" s="138">
        <f t="shared" si="686"/>
        <v>1003</v>
      </c>
      <c r="S605" s="138">
        <f t="shared" si="686"/>
        <v>1003</v>
      </c>
    </row>
    <row r="606" spans="1:19" ht="14.25">
      <c r="A606" s="12"/>
      <c r="B606" s="129" t="s">
        <v>152</v>
      </c>
      <c r="C606" s="135"/>
      <c r="D606" s="138">
        <f t="shared" si="686"/>
        <v>876</v>
      </c>
      <c r="E606" s="138">
        <f t="shared" si="686"/>
        <v>922</v>
      </c>
      <c r="F606" s="138">
        <f t="shared" si="686"/>
        <v>695</v>
      </c>
      <c r="G606" s="138">
        <f>G607</f>
        <v>922</v>
      </c>
      <c r="H606" s="138">
        <f t="shared" si="686"/>
        <v>822</v>
      </c>
      <c r="I606" s="138">
        <f t="shared" si="686"/>
        <v>1000</v>
      </c>
      <c r="J606" s="138">
        <f t="shared" si="686"/>
        <v>1003</v>
      </c>
      <c r="K606" s="206">
        <f t="shared" si="686"/>
        <v>255</v>
      </c>
      <c r="L606" s="138">
        <f t="shared" si="686"/>
        <v>255</v>
      </c>
      <c r="M606" s="138">
        <f t="shared" si="686"/>
        <v>254</v>
      </c>
      <c r="N606" s="138">
        <f t="shared" si="686"/>
        <v>239</v>
      </c>
      <c r="O606" s="30">
        <f t="shared" si="673"/>
        <v>1003</v>
      </c>
      <c r="P606" s="100">
        <f t="shared" si="674"/>
        <v>0</v>
      </c>
      <c r="Q606" s="138">
        <f t="shared" si="686"/>
        <v>1003</v>
      </c>
      <c r="R606" s="138">
        <f t="shared" si="686"/>
        <v>1003</v>
      </c>
      <c r="S606" s="138">
        <f t="shared" si="686"/>
        <v>1003</v>
      </c>
    </row>
    <row r="607" spans="1:19" ht="14.25">
      <c r="A607" s="12"/>
      <c r="B607" s="116" t="s">
        <v>153</v>
      </c>
      <c r="C607" s="135">
        <v>1</v>
      </c>
      <c r="D607" s="102">
        <f t="shared" si="686"/>
        <v>876</v>
      </c>
      <c r="E607" s="102">
        <f t="shared" si="686"/>
        <v>922</v>
      </c>
      <c r="F607" s="102">
        <f t="shared" si="686"/>
        <v>695</v>
      </c>
      <c r="G607" s="102">
        <f t="shared" si="686"/>
        <v>922</v>
      </c>
      <c r="H607" s="102">
        <f t="shared" si="686"/>
        <v>822</v>
      </c>
      <c r="I607" s="102">
        <f t="shared" si="686"/>
        <v>1000</v>
      </c>
      <c r="J607" s="102">
        <f t="shared" si="686"/>
        <v>1003</v>
      </c>
      <c r="K607" s="208">
        <f t="shared" si="686"/>
        <v>255</v>
      </c>
      <c r="L607" s="102">
        <f t="shared" si="686"/>
        <v>255</v>
      </c>
      <c r="M607" s="102">
        <f t="shared" si="686"/>
        <v>254</v>
      </c>
      <c r="N607" s="102">
        <f t="shared" si="686"/>
        <v>239</v>
      </c>
      <c r="O607" s="30">
        <f t="shared" si="673"/>
        <v>1003</v>
      </c>
      <c r="P607" s="100">
        <f t="shared" si="674"/>
        <v>0</v>
      </c>
      <c r="Q607" s="102">
        <f t="shared" si="686"/>
        <v>1003</v>
      </c>
      <c r="R607" s="102">
        <f t="shared" si="686"/>
        <v>1003</v>
      </c>
      <c r="S607" s="102">
        <f t="shared" si="686"/>
        <v>1003</v>
      </c>
    </row>
    <row r="608" spans="1:19" ht="14.25">
      <c r="A608" s="12"/>
      <c r="B608" s="116" t="s">
        <v>290</v>
      </c>
      <c r="C608" s="135" t="s">
        <v>291</v>
      </c>
      <c r="D608" s="102">
        <f t="shared" ref="D608:S608" si="687">D609+D610</f>
        <v>876</v>
      </c>
      <c r="E608" s="102">
        <f t="shared" si="687"/>
        <v>922</v>
      </c>
      <c r="F608" s="102">
        <f t="shared" si="687"/>
        <v>695</v>
      </c>
      <c r="G608" s="102">
        <f t="shared" si="687"/>
        <v>922</v>
      </c>
      <c r="H608" s="102">
        <f t="shared" ref="H608" si="688">H609+H610</f>
        <v>822</v>
      </c>
      <c r="I608" s="102">
        <f t="shared" si="687"/>
        <v>1000</v>
      </c>
      <c r="J608" s="102">
        <f t="shared" si="687"/>
        <v>1003</v>
      </c>
      <c r="K608" s="208">
        <f t="shared" ref="K608:N608" si="689">K609+K610</f>
        <v>255</v>
      </c>
      <c r="L608" s="102">
        <f t="shared" si="689"/>
        <v>255</v>
      </c>
      <c r="M608" s="102">
        <f t="shared" si="689"/>
        <v>254</v>
      </c>
      <c r="N608" s="102">
        <f t="shared" si="689"/>
        <v>239</v>
      </c>
      <c r="O608" s="30">
        <f t="shared" si="673"/>
        <v>1003</v>
      </c>
      <c r="P608" s="100">
        <f t="shared" si="674"/>
        <v>0</v>
      </c>
      <c r="Q608" s="102">
        <f t="shared" si="687"/>
        <v>1003</v>
      </c>
      <c r="R608" s="102">
        <f t="shared" si="687"/>
        <v>1003</v>
      </c>
      <c r="S608" s="102">
        <f t="shared" si="687"/>
        <v>1003</v>
      </c>
    </row>
    <row r="609" spans="1:19" ht="14.25">
      <c r="A609" s="12"/>
      <c r="B609" s="116" t="s">
        <v>154</v>
      </c>
      <c r="C609" s="135">
        <v>10</v>
      </c>
      <c r="D609" s="30">
        <v>861</v>
      </c>
      <c r="E609" s="30">
        <v>904</v>
      </c>
      <c r="F609" s="46">
        <f>882-200</f>
        <v>682</v>
      </c>
      <c r="G609" s="30">
        <v>904</v>
      </c>
      <c r="H609" s="30">
        <v>804</v>
      </c>
      <c r="I609" s="30">
        <v>982</v>
      </c>
      <c r="J609" s="30">
        <v>985</v>
      </c>
      <c r="K609" s="64">
        <v>250</v>
      </c>
      <c r="L609" s="30">
        <v>250</v>
      </c>
      <c r="M609" s="30">
        <v>250</v>
      </c>
      <c r="N609" s="30">
        <v>235</v>
      </c>
      <c r="O609" s="30">
        <f t="shared" si="673"/>
        <v>985</v>
      </c>
      <c r="P609" s="100">
        <f t="shared" si="674"/>
        <v>0</v>
      </c>
      <c r="Q609" s="30">
        <v>985</v>
      </c>
      <c r="R609" s="30">
        <v>985</v>
      </c>
      <c r="S609" s="30">
        <v>985</v>
      </c>
    </row>
    <row r="610" spans="1:19" ht="14.25">
      <c r="A610" s="12"/>
      <c r="B610" s="116" t="s">
        <v>581</v>
      </c>
      <c r="C610" s="135">
        <v>20</v>
      </c>
      <c r="D610" s="30">
        <v>15</v>
      </c>
      <c r="E610" s="30">
        <v>18</v>
      </c>
      <c r="F610" s="46">
        <f>18-5</f>
        <v>13</v>
      </c>
      <c r="G610" s="30">
        <v>18</v>
      </c>
      <c r="H610" s="30">
        <v>18</v>
      </c>
      <c r="I610" s="30">
        <v>18</v>
      </c>
      <c r="J610" s="30">
        <v>18</v>
      </c>
      <c r="K610" s="64">
        <v>5</v>
      </c>
      <c r="L610" s="30">
        <v>5</v>
      </c>
      <c r="M610" s="30">
        <v>4</v>
      </c>
      <c r="N610" s="30">
        <v>4</v>
      </c>
      <c r="O610" s="30">
        <f t="shared" si="673"/>
        <v>18</v>
      </c>
      <c r="P610" s="100">
        <f t="shared" si="674"/>
        <v>0</v>
      </c>
      <c r="Q610" s="30">
        <v>18</v>
      </c>
      <c r="R610" s="30">
        <v>18</v>
      </c>
      <c r="S610" s="30">
        <v>18</v>
      </c>
    </row>
    <row r="611" spans="1:19" ht="28.5" customHeight="1">
      <c r="A611" s="12" t="s">
        <v>300</v>
      </c>
      <c r="B611" s="250" t="s">
        <v>301</v>
      </c>
      <c r="C611" s="135" t="s">
        <v>289</v>
      </c>
      <c r="D611" s="138">
        <f t="shared" ref="D611:S613" si="690">D612</f>
        <v>800</v>
      </c>
      <c r="E611" s="138">
        <f t="shared" si="690"/>
        <v>925</v>
      </c>
      <c r="F611" s="138">
        <f t="shared" si="690"/>
        <v>716</v>
      </c>
      <c r="G611" s="138">
        <f t="shared" si="690"/>
        <v>925</v>
      </c>
      <c r="H611" s="138">
        <f t="shared" si="690"/>
        <v>779</v>
      </c>
      <c r="I611" s="138">
        <f t="shared" si="690"/>
        <v>935</v>
      </c>
      <c r="J611" s="138">
        <f t="shared" si="690"/>
        <v>935</v>
      </c>
      <c r="K611" s="206">
        <f t="shared" si="690"/>
        <v>240</v>
      </c>
      <c r="L611" s="138">
        <f t="shared" si="690"/>
        <v>240</v>
      </c>
      <c r="M611" s="138">
        <f t="shared" si="690"/>
        <v>240</v>
      </c>
      <c r="N611" s="138">
        <f t="shared" si="690"/>
        <v>215</v>
      </c>
      <c r="O611" s="30">
        <f t="shared" si="673"/>
        <v>935</v>
      </c>
      <c r="P611" s="100">
        <f t="shared" si="674"/>
        <v>0</v>
      </c>
      <c r="Q611" s="138">
        <f t="shared" si="690"/>
        <v>935</v>
      </c>
      <c r="R611" s="138">
        <f t="shared" si="690"/>
        <v>935</v>
      </c>
      <c r="S611" s="138">
        <f t="shared" si="690"/>
        <v>935</v>
      </c>
    </row>
    <row r="612" spans="1:19" ht="14.25">
      <c r="A612" s="12"/>
      <c r="B612" s="129" t="s">
        <v>152</v>
      </c>
      <c r="C612" s="135"/>
      <c r="D612" s="138">
        <f t="shared" si="690"/>
        <v>800</v>
      </c>
      <c r="E612" s="138">
        <f t="shared" si="690"/>
        <v>925</v>
      </c>
      <c r="F612" s="138">
        <f t="shared" si="690"/>
        <v>716</v>
      </c>
      <c r="G612" s="138">
        <f t="shared" si="690"/>
        <v>925</v>
      </c>
      <c r="H612" s="138">
        <f t="shared" si="690"/>
        <v>779</v>
      </c>
      <c r="I612" s="138">
        <f t="shared" si="690"/>
        <v>935</v>
      </c>
      <c r="J612" s="138">
        <f t="shared" si="690"/>
        <v>935</v>
      </c>
      <c r="K612" s="206">
        <f t="shared" si="690"/>
        <v>240</v>
      </c>
      <c r="L612" s="138">
        <f t="shared" si="690"/>
        <v>240</v>
      </c>
      <c r="M612" s="138">
        <f t="shared" si="690"/>
        <v>240</v>
      </c>
      <c r="N612" s="138">
        <f t="shared" si="690"/>
        <v>215</v>
      </c>
      <c r="O612" s="30">
        <f t="shared" si="673"/>
        <v>935</v>
      </c>
      <c r="P612" s="100">
        <f t="shared" si="674"/>
        <v>0</v>
      </c>
      <c r="Q612" s="138">
        <f t="shared" si="690"/>
        <v>935</v>
      </c>
      <c r="R612" s="138">
        <f t="shared" si="690"/>
        <v>935</v>
      </c>
      <c r="S612" s="138">
        <f t="shared" si="690"/>
        <v>935</v>
      </c>
    </row>
    <row r="613" spans="1:19" ht="14.25">
      <c r="A613" s="12"/>
      <c r="B613" s="116" t="s">
        <v>153</v>
      </c>
      <c r="C613" s="135">
        <v>1</v>
      </c>
      <c r="D613" s="102">
        <f t="shared" si="690"/>
        <v>800</v>
      </c>
      <c r="E613" s="102">
        <f t="shared" si="690"/>
        <v>925</v>
      </c>
      <c r="F613" s="102">
        <f t="shared" si="690"/>
        <v>716</v>
      </c>
      <c r="G613" s="102">
        <f t="shared" si="690"/>
        <v>925</v>
      </c>
      <c r="H613" s="102">
        <f t="shared" si="690"/>
        <v>779</v>
      </c>
      <c r="I613" s="102">
        <f t="shared" si="690"/>
        <v>935</v>
      </c>
      <c r="J613" s="102">
        <f t="shared" si="690"/>
        <v>935</v>
      </c>
      <c r="K613" s="208">
        <f t="shared" si="690"/>
        <v>240</v>
      </c>
      <c r="L613" s="102">
        <f t="shared" si="690"/>
        <v>240</v>
      </c>
      <c r="M613" s="102">
        <f t="shared" si="690"/>
        <v>240</v>
      </c>
      <c r="N613" s="102">
        <f t="shared" si="690"/>
        <v>215</v>
      </c>
      <c r="O613" s="30">
        <f t="shared" si="673"/>
        <v>935</v>
      </c>
      <c r="P613" s="100">
        <f t="shared" si="674"/>
        <v>0</v>
      </c>
      <c r="Q613" s="102">
        <f t="shared" si="690"/>
        <v>935</v>
      </c>
      <c r="R613" s="102">
        <f t="shared" si="690"/>
        <v>935</v>
      </c>
      <c r="S613" s="102">
        <f t="shared" si="690"/>
        <v>935</v>
      </c>
    </row>
    <row r="614" spans="1:19" ht="14.25">
      <c r="A614" s="12"/>
      <c r="B614" s="116" t="s">
        <v>290</v>
      </c>
      <c r="C614" s="135" t="s">
        <v>291</v>
      </c>
      <c r="D614" s="102">
        <f t="shared" ref="D614:S614" si="691">D615+D616</f>
        <v>800</v>
      </c>
      <c r="E614" s="102">
        <f t="shared" si="691"/>
        <v>925</v>
      </c>
      <c r="F614" s="102">
        <f t="shared" si="691"/>
        <v>716</v>
      </c>
      <c r="G614" s="102">
        <f t="shared" si="691"/>
        <v>925</v>
      </c>
      <c r="H614" s="102">
        <f t="shared" ref="H614" si="692">H615+H616</f>
        <v>779</v>
      </c>
      <c r="I614" s="102">
        <f t="shared" si="691"/>
        <v>935</v>
      </c>
      <c r="J614" s="102">
        <f t="shared" si="691"/>
        <v>935</v>
      </c>
      <c r="K614" s="208">
        <f t="shared" ref="K614:N614" si="693">K615+K616</f>
        <v>240</v>
      </c>
      <c r="L614" s="102">
        <f t="shared" si="693"/>
        <v>240</v>
      </c>
      <c r="M614" s="102">
        <f t="shared" si="693"/>
        <v>240</v>
      </c>
      <c r="N614" s="102">
        <f t="shared" si="693"/>
        <v>215</v>
      </c>
      <c r="O614" s="30">
        <f t="shared" si="673"/>
        <v>935</v>
      </c>
      <c r="P614" s="100">
        <f t="shared" si="674"/>
        <v>0</v>
      </c>
      <c r="Q614" s="102">
        <f t="shared" si="691"/>
        <v>935</v>
      </c>
      <c r="R614" s="102">
        <f t="shared" si="691"/>
        <v>935</v>
      </c>
      <c r="S614" s="102">
        <f t="shared" si="691"/>
        <v>935</v>
      </c>
    </row>
    <row r="615" spans="1:19" ht="14.25">
      <c r="A615" s="12"/>
      <c r="B615" s="116" t="s">
        <v>154</v>
      </c>
      <c r="C615" s="135">
        <v>10</v>
      </c>
      <c r="D615" s="30">
        <v>765</v>
      </c>
      <c r="E615" s="30">
        <v>895</v>
      </c>
      <c r="F615" s="46">
        <f>895-200</f>
        <v>695</v>
      </c>
      <c r="G615" s="30">
        <v>895</v>
      </c>
      <c r="H615" s="30">
        <v>750</v>
      </c>
      <c r="I615" s="30">
        <v>905</v>
      </c>
      <c r="J615" s="30">
        <v>905</v>
      </c>
      <c r="K615" s="64">
        <v>230</v>
      </c>
      <c r="L615" s="30">
        <v>230</v>
      </c>
      <c r="M615" s="30">
        <v>230</v>
      </c>
      <c r="N615" s="30">
        <v>215</v>
      </c>
      <c r="O615" s="30">
        <f t="shared" si="673"/>
        <v>905</v>
      </c>
      <c r="P615" s="100">
        <f t="shared" si="674"/>
        <v>0</v>
      </c>
      <c r="Q615" s="30">
        <v>905</v>
      </c>
      <c r="R615" s="30">
        <v>905</v>
      </c>
      <c r="S615" s="30">
        <v>905</v>
      </c>
    </row>
    <row r="616" spans="1:19" ht="14.25" customHeight="1">
      <c r="A616" s="12"/>
      <c r="B616" s="116" t="s">
        <v>581</v>
      </c>
      <c r="C616" s="135">
        <v>20</v>
      </c>
      <c r="D616" s="30">
        <v>35</v>
      </c>
      <c r="E616" s="30">
        <v>30</v>
      </c>
      <c r="F616" s="46">
        <f>28-7</f>
        <v>21</v>
      </c>
      <c r="G616" s="30">
        <v>30</v>
      </c>
      <c r="H616" s="30">
        <v>29</v>
      </c>
      <c r="I616" s="30">
        <v>30</v>
      </c>
      <c r="J616" s="30">
        <v>30</v>
      </c>
      <c r="K616" s="64">
        <v>10</v>
      </c>
      <c r="L616" s="30">
        <v>10</v>
      </c>
      <c r="M616" s="30">
        <v>10</v>
      </c>
      <c r="N616" s="30"/>
      <c r="O616" s="30">
        <f t="shared" si="673"/>
        <v>30</v>
      </c>
      <c r="P616" s="100">
        <f t="shared" si="674"/>
        <v>0</v>
      </c>
      <c r="Q616" s="30">
        <v>30</v>
      </c>
      <c r="R616" s="30">
        <v>30</v>
      </c>
      <c r="S616" s="30">
        <v>30</v>
      </c>
    </row>
    <row r="617" spans="1:19" ht="14.25" hidden="1" customHeight="1">
      <c r="A617" s="186">
        <v>2.2999999999999998</v>
      </c>
      <c r="B617" s="129" t="s">
        <v>535</v>
      </c>
      <c r="C617" s="37" t="s">
        <v>536</v>
      </c>
      <c r="D617" s="105">
        <f t="shared" ref="D617:S617" si="694">D618+D621+D624+D627+D630+D633</f>
        <v>0</v>
      </c>
      <c r="E617" s="105">
        <f t="shared" si="694"/>
        <v>875</v>
      </c>
      <c r="F617" s="105">
        <f t="shared" si="694"/>
        <v>0</v>
      </c>
      <c r="G617" s="105">
        <f t="shared" si="694"/>
        <v>875</v>
      </c>
      <c r="H617" s="108">
        <f t="shared" ref="H617" si="695">H618+H621+H624+H627+H630+H633</f>
        <v>0</v>
      </c>
      <c r="I617" s="105">
        <f t="shared" si="694"/>
        <v>331</v>
      </c>
      <c r="J617" s="105">
        <f t="shared" si="694"/>
        <v>0</v>
      </c>
      <c r="K617" s="197">
        <f t="shared" ref="K617:N617" si="696">K618+K621+K624+K627+K630+K633</f>
        <v>0</v>
      </c>
      <c r="L617" s="105">
        <f t="shared" si="696"/>
        <v>0</v>
      </c>
      <c r="M617" s="105">
        <f t="shared" si="696"/>
        <v>0</v>
      </c>
      <c r="N617" s="105">
        <f t="shared" si="696"/>
        <v>0</v>
      </c>
      <c r="O617" s="30">
        <f t="shared" si="673"/>
        <v>0</v>
      </c>
      <c r="P617" s="100">
        <f t="shared" si="674"/>
        <v>0</v>
      </c>
      <c r="Q617" s="105">
        <f t="shared" si="694"/>
        <v>0</v>
      </c>
      <c r="R617" s="105">
        <f t="shared" si="694"/>
        <v>0</v>
      </c>
      <c r="S617" s="105">
        <f t="shared" si="694"/>
        <v>0</v>
      </c>
    </row>
    <row r="618" spans="1:19" ht="14.25" hidden="1" customHeight="1">
      <c r="A618" s="12" t="s">
        <v>537</v>
      </c>
      <c r="B618" s="129" t="s">
        <v>515</v>
      </c>
      <c r="C618" s="37" t="s">
        <v>536</v>
      </c>
      <c r="D618" s="105">
        <f t="shared" ref="D618:S619" si="697">D619</f>
        <v>0</v>
      </c>
      <c r="E618" s="105">
        <f t="shared" si="697"/>
        <v>544</v>
      </c>
      <c r="F618" s="105">
        <f t="shared" si="697"/>
        <v>0</v>
      </c>
      <c r="G618" s="105">
        <f t="shared" si="697"/>
        <v>544</v>
      </c>
      <c r="H618" s="108">
        <f t="shared" si="697"/>
        <v>0</v>
      </c>
      <c r="I618" s="105">
        <f t="shared" si="697"/>
        <v>0</v>
      </c>
      <c r="J618" s="105">
        <f t="shared" si="697"/>
        <v>0</v>
      </c>
      <c r="K618" s="197">
        <f t="shared" si="697"/>
        <v>0</v>
      </c>
      <c r="L618" s="105">
        <f t="shared" si="697"/>
        <v>0</v>
      </c>
      <c r="M618" s="105">
        <f t="shared" si="697"/>
        <v>0</v>
      </c>
      <c r="N618" s="105">
        <f t="shared" si="697"/>
        <v>0</v>
      </c>
      <c r="O618" s="30">
        <f t="shared" si="673"/>
        <v>0</v>
      </c>
      <c r="P618" s="100">
        <f t="shared" si="674"/>
        <v>0</v>
      </c>
      <c r="Q618" s="105">
        <f t="shared" si="697"/>
        <v>0</v>
      </c>
      <c r="R618" s="105">
        <f t="shared" si="697"/>
        <v>0</v>
      </c>
      <c r="S618" s="105">
        <f t="shared" si="697"/>
        <v>0</v>
      </c>
    </row>
    <row r="619" spans="1:19" ht="15" hidden="1" customHeight="1">
      <c r="A619" s="12"/>
      <c r="B619" s="116" t="s">
        <v>164</v>
      </c>
      <c r="C619" s="135"/>
      <c r="D619" s="104">
        <f t="shared" si="697"/>
        <v>0</v>
      </c>
      <c r="E619" s="104">
        <f t="shared" si="697"/>
        <v>544</v>
      </c>
      <c r="F619" s="104">
        <f t="shared" si="697"/>
        <v>0</v>
      </c>
      <c r="G619" s="104">
        <f t="shared" si="697"/>
        <v>544</v>
      </c>
      <c r="H619" s="117">
        <f t="shared" si="697"/>
        <v>0</v>
      </c>
      <c r="I619" s="104">
        <f t="shared" si="697"/>
        <v>0</v>
      </c>
      <c r="J619" s="104">
        <f t="shared" si="697"/>
        <v>0</v>
      </c>
      <c r="K619" s="196">
        <f t="shared" si="697"/>
        <v>0</v>
      </c>
      <c r="L619" s="104">
        <f t="shared" si="697"/>
        <v>0</v>
      </c>
      <c r="M619" s="104">
        <f t="shared" si="697"/>
        <v>0</v>
      </c>
      <c r="N619" s="104">
        <f t="shared" si="697"/>
        <v>0</v>
      </c>
      <c r="O619" s="30">
        <f t="shared" si="673"/>
        <v>0</v>
      </c>
      <c r="P619" s="100">
        <f t="shared" si="674"/>
        <v>0</v>
      </c>
      <c r="Q619" s="104">
        <f t="shared" si="697"/>
        <v>0</v>
      </c>
      <c r="R619" s="104">
        <f t="shared" si="697"/>
        <v>0</v>
      </c>
      <c r="S619" s="104">
        <f t="shared" si="697"/>
        <v>0</v>
      </c>
    </row>
    <row r="620" spans="1:19" ht="30" hidden="1" customHeight="1">
      <c r="A620" s="12"/>
      <c r="B620" s="35" t="s">
        <v>538</v>
      </c>
      <c r="C620" s="135" t="s">
        <v>169</v>
      </c>
      <c r="D620" s="46"/>
      <c r="E620" s="30">
        <v>544</v>
      </c>
      <c r="F620" s="46"/>
      <c r="G620" s="30">
        <v>544</v>
      </c>
      <c r="H620" s="31"/>
      <c r="I620" s="30"/>
      <c r="J620" s="30"/>
      <c r="K620" s="64"/>
      <c r="L620" s="30"/>
      <c r="M620" s="30"/>
      <c r="N620" s="30"/>
      <c r="O620" s="30">
        <f t="shared" si="673"/>
        <v>0</v>
      </c>
      <c r="P620" s="100">
        <f t="shared" si="674"/>
        <v>0</v>
      </c>
      <c r="Q620" s="30"/>
      <c r="R620" s="30"/>
      <c r="S620" s="30"/>
    </row>
    <row r="621" spans="1:19" ht="14.25" hidden="1" customHeight="1">
      <c r="A621" s="12" t="s">
        <v>539</v>
      </c>
      <c r="B621" s="33" t="s">
        <v>516</v>
      </c>
      <c r="C621" s="37" t="s">
        <v>536</v>
      </c>
      <c r="D621" s="105">
        <f t="shared" ref="D621:S622" si="698">D622</f>
        <v>0</v>
      </c>
      <c r="E621" s="105">
        <f t="shared" si="698"/>
        <v>0</v>
      </c>
      <c r="F621" s="105">
        <f t="shared" si="698"/>
        <v>0</v>
      </c>
      <c r="G621" s="105">
        <f t="shared" si="698"/>
        <v>0</v>
      </c>
      <c r="H621" s="105">
        <f t="shared" si="698"/>
        <v>0</v>
      </c>
      <c r="I621" s="105">
        <f t="shared" si="698"/>
        <v>0</v>
      </c>
      <c r="J621" s="105">
        <f t="shared" si="698"/>
        <v>0</v>
      </c>
      <c r="K621" s="197">
        <f t="shared" si="698"/>
        <v>0</v>
      </c>
      <c r="L621" s="105">
        <f t="shared" si="698"/>
        <v>0</v>
      </c>
      <c r="M621" s="105">
        <f t="shared" si="698"/>
        <v>0</v>
      </c>
      <c r="N621" s="105">
        <f t="shared" si="698"/>
        <v>0</v>
      </c>
      <c r="O621" s="30">
        <f t="shared" si="673"/>
        <v>0</v>
      </c>
      <c r="P621" s="100">
        <f t="shared" si="674"/>
        <v>0</v>
      </c>
      <c r="Q621" s="105">
        <f t="shared" si="698"/>
        <v>0</v>
      </c>
      <c r="R621" s="105">
        <f t="shared" si="698"/>
        <v>0</v>
      </c>
      <c r="S621" s="105">
        <f t="shared" si="698"/>
        <v>0</v>
      </c>
    </row>
    <row r="622" spans="1:19" ht="15" hidden="1" customHeight="1">
      <c r="A622" s="12"/>
      <c r="B622" s="116" t="s">
        <v>164</v>
      </c>
      <c r="C622" s="135"/>
      <c r="D622" s="104">
        <f t="shared" si="698"/>
        <v>0</v>
      </c>
      <c r="E622" s="104">
        <f t="shared" si="698"/>
        <v>0</v>
      </c>
      <c r="F622" s="104">
        <f t="shared" si="698"/>
        <v>0</v>
      </c>
      <c r="G622" s="104">
        <f t="shared" si="698"/>
        <v>0</v>
      </c>
      <c r="H622" s="104">
        <f t="shared" si="698"/>
        <v>0</v>
      </c>
      <c r="I622" s="104">
        <f t="shared" si="698"/>
        <v>0</v>
      </c>
      <c r="J622" s="104">
        <f t="shared" si="698"/>
        <v>0</v>
      </c>
      <c r="K622" s="196">
        <f t="shared" si="698"/>
        <v>0</v>
      </c>
      <c r="L622" s="104">
        <f t="shared" si="698"/>
        <v>0</v>
      </c>
      <c r="M622" s="104">
        <f t="shared" si="698"/>
        <v>0</v>
      </c>
      <c r="N622" s="104">
        <f t="shared" si="698"/>
        <v>0</v>
      </c>
      <c r="O622" s="30">
        <f t="shared" si="673"/>
        <v>0</v>
      </c>
      <c r="P622" s="100">
        <f t="shared" si="674"/>
        <v>0</v>
      </c>
      <c r="Q622" s="104">
        <f t="shared" si="698"/>
        <v>0</v>
      </c>
      <c r="R622" s="104">
        <f t="shared" si="698"/>
        <v>0</v>
      </c>
      <c r="S622" s="104">
        <f t="shared" si="698"/>
        <v>0</v>
      </c>
    </row>
    <row r="623" spans="1:19" ht="30" hidden="1" customHeight="1">
      <c r="A623" s="12"/>
      <c r="B623" s="35" t="s">
        <v>538</v>
      </c>
      <c r="C623" s="135" t="s">
        <v>169</v>
      </c>
      <c r="D623" s="46"/>
      <c r="E623" s="30"/>
      <c r="F623" s="46"/>
      <c r="G623" s="30"/>
      <c r="H623" s="30"/>
      <c r="I623" s="30"/>
      <c r="J623" s="30"/>
      <c r="K623" s="64"/>
      <c r="L623" s="30"/>
      <c r="M623" s="30"/>
      <c r="N623" s="30"/>
      <c r="O623" s="30">
        <f t="shared" si="673"/>
        <v>0</v>
      </c>
      <c r="P623" s="100">
        <f t="shared" si="674"/>
        <v>0</v>
      </c>
      <c r="Q623" s="30"/>
      <c r="R623" s="30"/>
      <c r="S623" s="30"/>
    </row>
    <row r="624" spans="1:19" ht="26.25" hidden="1" customHeight="1">
      <c r="A624" s="12" t="s">
        <v>539</v>
      </c>
      <c r="B624" s="33" t="s">
        <v>541</v>
      </c>
      <c r="C624" s="37" t="s">
        <v>536</v>
      </c>
      <c r="D624" s="105">
        <f t="shared" ref="D624:S625" si="699">D625</f>
        <v>0</v>
      </c>
      <c r="E624" s="105">
        <f t="shared" si="699"/>
        <v>0</v>
      </c>
      <c r="F624" s="105">
        <f t="shared" si="699"/>
        <v>0</v>
      </c>
      <c r="G624" s="105">
        <f t="shared" si="699"/>
        <v>0</v>
      </c>
      <c r="H624" s="105">
        <f t="shared" si="699"/>
        <v>0</v>
      </c>
      <c r="I624" s="105">
        <f t="shared" si="699"/>
        <v>0</v>
      </c>
      <c r="J624" s="105">
        <f t="shared" si="699"/>
        <v>0</v>
      </c>
      <c r="K624" s="197">
        <f t="shared" si="699"/>
        <v>0</v>
      </c>
      <c r="L624" s="105">
        <f t="shared" si="699"/>
        <v>0</v>
      </c>
      <c r="M624" s="105">
        <f t="shared" si="699"/>
        <v>0</v>
      </c>
      <c r="N624" s="105">
        <f t="shared" si="699"/>
        <v>0</v>
      </c>
      <c r="O624" s="30">
        <f t="shared" si="673"/>
        <v>0</v>
      </c>
      <c r="P624" s="100">
        <f t="shared" si="674"/>
        <v>0</v>
      </c>
      <c r="Q624" s="105">
        <f t="shared" si="699"/>
        <v>0</v>
      </c>
      <c r="R624" s="105">
        <f t="shared" si="699"/>
        <v>0</v>
      </c>
      <c r="S624" s="105">
        <f t="shared" si="699"/>
        <v>0</v>
      </c>
    </row>
    <row r="625" spans="1:19" ht="15" hidden="1" customHeight="1">
      <c r="A625" s="12"/>
      <c r="B625" s="116" t="s">
        <v>164</v>
      </c>
      <c r="C625" s="135"/>
      <c r="D625" s="104">
        <f t="shared" si="699"/>
        <v>0</v>
      </c>
      <c r="E625" s="104">
        <f t="shared" si="699"/>
        <v>0</v>
      </c>
      <c r="F625" s="104">
        <f t="shared" si="699"/>
        <v>0</v>
      </c>
      <c r="G625" s="104">
        <f t="shared" si="699"/>
        <v>0</v>
      </c>
      <c r="H625" s="104">
        <f t="shared" si="699"/>
        <v>0</v>
      </c>
      <c r="I625" s="104">
        <f t="shared" si="699"/>
        <v>0</v>
      </c>
      <c r="J625" s="104">
        <f t="shared" si="699"/>
        <v>0</v>
      </c>
      <c r="K625" s="196">
        <f t="shared" si="699"/>
        <v>0</v>
      </c>
      <c r="L625" s="104">
        <f t="shared" si="699"/>
        <v>0</v>
      </c>
      <c r="M625" s="104">
        <f t="shared" si="699"/>
        <v>0</v>
      </c>
      <c r="N625" s="104">
        <f t="shared" si="699"/>
        <v>0</v>
      </c>
      <c r="O625" s="30">
        <f t="shared" si="673"/>
        <v>0</v>
      </c>
      <c r="P625" s="100">
        <f t="shared" si="674"/>
        <v>0</v>
      </c>
      <c r="Q625" s="104">
        <f t="shared" si="699"/>
        <v>0</v>
      </c>
      <c r="R625" s="104">
        <f t="shared" si="699"/>
        <v>0</v>
      </c>
      <c r="S625" s="104">
        <f t="shared" si="699"/>
        <v>0</v>
      </c>
    </row>
    <row r="626" spans="1:19" ht="30" hidden="1" customHeight="1">
      <c r="A626" s="12"/>
      <c r="B626" s="35" t="s">
        <v>538</v>
      </c>
      <c r="C626" s="135" t="s">
        <v>169</v>
      </c>
      <c r="D626" s="46"/>
      <c r="E626" s="30"/>
      <c r="F626" s="46"/>
      <c r="G626" s="30"/>
      <c r="H626" s="31"/>
      <c r="I626" s="30"/>
      <c r="J626" s="30"/>
      <c r="K626" s="64"/>
      <c r="L626" s="30"/>
      <c r="M626" s="30"/>
      <c r="N626" s="30"/>
      <c r="O626" s="30">
        <f t="shared" si="673"/>
        <v>0</v>
      </c>
      <c r="P626" s="100">
        <f t="shared" si="674"/>
        <v>0</v>
      </c>
      <c r="Q626" s="30"/>
      <c r="R626" s="30"/>
      <c r="S626" s="30"/>
    </row>
    <row r="627" spans="1:19" ht="14.25" hidden="1" customHeight="1">
      <c r="A627" s="12" t="s">
        <v>539</v>
      </c>
      <c r="B627" s="33" t="s">
        <v>540</v>
      </c>
      <c r="C627" s="37" t="s">
        <v>536</v>
      </c>
      <c r="D627" s="105">
        <f t="shared" ref="D627:S628" si="700">D628</f>
        <v>0</v>
      </c>
      <c r="E627" s="105">
        <f t="shared" si="700"/>
        <v>331</v>
      </c>
      <c r="F627" s="105">
        <f t="shared" si="700"/>
        <v>0</v>
      </c>
      <c r="G627" s="105">
        <f t="shared" si="700"/>
        <v>331</v>
      </c>
      <c r="H627" s="105">
        <f t="shared" si="700"/>
        <v>0</v>
      </c>
      <c r="I627" s="105">
        <f t="shared" si="700"/>
        <v>331</v>
      </c>
      <c r="J627" s="105">
        <f t="shared" si="700"/>
        <v>0</v>
      </c>
      <c r="K627" s="197">
        <f t="shared" si="700"/>
        <v>0</v>
      </c>
      <c r="L627" s="105">
        <f t="shared" si="700"/>
        <v>0</v>
      </c>
      <c r="M627" s="105">
        <f t="shared" si="700"/>
        <v>0</v>
      </c>
      <c r="N627" s="105">
        <f t="shared" si="700"/>
        <v>0</v>
      </c>
      <c r="O627" s="30">
        <f t="shared" si="673"/>
        <v>0</v>
      </c>
      <c r="P627" s="100">
        <f t="shared" si="674"/>
        <v>0</v>
      </c>
      <c r="Q627" s="105">
        <f t="shared" si="700"/>
        <v>0</v>
      </c>
      <c r="R627" s="105">
        <f t="shared" si="700"/>
        <v>0</v>
      </c>
      <c r="S627" s="105">
        <f t="shared" si="700"/>
        <v>0</v>
      </c>
    </row>
    <row r="628" spans="1:19" ht="14.25" hidden="1" customHeight="1">
      <c r="A628" s="12"/>
      <c r="B628" s="116" t="s">
        <v>164</v>
      </c>
      <c r="C628" s="135"/>
      <c r="D628" s="104">
        <f t="shared" si="700"/>
        <v>0</v>
      </c>
      <c r="E628" s="104">
        <f t="shared" si="700"/>
        <v>331</v>
      </c>
      <c r="F628" s="104">
        <f t="shared" si="700"/>
        <v>0</v>
      </c>
      <c r="G628" s="104">
        <f t="shared" si="700"/>
        <v>331</v>
      </c>
      <c r="H628" s="104">
        <f t="shared" si="700"/>
        <v>0</v>
      </c>
      <c r="I628" s="104">
        <f t="shared" si="700"/>
        <v>331</v>
      </c>
      <c r="J628" s="104">
        <f t="shared" si="700"/>
        <v>0</v>
      </c>
      <c r="K628" s="196">
        <f t="shared" si="700"/>
        <v>0</v>
      </c>
      <c r="L628" s="104">
        <f t="shared" si="700"/>
        <v>0</v>
      </c>
      <c r="M628" s="104">
        <f t="shared" si="700"/>
        <v>0</v>
      </c>
      <c r="N628" s="104">
        <f t="shared" si="700"/>
        <v>0</v>
      </c>
      <c r="O628" s="30">
        <f t="shared" si="673"/>
        <v>0</v>
      </c>
      <c r="P628" s="100">
        <f t="shared" si="674"/>
        <v>0</v>
      </c>
      <c r="Q628" s="104">
        <f t="shared" si="700"/>
        <v>0</v>
      </c>
      <c r="R628" s="104">
        <f t="shared" si="700"/>
        <v>0</v>
      </c>
      <c r="S628" s="104">
        <f t="shared" si="700"/>
        <v>0</v>
      </c>
    </row>
    <row r="629" spans="1:19" ht="14.25" hidden="1" customHeight="1">
      <c r="A629" s="12"/>
      <c r="B629" s="35" t="s">
        <v>538</v>
      </c>
      <c r="C629" s="135" t="s">
        <v>169</v>
      </c>
      <c r="D629" s="46"/>
      <c r="E629" s="30">
        <v>331</v>
      </c>
      <c r="F629" s="46"/>
      <c r="G629" s="30">
        <v>331</v>
      </c>
      <c r="H629" s="30">
        <v>0</v>
      </c>
      <c r="I629" s="30">
        <v>331</v>
      </c>
      <c r="J629" s="30"/>
      <c r="K629" s="64"/>
      <c r="L629" s="30"/>
      <c r="M629" s="30"/>
      <c r="N629" s="30"/>
      <c r="O629" s="30">
        <f t="shared" si="673"/>
        <v>0</v>
      </c>
      <c r="P629" s="100">
        <f t="shared" si="674"/>
        <v>0</v>
      </c>
      <c r="Q629" s="30">
        <v>0</v>
      </c>
      <c r="R629" s="30">
        <v>0</v>
      </c>
      <c r="S629" s="30">
        <v>0</v>
      </c>
    </row>
    <row r="630" spans="1:19" ht="27.75" hidden="1" customHeight="1">
      <c r="A630" s="12" t="s">
        <v>539</v>
      </c>
      <c r="B630" s="33" t="s">
        <v>542</v>
      </c>
      <c r="C630" s="37" t="s">
        <v>536</v>
      </c>
      <c r="D630" s="105">
        <f t="shared" ref="D630:S631" si="701">D631</f>
        <v>0</v>
      </c>
      <c r="E630" s="105">
        <f t="shared" si="701"/>
        <v>0</v>
      </c>
      <c r="F630" s="105">
        <f t="shared" si="701"/>
        <v>0</v>
      </c>
      <c r="G630" s="105">
        <f t="shared" si="701"/>
        <v>0</v>
      </c>
      <c r="H630" s="105">
        <f t="shared" si="701"/>
        <v>0</v>
      </c>
      <c r="I630" s="105">
        <f t="shared" si="701"/>
        <v>0</v>
      </c>
      <c r="J630" s="105">
        <f t="shared" si="701"/>
        <v>0</v>
      </c>
      <c r="K630" s="197">
        <f t="shared" si="701"/>
        <v>0</v>
      </c>
      <c r="L630" s="105">
        <f t="shared" si="701"/>
        <v>0</v>
      </c>
      <c r="M630" s="105">
        <f t="shared" si="701"/>
        <v>0</v>
      </c>
      <c r="N630" s="105">
        <f t="shared" si="701"/>
        <v>0</v>
      </c>
      <c r="O630" s="30">
        <f t="shared" si="673"/>
        <v>0</v>
      </c>
      <c r="P630" s="100">
        <f t="shared" si="674"/>
        <v>0</v>
      </c>
      <c r="Q630" s="105">
        <f t="shared" si="701"/>
        <v>0</v>
      </c>
      <c r="R630" s="105">
        <f t="shared" si="701"/>
        <v>0</v>
      </c>
      <c r="S630" s="105">
        <f t="shared" si="701"/>
        <v>0</v>
      </c>
    </row>
    <row r="631" spans="1:19" ht="15" hidden="1" customHeight="1">
      <c r="A631" s="12"/>
      <c r="B631" s="116" t="s">
        <v>164</v>
      </c>
      <c r="C631" s="135"/>
      <c r="D631" s="104">
        <f t="shared" si="701"/>
        <v>0</v>
      </c>
      <c r="E631" s="104">
        <f t="shared" si="701"/>
        <v>0</v>
      </c>
      <c r="F631" s="104">
        <f t="shared" si="701"/>
        <v>0</v>
      </c>
      <c r="G631" s="104">
        <f t="shared" si="701"/>
        <v>0</v>
      </c>
      <c r="H631" s="104">
        <f t="shared" si="701"/>
        <v>0</v>
      </c>
      <c r="I631" s="104">
        <f t="shared" si="701"/>
        <v>0</v>
      </c>
      <c r="J631" s="104">
        <f t="shared" si="701"/>
        <v>0</v>
      </c>
      <c r="K631" s="196">
        <f t="shared" si="701"/>
        <v>0</v>
      </c>
      <c r="L631" s="104">
        <f t="shared" si="701"/>
        <v>0</v>
      </c>
      <c r="M631" s="104">
        <f t="shared" si="701"/>
        <v>0</v>
      </c>
      <c r="N631" s="104">
        <f t="shared" si="701"/>
        <v>0</v>
      </c>
      <c r="O631" s="30">
        <f t="shared" si="673"/>
        <v>0</v>
      </c>
      <c r="P631" s="100">
        <f t="shared" si="674"/>
        <v>0</v>
      </c>
      <c r="Q631" s="104">
        <f t="shared" si="701"/>
        <v>0</v>
      </c>
      <c r="R631" s="104">
        <f t="shared" si="701"/>
        <v>0</v>
      </c>
      <c r="S631" s="104">
        <f t="shared" si="701"/>
        <v>0</v>
      </c>
    </row>
    <row r="632" spans="1:19" ht="30" hidden="1" customHeight="1">
      <c r="A632" s="12"/>
      <c r="B632" s="35" t="s">
        <v>538</v>
      </c>
      <c r="C632" s="135" t="s">
        <v>169</v>
      </c>
      <c r="D632" s="46"/>
      <c r="E632" s="30"/>
      <c r="F632" s="46"/>
      <c r="G632" s="30"/>
      <c r="H632" s="30"/>
      <c r="I632" s="30"/>
      <c r="J632" s="30"/>
      <c r="K632" s="64"/>
      <c r="L632" s="30"/>
      <c r="M632" s="30"/>
      <c r="N632" s="30"/>
      <c r="O632" s="30">
        <f t="shared" si="673"/>
        <v>0</v>
      </c>
      <c r="P632" s="100">
        <f t="shared" si="674"/>
        <v>0</v>
      </c>
      <c r="Q632" s="30"/>
      <c r="R632" s="30"/>
      <c r="S632" s="30"/>
    </row>
    <row r="633" spans="1:19" ht="14.25" hidden="1" customHeight="1">
      <c r="A633" s="12" t="s">
        <v>539</v>
      </c>
      <c r="B633" s="33" t="s">
        <v>543</v>
      </c>
      <c r="C633" s="37" t="s">
        <v>536</v>
      </c>
      <c r="D633" s="105">
        <f t="shared" ref="D633:S634" si="702">D634</f>
        <v>0</v>
      </c>
      <c r="E633" s="105">
        <f t="shared" si="702"/>
        <v>0</v>
      </c>
      <c r="F633" s="105">
        <f t="shared" si="702"/>
        <v>0</v>
      </c>
      <c r="G633" s="105">
        <f t="shared" si="702"/>
        <v>0</v>
      </c>
      <c r="H633" s="105">
        <f t="shared" si="702"/>
        <v>0</v>
      </c>
      <c r="I633" s="105">
        <f t="shared" si="702"/>
        <v>0</v>
      </c>
      <c r="J633" s="105">
        <f t="shared" si="702"/>
        <v>0</v>
      </c>
      <c r="K633" s="197">
        <f t="shared" si="702"/>
        <v>0</v>
      </c>
      <c r="L633" s="105">
        <f t="shared" si="702"/>
        <v>0</v>
      </c>
      <c r="M633" s="105">
        <f t="shared" si="702"/>
        <v>0</v>
      </c>
      <c r="N633" s="105">
        <f t="shared" si="702"/>
        <v>0</v>
      </c>
      <c r="O633" s="30">
        <f t="shared" si="673"/>
        <v>0</v>
      </c>
      <c r="P633" s="100">
        <f t="shared" si="674"/>
        <v>0</v>
      </c>
      <c r="Q633" s="105">
        <f t="shared" si="702"/>
        <v>0</v>
      </c>
      <c r="R633" s="105">
        <f t="shared" si="702"/>
        <v>0</v>
      </c>
      <c r="S633" s="105">
        <f t="shared" si="702"/>
        <v>0</v>
      </c>
    </row>
    <row r="634" spans="1:19" ht="15" hidden="1" customHeight="1">
      <c r="A634" s="12"/>
      <c r="B634" s="116" t="s">
        <v>164</v>
      </c>
      <c r="C634" s="135"/>
      <c r="D634" s="104">
        <f t="shared" si="702"/>
        <v>0</v>
      </c>
      <c r="E634" s="104">
        <f t="shared" si="702"/>
        <v>0</v>
      </c>
      <c r="F634" s="104">
        <f t="shared" si="702"/>
        <v>0</v>
      </c>
      <c r="G634" s="104">
        <f t="shared" si="702"/>
        <v>0</v>
      </c>
      <c r="H634" s="104">
        <f t="shared" si="702"/>
        <v>0</v>
      </c>
      <c r="I634" s="104">
        <f t="shared" si="702"/>
        <v>0</v>
      </c>
      <c r="J634" s="104">
        <f t="shared" si="702"/>
        <v>0</v>
      </c>
      <c r="K634" s="196">
        <f t="shared" si="702"/>
        <v>0</v>
      </c>
      <c r="L634" s="104">
        <f t="shared" si="702"/>
        <v>0</v>
      </c>
      <c r="M634" s="104">
        <f t="shared" si="702"/>
        <v>0</v>
      </c>
      <c r="N634" s="104">
        <f t="shared" si="702"/>
        <v>0</v>
      </c>
      <c r="O634" s="30">
        <f t="shared" si="673"/>
        <v>0</v>
      </c>
      <c r="P634" s="100">
        <f t="shared" si="674"/>
        <v>0</v>
      </c>
      <c r="Q634" s="104">
        <f t="shared" si="702"/>
        <v>0</v>
      </c>
      <c r="R634" s="104">
        <f t="shared" si="702"/>
        <v>0</v>
      </c>
      <c r="S634" s="104">
        <f t="shared" si="702"/>
        <v>0</v>
      </c>
    </row>
    <row r="635" spans="1:19" ht="30" hidden="1" customHeight="1">
      <c r="A635" s="12"/>
      <c r="B635" s="35" t="s">
        <v>538</v>
      </c>
      <c r="C635" s="135" t="s">
        <v>169</v>
      </c>
      <c r="D635" s="46"/>
      <c r="E635" s="30"/>
      <c r="F635" s="46"/>
      <c r="G635" s="30"/>
      <c r="H635" s="31"/>
      <c r="I635" s="30"/>
      <c r="J635" s="30"/>
      <c r="K635" s="64"/>
      <c r="L635" s="30"/>
      <c r="M635" s="30"/>
      <c r="N635" s="30"/>
      <c r="O635" s="30">
        <f t="shared" si="673"/>
        <v>0</v>
      </c>
      <c r="P635" s="100">
        <f t="shared" si="674"/>
        <v>0</v>
      </c>
      <c r="Q635" s="30"/>
      <c r="R635" s="30"/>
      <c r="S635" s="30"/>
    </row>
    <row r="636" spans="1:19" ht="19.5" customHeight="1">
      <c r="A636" s="180">
        <v>3</v>
      </c>
      <c r="B636" s="249" t="s">
        <v>575</v>
      </c>
      <c r="C636" s="242" t="s">
        <v>302</v>
      </c>
      <c r="D636" s="140">
        <f t="shared" ref="D636:S636" si="703">D647+D659+D668+D674+D680+D690+D699+D708+D717+D722+D732+D737</f>
        <v>53976</v>
      </c>
      <c r="E636" s="140">
        <f t="shared" si="703"/>
        <v>61218.9</v>
      </c>
      <c r="F636" s="140">
        <f t="shared" si="703"/>
        <v>52625</v>
      </c>
      <c r="G636" s="140">
        <f t="shared" si="703"/>
        <v>61218.9</v>
      </c>
      <c r="H636" s="140">
        <f t="shared" ref="H636" si="704">H647+H659+H668+H674+H680+H690+H699+H708+H717+H722+H732+H737</f>
        <v>53115</v>
      </c>
      <c r="I636" s="140">
        <f t="shared" si="703"/>
        <v>66690</v>
      </c>
      <c r="J636" s="140">
        <f t="shared" si="703"/>
        <v>58284</v>
      </c>
      <c r="K636" s="209">
        <f t="shared" ref="K636:N636" si="705">K647+K659+K668+K674+K680+K690+K699+K708+K717+K722+K732+K737</f>
        <v>16830</v>
      </c>
      <c r="L636" s="140">
        <f t="shared" si="705"/>
        <v>14045</v>
      </c>
      <c r="M636" s="140">
        <f t="shared" si="705"/>
        <v>14100</v>
      </c>
      <c r="N636" s="140">
        <f t="shared" si="705"/>
        <v>13309</v>
      </c>
      <c r="O636" s="30">
        <f t="shared" si="673"/>
        <v>58284</v>
      </c>
      <c r="P636" s="100">
        <f t="shared" si="674"/>
        <v>0</v>
      </c>
      <c r="Q636" s="151">
        <f t="shared" si="703"/>
        <v>54424</v>
      </c>
      <c r="R636" s="151">
        <f t="shared" si="703"/>
        <v>54424</v>
      </c>
      <c r="S636" s="151">
        <f t="shared" si="703"/>
        <v>54424</v>
      </c>
    </row>
    <row r="637" spans="1:19" ht="18.75" customHeight="1">
      <c r="A637" s="12"/>
      <c r="B637" s="129" t="s">
        <v>152</v>
      </c>
      <c r="C637" s="37"/>
      <c r="D637" s="138">
        <f t="shared" ref="D637:G638" si="706">D648+D660+D681+D691+D700+D709+D718+D723+D733+D738</f>
        <v>53285</v>
      </c>
      <c r="E637" s="138">
        <f t="shared" si="706"/>
        <v>57269</v>
      </c>
      <c r="F637" s="138">
        <f t="shared" si="706"/>
        <v>52625</v>
      </c>
      <c r="G637" s="138">
        <f t="shared" si="706"/>
        <v>57269</v>
      </c>
      <c r="H637" s="138">
        <f t="shared" ref="H637" si="707">H648+H660+H681+H691+H700+H709+H718+H723+H733+H738</f>
        <v>52542</v>
      </c>
      <c r="I637" s="138">
        <f t="shared" ref="I637:S637" si="708">I648+I660+I681+I691+I700+I709+I718+I723+I733+I738</f>
        <v>58933</v>
      </c>
      <c r="J637" s="138">
        <f t="shared" si="708"/>
        <v>54644</v>
      </c>
      <c r="K637" s="206">
        <f t="shared" ref="K637:N637" si="709">K648+K660+K681+K691+K700+K709+K718+K723+K733+K738</f>
        <v>13350</v>
      </c>
      <c r="L637" s="138">
        <f t="shared" si="709"/>
        <v>13885</v>
      </c>
      <c r="M637" s="138">
        <f t="shared" si="709"/>
        <v>14100</v>
      </c>
      <c r="N637" s="138">
        <f t="shared" si="709"/>
        <v>13309</v>
      </c>
      <c r="O637" s="30">
        <f t="shared" si="673"/>
        <v>54644</v>
      </c>
      <c r="P637" s="100">
        <f t="shared" si="674"/>
        <v>0</v>
      </c>
      <c r="Q637" s="138">
        <f t="shared" si="708"/>
        <v>54344</v>
      </c>
      <c r="R637" s="138">
        <f t="shared" si="708"/>
        <v>54344</v>
      </c>
      <c r="S637" s="138">
        <f t="shared" si="708"/>
        <v>54344</v>
      </c>
    </row>
    <row r="638" spans="1:19" ht="14.25">
      <c r="A638" s="12"/>
      <c r="B638" s="116" t="s">
        <v>153</v>
      </c>
      <c r="C638" s="135">
        <v>1</v>
      </c>
      <c r="D638" s="102">
        <f t="shared" si="706"/>
        <v>53330</v>
      </c>
      <c r="E638" s="102">
        <f t="shared" si="706"/>
        <v>57269</v>
      </c>
      <c r="F638" s="102">
        <f t="shared" si="706"/>
        <v>52625</v>
      </c>
      <c r="G638" s="102">
        <f t="shared" si="706"/>
        <v>57371</v>
      </c>
      <c r="H638" s="102">
        <f t="shared" ref="H638" si="710">H649+H661+H682+H692+H701+H710+H719+H724+H734+H739</f>
        <v>52644</v>
      </c>
      <c r="I638" s="102">
        <f t="shared" ref="I638:S638" si="711">I649+I661+I682+I692+I701+I710+I719+I724+I734+I739</f>
        <v>58933</v>
      </c>
      <c r="J638" s="102">
        <f t="shared" si="711"/>
        <v>54644</v>
      </c>
      <c r="K638" s="208">
        <f t="shared" ref="K638:N638" si="712">K649+K661+K682+K692+K701+K710+K719+K724+K734+K739</f>
        <v>13350</v>
      </c>
      <c r="L638" s="102">
        <f t="shared" si="712"/>
        <v>13885</v>
      </c>
      <c r="M638" s="102">
        <f t="shared" si="712"/>
        <v>14100</v>
      </c>
      <c r="N638" s="102">
        <f t="shared" si="712"/>
        <v>13309</v>
      </c>
      <c r="O638" s="30">
        <f t="shared" si="673"/>
        <v>54644</v>
      </c>
      <c r="P638" s="100">
        <f t="shared" si="674"/>
        <v>0</v>
      </c>
      <c r="Q638" s="102">
        <f t="shared" si="711"/>
        <v>54344</v>
      </c>
      <c r="R638" s="102">
        <f t="shared" si="711"/>
        <v>54344</v>
      </c>
      <c r="S638" s="102">
        <f t="shared" si="711"/>
        <v>54344</v>
      </c>
    </row>
    <row r="639" spans="1:19" ht="14.25">
      <c r="A639" s="12"/>
      <c r="B639" s="116" t="s">
        <v>581</v>
      </c>
      <c r="C639" s="135">
        <v>20</v>
      </c>
      <c r="D639" s="102">
        <f t="shared" ref="D639:S639" si="713">D735</f>
        <v>349</v>
      </c>
      <c r="E639" s="102">
        <f t="shared" si="713"/>
        <v>1100</v>
      </c>
      <c r="F639" s="102">
        <f t="shared" si="713"/>
        <v>1100</v>
      </c>
      <c r="G639" s="102">
        <f t="shared" si="713"/>
        <v>1100</v>
      </c>
      <c r="H639" s="102">
        <f t="shared" ref="H639" si="714">H735</f>
        <v>920</v>
      </c>
      <c r="I639" s="102">
        <f t="shared" si="713"/>
        <v>1100</v>
      </c>
      <c r="J639" s="102">
        <f t="shared" si="713"/>
        <v>1000</v>
      </c>
      <c r="K639" s="208">
        <f t="shared" ref="K639:N639" si="715">K735</f>
        <v>100</v>
      </c>
      <c r="L639" s="102">
        <f t="shared" si="715"/>
        <v>300</v>
      </c>
      <c r="M639" s="102">
        <f t="shared" si="715"/>
        <v>400</v>
      </c>
      <c r="N639" s="102">
        <f t="shared" si="715"/>
        <v>200</v>
      </c>
      <c r="O639" s="30">
        <f t="shared" si="673"/>
        <v>1000</v>
      </c>
      <c r="P639" s="100">
        <f t="shared" si="674"/>
        <v>0</v>
      </c>
      <c r="Q639" s="102">
        <f t="shared" si="713"/>
        <v>1000</v>
      </c>
      <c r="R639" s="102">
        <f t="shared" si="713"/>
        <v>1000</v>
      </c>
      <c r="S639" s="102">
        <f t="shared" si="713"/>
        <v>1000</v>
      </c>
    </row>
    <row r="640" spans="1:19" ht="14.25">
      <c r="A640" s="12"/>
      <c r="B640" s="116" t="s">
        <v>250</v>
      </c>
      <c r="C640" s="135">
        <v>51</v>
      </c>
      <c r="D640" s="102">
        <f t="shared" ref="D640:S640" si="716">D650+D662+D683+D693+D702+D711+D725</f>
        <v>39077</v>
      </c>
      <c r="E640" s="102">
        <f t="shared" si="716"/>
        <v>40948</v>
      </c>
      <c r="F640" s="102">
        <f t="shared" si="716"/>
        <v>36304</v>
      </c>
      <c r="G640" s="102">
        <f t="shared" si="716"/>
        <v>41050</v>
      </c>
      <c r="H640" s="102">
        <f t="shared" ref="H640" si="717">H650+H662+H683+H693+H702+H711+H725</f>
        <v>37774</v>
      </c>
      <c r="I640" s="102">
        <f t="shared" si="716"/>
        <v>43714</v>
      </c>
      <c r="J640" s="102">
        <f t="shared" si="716"/>
        <v>39225</v>
      </c>
      <c r="K640" s="208">
        <f t="shared" ref="K640:N640" si="718">K650+K662+K683+K693+K702+K711+K725</f>
        <v>9845</v>
      </c>
      <c r="L640" s="102">
        <f t="shared" si="718"/>
        <v>9780</v>
      </c>
      <c r="M640" s="102">
        <f t="shared" si="718"/>
        <v>9895</v>
      </c>
      <c r="N640" s="102">
        <f t="shared" si="718"/>
        <v>9705</v>
      </c>
      <c r="O640" s="30">
        <f t="shared" si="673"/>
        <v>39225</v>
      </c>
      <c r="P640" s="100">
        <f t="shared" si="674"/>
        <v>0</v>
      </c>
      <c r="Q640" s="102">
        <f t="shared" si="716"/>
        <v>39225</v>
      </c>
      <c r="R640" s="102">
        <f t="shared" si="716"/>
        <v>39225</v>
      </c>
      <c r="S640" s="102">
        <f t="shared" si="716"/>
        <v>39225</v>
      </c>
    </row>
    <row r="641" spans="1:19" ht="15" customHeight="1">
      <c r="A641" s="12"/>
      <c r="B641" s="116" t="s">
        <v>161</v>
      </c>
      <c r="C641" s="135">
        <v>59</v>
      </c>
      <c r="D641" s="102">
        <f t="shared" ref="D641:S641" si="719">D720+D740</f>
        <v>13904</v>
      </c>
      <c r="E641" s="102">
        <f t="shared" si="719"/>
        <v>15221</v>
      </c>
      <c r="F641" s="102">
        <f t="shared" si="719"/>
        <v>15221</v>
      </c>
      <c r="G641" s="102">
        <f t="shared" si="719"/>
        <v>15221</v>
      </c>
      <c r="H641" s="102">
        <f t="shared" ref="H641" si="720">H720+H740</f>
        <v>13950</v>
      </c>
      <c r="I641" s="102">
        <f t="shared" si="719"/>
        <v>14119</v>
      </c>
      <c r="J641" s="102">
        <f t="shared" si="719"/>
        <v>14419</v>
      </c>
      <c r="K641" s="208">
        <f t="shared" ref="K641:N641" si="721">K720+K740</f>
        <v>3405</v>
      </c>
      <c r="L641" s="102">
        <f t="shared" si="721"/>
        <v>3805</v>
      </c>
      <c r="M641" s="102">
        <f t="shared" si="721"/>
        <v>3805</v>
      </c>
      <c r="N641" s="102">
        <f t="shared" si="721"/>
        <v>3404</v>
      </c>
      <c r="O641" s="30">
        <f t="shared" si="673"/>
        <v>14419</v>
      </c>
      <c r="P641" s="100">
        <f t="shared" si="674"/>
        <v>0</v>
      </c>
      <c r="Q641" s="102">
        <f t="shared" si="719"/>
        <v>14119</v>
      </c>
      <c r="R641" s="102">
        <f t="shared" si="719"/>
        <v>14119</v>
      </c>
      <c r="S641" s="102">
        <f t="shared" si="719"/>
        <v>14119</v>
      </c>
    </row>
    <row r="642" spans="1:19" ht="15" customHeight="1">
      <c r="A642" s="12"/>
      <c r="B642" s="116" t="s">
        <v>163</v>
      </c>
      <c r="C642" s="37">
        <v>85.01</v>
      </c>
      <c r="D642" s="138">
        <f t="shared" ref="D642:S642" si="722">D653+D728</f>
        <v>0</v>
      </c>
      <c r="E642" s="138">
        <f t="shared" si="722"/>
        <v>0</v>
      </c>
      <c r="F642" s="138">
        <f t="shared" si="722"/>
        <v>0</v>
      </c>
      <c r="G642" s="138">
        <f t="shared" si="722"/>
        <v>0</v>
      </c>
      <c r="H642" s="138">
        <f t="shared" ref="H642" si="723">H653+H728</f>
        <v>0</v>
      </c>
      <c r="I642" s="138">
        <f t="shared" si="722"/>
        <v>0</v>
      </c>
      <c r="J642" s="138">
        <f t="shared" si="722"/>
        <v>0</v>
      </c>
      <c r="K642" s="206">
        <f t="shared" ref="K642:N642" si="724">K653+K728</f>
        <v>0</v>
      </c>
      <c r="L642" s="138">
        <f t="shared" si="724"/>
        <v>0</v>
      </c>
      <c r="M642" s="138">
        <f t="shared" si="724"/>
        <v>0</v>
      </c>
      <c r="N642" s="138">
        <f t="shared" si="724"/>
        <v>0</v>
      </c>
      <c r="O642" s="30">
        <f t="shared" si="673"/>
        <v>0</v>
      </c>
      <c r="P642" s="100">
        <f t="shared" si="674"/>
        <v>0</v>
      </c>
      <c r="Q642" s="138">
        <f t="shared" si="722"/>
        <v>0</v>
      </c>
      <c r="R642" s="138">
        <f t="shared" si="722"/>
        <v>0</v>
      </c>
      <c r="S642" s="138">
        <f t="shared" si="722"/>
        <v>0</v>
      </c>
    </row>
    <row r="643" spans="1:19" ht="15" customHeight="1">
      <c r="A643" s="12"/>
      <c r="B643" s="129" t="s">
        <v>164</v>
      </c>
      <c r="C643" s="135"/>
      <c r="D643" s="138">
        <f t="shared" ref="D643:S643" si="725">D656+D666+D669+D675+D687+D697+D706+D715+D729</f>
        <v>691</v>
      </c>
      <c r="E643" s="138">
        <f t="shared" si="725"/>
        <v>3949.9</v>
      </c>
      <c r="F643" s="138">
        <f t="shared" si="725"/>
        <v>0</v>
      </c>
      <c r="G643" s="138">
        <f t="shared" si="725"/>
        <v>3949.9</v>
      </c>
      <c r="H643" s="138">
        <f t="shared" ref="H643" si="726">H656+H666+H669+H675+H687+H697+H706+H715+H729</f>
        <v>573</v>
      </c>
      <c r="I643" s="138">
        <f t="shared" si="725"/>
        <v>7757</v>
      </c>
      <c r="J643" s="138">
        <f t="shared" si="725"/>
        <v>3640</v>
      </c>
      <c r="K643" s="206">
        <f t="shared" ref="K643:N643" si="727">K656+K666+K669+K675+K687+K697+K706+K715+K729</f>
        <v>3480</v>
      </c>
      <c r="L643" s="138">
        <f t="shared" si="727"/>
        <v>160</v>
      </c>
      <c r="M643" s="138">
        <f t="shared" si="727"/>
        <v>0</v>
      </c>
      <c r="N643" s="138">
        <f t="shared" si="727"/>
        <v>0</v>
      </c>
      <c r="O643" s="30">
        <f t="shared" si="673"/>
        <v>3640</v>
      </c>
      <c r="P643" s="100">
        <f t="shared" si="674"/>
        <v>0</v>
      </c>
      <c r="Q643" s="138">
        <f t="shared" si="725"/>
        <v>80</v>
      </c>
      <c r="R643" s="138">
        <f t="shared" si="725"/>
        <v>80</v>
      </c>
      <c r="S643" s="138">
        <f t="shared" si="725"/>
        <v>80</v>
      </c>
    </row>
    <row r="644" spans="1:19" ht="14.25" customHeight="1">
      <c r="A644" s="12"/>
      <c r="B644" s="116" t="s">
        <v>170</v>
      </c>
      <c r="C644" s="135">
        <v>51</v>
      </c>
      <c r="D644" s="138">
        <f t="shared" ref="D644:S644" si="728">D658+D667+D689+D698+D707+D716+D731</f>
        <v>606</v>
      </c>
      <c r="E644" s="138">
        <f t="shared" si="728"/>
        <v>3949.9</v>
      </c>
      <c r="F644" s="138">
        <f t="shared" si="728"/>
        <v>0</v>
      </c>
      <c r="G644" s="138">
        <f t="shared" si="728"/>
        <v>3949.9</v>
      </c>
      <c r="H644" s="138">
        <f t="shared" ref="H644" si="729">H658+H667+H689+H698+H707+H716+H731</f>
        <v>573</v>
      </c>
      <c r="I644" s="138">
        <f t="shared" si="728"/>
        <v>7757</v>
      </c>
      <c r="J644" s="138">
        <f t="shared" si="728"/>
        <v>3640</v>
      </c>
      <c r="K644" s="206">
        <f t="shared" ref="K644:N644" si="730">K658+K667+K689+K698+K707+K716+K731</f>
        <v>3480</v>
      </c>
      <c r="L644" s="138">
        <f t="shared" si="730"/>
        <v>160</v>
      </c>
      <c r="M644" s="138">
        <f t="shared" si="730"/>
        <v>0</v>
      </c>
      <c r="N644" s="138">
        <f t="shared" si="730"/>
        <v>0</v>
      </c>
      <c r="O644" s="30">
        <f t="shared" si="673"/>
        <v>3640</v>
      </c>
      <c r="P644" s="100">
        <f t="shared" si="674"/>
        <v>0</v>
      </c>
      <c r="Q644" s="138">
        <f t="shared" si="728"/>
        <v>80</v>
      </c>
      <c r="R644" s="138">
        <f t="shared" si="728"/>
        <v>80</v>
      </c>
      <c r="S644" s="138">
        <f t="shared" si="728"/>
        <v>80</v>
      </c>
    </row>
    <row r="645" spans="1:19" ht="13.5" customHeight="1">
      <c r="A645" s="12"/>
      <c r="B645" s="116" t="s">
        <v>172</v>
      </c>
      <c r="C645" s="135">
        <v>55</v>
      </c>
      <c r="D645" s="138">
        <f t="shared" ref="D645:S645" si="731">D730</f>
        <v>0</v>
      </c>
      <c r="E645" s="138">
        <f t="shared" si="731"/>
        <v>0</v>
      </c>
      <c r="F645" s="138">
        <f t="shared" si="731"/>
        <v>0</v>
      </c>
      <c r="G645" s="138">
        <f t="shared" si="731"/>
        <v>0</v>
      </c>
      <c r="H645" s="138">
        <f t="shared" ref="H645" si="732">H730</f>
        <v>0</v>
      </c>
      <c r="I645" s="138">
        <f t="shared" si="731"/>
        <v>0</v>
      </c>
      <c r="J645" s="138">
        <f t="shared" si="731"/>
        <v>0</v>
      </c>
      <c r="K645" s="206">
        <f t="shared" ref="K645:N645" si="733">K730</f>
        <v>0</v>
      </c>
      <c r="L645" s="138">
        <f t="shared" si="733"/>
        <v>0</v>
      </c>
      <c r="M645" s="138">
        <f t="shared" si="733"/>
        <v>0</v>
      </c>
      <c r="N645" s="138">
        <f t="shared" si="733"/>
        <v>0</v>
      </c>
      <c r="O645" s="30">
        <f t="shared" si="673"/>
        <v>0</v>
      </c>
      <c r="P645" s="100">
        <f t="shared" si="674"/>
        <v>0</v>
      </c>
      <c r="Q645" s="138">
        <f t="shared" si="731"/>
        <v>0</v>
      </c>
      <c r="R645" s="138">
        <f t="shared" si="731"/>
        <v>0</v>
      </c>
      <c r="S645" s="138">
        <f t="shared" si="731"/>
        <v>0</v>
      </c>
    </row>
    <row r="646" spans="1:19" ht="12" customHeight="1">
      <c r="A646" s="12"/>
      <c r="B646" s="116" t="s">
        <v>173</v>
      </c>
      <c r="C646" s="135">
        <v>56</v>
      </c>
      <c r="D646" s="102">
        <f t="shared" ref="D646:S646" si="734">D657+D670+D676</f>
        <v>85</v>
      </c>
      <c r="E646" s="102">
        <f t="shared" si="734"/>
        <v>0</v>
      </c>
      <c r="F646" s="102">
        <f t="shared" si="734"/>
        <v>0</v>
      </c>
      <c r="G646" s="102">
        <f t="shared" si="734"/>
        <v>0</v>
      </c>
      <c r="H646" s="102">
        <f t="shared" ref="H646" si="735">H657+H670+H676</f>
        <v>0</v>
      </c>
      <c r="I646" s="102">
        <f t="shared" si="734"/>
        <v>0</v>
      </c>
      <c r="J646" s="102">
        <f t="shared" si="734"/>
        <v>0</v>
      </c>
      <c r="K646" s="208">
        <f t="shared" ref="K646:N646" si="736">K657+K670+K676</f>
        <v>0</v>
      </c>
      <c r="L646" s="102">
        <f t="shared" si="736"/>
        <v>0</v>
      </c>
      <c r="M646" s="102">
        <f t="shared" si="736"/>
        <v>0</v>
      </c>
      <c r="N646" s="102">
        <f t="shared" si="736"/>
        <v>0</v>
      </c>
      <c r="O646" s="30">
        <f t="shared" si="673"/>
        <v>0</v>
      </c>
      <c r="P646" s="100">
        <f t="shared" si="674"/>
        <v>0</v>
      </c>
      <c r="Q646" s="102">
        <f t="shared" si="734"/>
        <v>0</v>
      </c>
      <c r="R646" s="102">
        <f t="shared" si="734"/>
        <v>0</v>
      </c>
      <c r="S646" s="102">
        <f t="shared" si="734"/>
        <v>0</v>
      </c>
    </row>
    <row r="647" spans="1:19" ht="25.5">
      <c r="A647" s="12" t="s">
        <v>303</v>
      </c>
      <c r="B647" s="250" t="s">
        <v>635</v>
      </c>
      <c r="C647" s="135" t="s">
        <v>304</v>
      </c>
      <c r="D647" s="138">
        <f t="shared" ref="D647:S647" si="737">D648+D656</f>
        <v>5749</v>
      </c>
      <c r="E647" s="138">
        <f t="shared" si="737"/>
        <v>5462</v>
      </c>
      <c r="F647" s="138">
        <f t="shared" si="737"/>
        <v>5375</v>
      </c>
      <c r="G647" s="138">
        <f t="shared" si="737"/>
        <v>5462</v>
      </c>
      <c r="H647" s="138">
        <f t="shared" ref="H647" si="738">H648+H656</f>
        <v>5412</v>
      </c>
      <c r="I647" s="138">
        <f t="shared" si="737"/>
        <v>6729</v>
      </c>
      <c r="J647" s="138">
        <f t="shared" si="737"/>
        <v>5830</v>
      </c>
      <c r="K647" s="206">
        <f t="shared" ref="K647:N647" si="739">K648+K656</f>
        <v>1535</v>
      </c>
      <c r="L647" s="138">
        <f t="shared" si="739"/>
        <v>1430</v>
      </c>
      <c r="M647" s="138">
        <f t="shared" si="739"/>
        <v>1435</v>
      </c>
      <c r="N647" s="138">
        <f t="shared" si="739"/>
        <v>1430</v>
      </c>
      <c r="O647" s="30">
        <f t="shared" si="673"/>
        <v>5830</v>
      </c>
      <c r="P647" s="100">
        <f t="shared" si="674"/>
        <v>0</v>
      </c>
      <c r="Q647" s="138">
        <f t="shared" si="737"/>
        <v>5810</v>
      </c>
      <c r="R647" s="138">
        <f t="shared" si="737"/>
        <v>5810</v>
      </c>
      <c r="S647" s="138">
        <f t="shared" si="737"/>
        <v>5810</v>
      </c>
    </row>
    <row r="648" spans="1:19" ht="14.25">
      <c r="A648" s="12"/>
      <c r="B648" s="129" t="s">
        <v>152</v>
      </c>
      <c r="C648" s="135"/>
      <c r="D648" s="138">
        <f t="shared" ref="D648:S649" si="740">D649</f>
        <v>5664</v>
      </c>
      <c r="E648" s="138">
        <f t="shared" si="740"/>
        <v>5409</v>
      </c>
      <c r="F648" s="138">
        <f t="shared" si="740"/>
        <v>5375</v>
      </c>
      <c r="G648" s="138">
        <f>G649+G655</f>
        <v>5409</v>
      </c>
      <c r="H648" s="138">
        <f t="shared" ref="H648:S648" si="741">H649+H655</f>
        <v>5359</v>
      </c>
      <c r="I648" s="138">
        <f t="shared" si="741"/>
        <v>6461</v>
      </c>
      <c r="J648" s="138">
        <f t="shared" si="741"/>
        <v>5730</v>
      </c>
      <c r="K648" s="206">
        <f t="shared" ref="K648:N648" si="742">K649+K655</f>
        <v>1435</v>
      </c>
      <c r="L648" s="138">
        <f t="shared" si="742"/>
        <v>1430</v>
      </c>
      <c r="M648" s="138">
        <f t="shared" si="742"/>
        <v>1435</v>
      </c>
      <c r="N648" s="138">
        <f t="shared" si="742"/>
        <v>1430</v>
      </c>
      <c r="O648" s="30">
        <f t="shared" si="673"/>
        <v>5730</v>
      </c>
      <c r="P648" s="100">
        <f t="shared" si="674"/>
        <v>0</v>
      </c>
      <c r="Q648" s="138">
        <f t="shared" si="741"/>
        <v>5730</v>
      </c>
      <c r="R648" s="138">
        <f t="shared" si="741"/>
        <v>5730</v>
      </c>
      <c r="S648" s="138">
        <f t="shared" si="741"/>
        <v>5730</v>
      </c>
    </row>
    <row r="649" spans="1:19" ht="14.25">
      <c r="A649" s="12"/>
      <c r="B649" s="116" t="s">
        <v>153</v>
      </c>
      <c r="C649" s="135">
        <v>1</v>
      </c>
      <c r="D649" s="102">
        <f t="shared" si="740"/>
        <v>5664</v>
      </c>
      <c r="E649" s="102">
        <f t="shared" si="740"/>
        <v>5409</v>
      </c>
      <c r="F649" s="102">
        <f t="shared" si="740"/>
        <v>5375</v>
      </c>
      <c r="G649" s="102">
        <f t="shared" si="740"/>
        <v>5437</v>
      </c>
      <c r="H649" s="102">
        <f t="shared" si="740"/>
        <v>5387</v>
      </c>
      <c r="I649" s="102">
        <f t="shared" si="740"/>
        <v>6461</v>
      </c>
      <c r="J649" s="102">
        <f t="shared" si="740"/>
        <v>5730</v>
      </c>
      <c r="K649" s="208">
        <f t="shared" si="740"/>
        <v>1435</v>
      </c>
      <c r="L649" s="102">
        <f t="shared" si="740"/>
        <v>1430</v>
      </c>
      <c r="M649" s="102">
        <f t="shared" si="740"/>
        <v>1435</v>
      </c>
      <c r="N649" s="102">
        <f t="shared" si="740"/>
        <v>1430</v>
      </c>
      <c r="O649" s="30">
        <f t="shared" si="673"/>
        <v>5730</v>
      </c>
      <c r="P649" s="100">
        <f t="shared" si="674"/>
        <v>0</v>
      </c>
      <c r="Q649" s="102">
        <f t="shared" si="740"/>
        <v>5730</v>
      </c>
      <c r="R649" s="102">
        <f t="shared" si="740"/>
        <v>5730</v>
      </c>
      <c r="S649" s="102">
        <f t="shared" si="740"/>
        <v>5730</v>
      </c>
    </row>
    <row r="650" spans="1:19" ht="14.25">
      <c r="A650" s="12"/>
      <c r="B650" s="116" t="s">
        <v>250</v>
      </c>
      <c r="C650" s="135" t="s">
        <v>216</v>
      </c>
      <c r="D650" s="102">
        <f t="shared" ref="D650:S650" si="743">D651+D652+D654</f>
        <v>5664</v>
      </c>
      <c r="E650" s="102">
        <f t="shared" si="743"/>
        <v>5409</v>
      </c>
      <c r="F650" s="102">
        <f t="shared" si="743"/>
        <v>5375</v>
      </c>
      <c r="G650" s="102">
        <f t="shared" si="743"/>
        <v>5437</v>
      </c>
      <c r="H650" s="102">
        <f t="shared" ref="H650" si="744">H651+H652+H654</f>
        <v>5387</v>
      </c>
      <c r="I650" s="102">
        <f>I651+I652+I654</f>
        <v>6461</v>
      </c>
      <c r="J650" s="102">
        <f t="shared" si="743"/>
        <v>5730</v>
      </c>
      <c r="K650" s="208">
        <f t="shared" ref="K650:N650" si="745">K651+K652+K654</f>
        <v>1435</v>
      </c>
      <c r="L650" s="102">
        <f t="shared" si="745"/>
        <v>1430</v>
      </c>
      <c r="M650" s="102">
        <f t="shared" si="745"/>
        <v>1435</v>
      </c>
      <c r="N650" s="102">
        <f t="shared" si="745"/>
        <v>1430</v>
      </c>
      <c r="O650" s="30">
        <f t="shared" si="673"/>
        <v>5730</v>
      </c>
      <c r="P650" s="100">
        <f t="shared" si="674"/>
        <v>0</v>
      </c>
      <c r="Q650" s="102">
        <f t="shared" si="743"/>
        <v>5730</v>
      </c>
      <c r="R650" s="102">
        <f t="shared" si="743"/>
        <v>5730</v>
      </c>
      <c r="S650" s="102">
        <f t="shared" si="743"/>
        <v>5730</v>
      </c>
    </row>
    <row r="651" spans="1:19" ht="15" customHeight="1">
      <c r="A651" s="12"/>
      <c r="B651" s="116" t="s">
        <v>154</v>
      </c>
      <c r="C651" s="135">
        <v>10</v>
      </c>
      <c r="D651" s="46">
        <v>4249</v>
      </c>
      <c r="E651" s="30">
        <v>4460</v>
      </c>
      <c r="F651" s="46">
        <v>4460</v>
      </c>
      <c r="G651" s="30">
        <v>4250</v>
      </c>
      <c r="H651" s="30">
        <v>4203</v>
      </c>
      <c r="I651" s="30">
        <v>4637</v>
      </c>
      <c r="J651" s="30">
        <v>4600</v>
      </c>
      <c r="K651" s="64">
        <v>1150</v>
      </c>
      <c r="L651" s="30">
        <v>1150</v>
      </c>
      <c r="M651" s="30">
        <v>1150</v>
      </c>
      <c r="N651" s="30">
        <v>1150</v>
      </c>
      <c r="O651" s="30">
        <f t="shared" si="673"/>
        <v>4600</v>
      </c>
      <c r="P651" s="100">
        <f t="shared" si="674"/>
        <v>0</v>
      </c>
      <c r="Q651" s="30">
        <v>4600</v>
      </c>
      <c r="R651" s="30">
        <v>4600</v>
      </c>
      <c r="S651" s="30">
        <v>4600</v>
      </c>
    </row>
    <row r="652" spans="1:19" ht="14.25" customHeight="1">
      <c r="A652" s="12"/>
      <c r="B652" s="116" t="s">
        <v>581</v>
      </c>
      <c r="C652" s="135">
        <v>20</v>
      </c>
      <c r="D652" s="46">
        <f>1416-15</f>
        <v>1401</v>
      </c>
      <c r="E652" s="30">
        <v>934</v>
      </c>
      <c r="F652" s="46">
        <v>900</v>
      </c>
      <c r="G652" s="30">
        <v>1175</v>
      </c>
      <c r="H652" s="30">
        <v>1172</v>
      </c>
      <c r="I652" s="30">
        <v>1794</v>
      </c>
      <c r="J652" s="30">
        <v>1100</v>
      </c>
      <c r="K652" s="64">
        <v>275</v>
      </c>
      <c r="L652" s="30">
        <v>270</v>
      </c>
      <c r="M652" s="30">
        <v>275</v>
      </c>
      <c r="N652" s="30">
        <v>280</v>
      </c>
      <c r="O652" s="30">
        <f t="shared" ref="O652:O715" si="746">K652+L652+M652+N652</f>
        <v>1100</v>
      </c>
      <c r="P652" s="100">
        <f t="shared" si="674"/>
        <v>0</v>
      </c>
      <c r="Q652" s="30">
        <v>1100</v>
      </c>
      <c r="R652" s="30">
        <v>1100</v>
      </c>
      <c r="S652" s="30">
        <v>1100</v>
      </c>
    </row>
    <row r="653" spans="1:19" ht="20.25" hidden="1" customHeight="1">
      <c r="A653" s="12"/>
      <c r="B653" s="116" t="s">
        <v>163</v>
      </c>
      <c r="C653" s="135" t="s">
        <v>251</v>
      </c>
      <c r="D653" s="46"/>
      <c r="E653" s="30"/>
      <c r="F653" s="46"/>
      <c r="G653" s="30"/>
      <c r="H653" s="30"/>
      <c r="I653" s="30"/>
      <c r="J653" s="30"/>
      <c r="K653" s="64"/>
      <c r="L653" s="30"/>
      <c r="M653" s="30"/>
      <c r="N653" s="30"/>
      <c r="O653" s="30">
        <f t="shared" si="746"/>
        <v>0</v>
      </c>
      <c r="P653" s="100">
        <f t="shared" ref="P653:P716" si="747">J653-O653</f>
        <v>0</v>
      </c>
      <c r="Q653" s="30"/>
      <c r="R653" s="30"/>
      <c r="S653" s="30"/>
    </row>
    <row r="654" spans="1:19" ht="16.5" customHeight="1">
      <c r="A654" s="12"/>
      <c r="B654" s="116" t="s">
        <v>450</v>
      </c>
      <c r="C654" s="135">
        <v>59</v>
      </c>
      <c r="D654" s="46">
        <v>14</v>
      </c>
      <c r="E654" s="30">
        <v>15</v>
      </c>
      <c r="F654" s="46">
        <v>15</v>
      </c>
      <c r="G654" s="30">
        <v>12</v>
      </c>
      <c r="H654" s="30">
        <v>12</v>
      </c>
      <c r="I654" s="30">
        <v>30</v>
      </c>
      <c r="J654" s="30">
        <v>30</v>
      </c>
      <c r="K654" s="64">
        <v>10</v>
      </c>
      <c r="L654" s="30">
        <v>10</v>
      </c>
      <c r="M654" s="30">
        <v>10</v>
      </c>
      <c r="N654" s="30"/>
      <c r="O654" s="30">
        <f t="shared" si="746"/>
        <v>30</v>
      </c>
      <c r="P654" s="100">
        <f t="shared" si="747"/>
        <v>0</v>
      </c>
      <c r="Q654" s="30">
        <v>30</v>
      </c>
      <c r="R654" s="30">
        <v>30</v>
      </c>
      <c r="S654" s="30">
        <v>30</v>
      </c>
    </row>
    <row r="655" spans="1:19" ht="16.5" hidden="1" customHeight="1">
      <c r="A655" s="12"/>
      <c r="B655" s="116" t="s">
        <v>163</v>
      </c>
      <c r="C655" s="135" t="s">
        <v>251</v>
      </c>
      <c r="D655" s="46"/>
      <c r="E655" s="30"/>
      <c r="F655" s="46"/>
      <c r="G655" s="30">
        <v>-28</v>
      </c>
      <c r="H655" s="30">
        <v>-28</v>
      </c>
      <c r="I655" s="30"/>
      <c r="J655" s="30"/>
      <c r="K655" s="64"/>
      <c r="L655" s="30"/>
      <c r="M655" s="30"/>
      <c r="N655" s="30"/>
      <c r="O655" s="30">
        <f t="shared" si="746"/>
        <v>0</v>
      </c>
      <c r="P655" s="100">
        <f t="shared" si="747"/>
        <v>0</v>
      </c>
      <c r="Q655" s="30"/>
      <c r="R655" s="30"/>
      <c r="S655" s="30"/>
    </row>
    <row r="656" spans="1:19" ht="14.25" customHeight="1">
      <c r="A656" s="12"/>
      <c r="B656" s="129" t="s">
        <v>164</v>
      </c>
      <c r="C656" s="135"/>
      <c r="D656" s="102">
        <f t="shared" ref="D656:S656" si="748">D657+D658</f>
        <v>85</v>
      </c>
      <c r="E656" s="102">
        <f t="shared" si="748"/>
        <v>53</v>
      </c>
      <c r="F656" s="102">
        <f>F657+F658</f>
        <v>0</v>
      </c>
      <c r="G656" s="102">
        <f t="shared" si="748"/>
        <v>53</v>
      </c>
      <c r="H656" s="102">
        <f t="shared" ref="H656" si="749">H657+H658</f>
        <v>53</v>
      </c>
      <c r="I656" s="102">
        <f t="shared" si="748"/>
        <v>268</v>
      </c>
      <c r="J656" s="102">
        <f t="shared" si="748"/>
        <v>100</v>
      </c>
      <c r="K656" s="208">
        <f t="shared" ref="K656:N656" si="750">K657+K658</f>
        <v>100</v>
      </c>
      <c r="L656" s="102">
        <f t="shared" si="750"/>
        <v>0</v>
      </c>
      <c r="M656" s="102">
        <f t="shared" si="750"/>
        <v>0</v>
      </c>
      <c r="N656" s="102">
        <f t="shared" si="750"/>
        <v>0</v>
      </c>
      <c r="O656" s="30">
        <f t="shared" si="746"/>
        <v>100</v>
      </c>
      <c r="P656" s="100">
        <f t="shared" si="747"/>
        <v>0</v>
      </c>
      <c r="Q656" s="102">
        <f t="shared" si="748"/>
        <v>80</v>
      </c>
      <c r="R656" s="102">
        <f t="shared" si="748"/>
        <v>80</v>
      </c>
      <c r="S656" s="102">
        <f t="shared" si="748"/>
        <v>80</v>
      </c>
    </row>
    <row r="657" spans="1:19" ht="17.25" hidden="1" customHeight="1">
      <c r="A657" s="12"/>
      <c r="B657" s="116" t="s">
        <v>173</v>
      </c>
      <c r="C657" s="135" t="s">
        <v>305</v>
      </c>
      <c r="D657" s="46">
        <v>85</v>
      </c>
      <c r="E657" s="30"/>
      <c r="F657" s="46"/>
      <c r="G657" s="30"/>
      <c r="H657" s="30"/>
      <c r="I657" s="30"/>
      <c r="J657" s="30"/>
      <c r="K657" s="64"/>
      <c r="L657" s="30"/>
      <c r="M657" s="30"/>
      <c r="N657" s="30"/>
      <c r="O657" s="30">
        <f t="shared" si="746"/>
        <v>0</v>
      </c>
      <c r="P657" s="100">
        <f t="shared" si="747"/>
        <v>0</v>
      </c>
      <c r="Q657" s="30"/>
      <c r="R657" s="30"/>
      <c r="S657" s="30"/>
    </row>
    <row r="658" spans="1:19" ht="15.75" customHeight="1">
      <c r="A658" s="12"/>
      <c r="B658" s="116" t="s">
        <v>170</v>
      </c>
      <c r="C658" s="135" t="s">
        <v>171</v>
      </c>
      <c r="D658" s="46">
        <v>0</v>
      </c>
      <c r="E658" s="30">
        <v>53</v>
      </c>
      <c r="F658" s="46">
        <v>0</v>
      </c>
      <c r="G658" s="30">
        <v>53</v>
      </c>
      <c r="H658" s="30">
        <v>53</v>
      </c>
      <c r="I658" s="30">
        <f>80+188</f>
        <v>268</v>
      </c>
      <c r="J658" s="30">
        <v>100</v>
      </c>
      <c r="K658" s="64">
        <v>100</v>
      </c>
      <c r="L658" s="30">
        <v>0</v>
      </c>
      <c r="M658" s="30">
        <v>0</v>
      </c>
      <c r="N658" s="30">
        <v>0</v>
      </c>
      <c r="O658" s="30">
        <f t="shared" si="746"/>
        <v>100</v>
      </c>
      <c r="P658" s="100">
        <f t="shared" si="747"/>
        <v>0</v>
      </c>
      <c r="Q658" s="30">
        <f>80</f>
        <v>80</v>
      </c>
      <c r="R658" s="30">
        <v>80</v>
      </c>
      <c r="S658" s="30">
        <v>80</v>
      </c>
    </row>
    <row r="659" spans="1:19" ht="14.25">
      <c r="A659" s="187" t="s">
        <v>306</v>
      </c>
      <c r="B659" s="252" t="s">
        <v>307</v>
      </c>
      <c r="C659" s="135" t="s">
        <v>308</v>
      </c>
      <c r="D659" s="138">
        <f t="shared" ref="D659:S659" si="751">D660+D666</f>
        <v>6178</v>
      </c>
      <c r="E659" s="138">
        <f t="shared" si="751"/>
        <v>6306</v>
      </c>
      <c r="F659" s="138">
        <f t="shared" si="751"/>
        <v>5400</v>
      </c>
      <c r="G659" s="138">
        <f t="shared" si="751"/>
        <v>6306</v>
      </c>
      <c r="H659" s="138">
        <f t="shared" ref="H659" si="752">H660+H666</f>
        <v>6245</v>
      </c>
      <c r="I659" s="138">
        <f t="shared" si="751"/>
        <v>8087</v>
      </c>
      <c r="J659" s="138">
        <f t="shared" si="751"/>
        <v>6660</v>
      </c>
      <c r="K659" s="206">
        <f t="shared" ref="K659:N659" si="753">K660+K666</f>
        <v>1675</v>
      </c>
      <c r="L659" s="138">
        <f t="shared" si="753"/>
        <v>1785</v>
      </c>
      <c r="M659" s="138">
        <f t="shared" si="753"/>
        <v>1625</v>
      </c>
      <c r="N659" s="138">
        <f t="shared" si="753"/>
        <v>1575</v>
      </c>
      <c r="O659" s="30">
        <f t="shared" si="746"/>
        <v>6660</v>
      </c>
      <c r="P659" s="100">
        <f t="shared" si="747"/>
        <v>0</v>
      </c>
      <c r="Q659" s="138">
        <f t="shared" si="751"/>
        <v>6500</v>
      </c>
      <c r="R659" s="138">
        <f t="shared" si="751"/>
        <v>6500</v>
      </c>
      <c r="S659" s="138">
        <f t="shared" si="751"/>
        <v>6500</v>
      </c>
    </row>
    <row r="660" spans="1:19" ht="14.25">
      <c r="A660" s="12"/>
      <c r="B660" s="129" t="s">
        <v>152</v>
      </c>
      <c r="C660" s="135"/>
      <c r="D660" s="138">
        <f t="shared" ref="D660:S661" si="754">D661</f>
        <v>6126</v>
      </c>
      <c r="E660" s="138">
        <f t="shared" si="754"/>
        <v>6306</v>
      </c>
      <c r="F660" s="138">
        <f t="shared" si="754"/>
        <v>5400</v>
      </c>
      <c r="G660" s="138">
        <f t="shared" si="754"/>
        <v>6306</v>
      </c>
      <c r="H660" s="138">
        <f t="shared" si="754"/>
        <v>6245</v>
      </c>
      <c r="I660" s="138">
        <f t="shared" si="754"/>
        <v>7875</v>
      </c>
      <c r="J660" s="138">
        <f t="shared" si="754"/>
        <v>6500</v>
      </c>
      <c r="K660" s="206">
        <f t="shared" si="754"/>
        <v>1675</v>
      </c>
      <c r="L660" s="138">
        <f t="shared" si="754"/>
        <v>1625</v>
      </c>
      <c r="M660" s="138">
        <f t="shared" si="754"/>
        <v>1625</v>
      </c>
      <c r="N660" s="138">
        <f t="shared" si="754"/>
        <v>1575</v>
      </c>
      <c r="O660" s="30">
        <f t="shared" si="746"/>
        <v>6500</v>
      </c>
      <c r="P660" s="100">
        <f t="shared" si="747"/>
        <v>0</v>
      </c>
      <c r="Q660" s="138">
        <f t="shared" si="754"/>
        <v>6500</v>
      </c>
      <c r="R660" s="138">
        <f t="shared" si="754"/>
        <v>6500</v>
      </c>
      <c r="S660" s="138">
        <f t="shared" si="754"/>
        <v>6500</v>
      </c>
    </row>
    <row r="661" spans="1:19" ht="14.25">
      <c r="A661" s="12"/>
      <c r="B661" s="116" t="s">
        <v>153</v>
      </c>
      <c r="C661" s="135">
        <v>1</v>
      </c>
      <c r="D661" s="102">
        <f t="shared" si="754"/>
        <v>6126</v>
      </c>
      <c r="E661" s="102">
        <f t="shared" si="754"/>
        <v>6306</v>
      </c>
      <c r="F661" s="102">
        <f t="shared" si="754"/>
        <v>5400</v>
      </c>
      <c r="G661" s="102">
        <f t="shared" si="754"/>
        <v>6306</v>
      </c>
      <c r="H661" s="102">
        <f t="shared" si="754"/>
        <v>6245</v>
      </c>
      <c r="I661" s="102">
        <f t="shared" si="754"/>
        <v>7875</v>
      </c>
      <c r="J661" s="102">
        <f t="shared" si="754"/>
        <v>6500</v>
      </c>
      <c r="K661" s="208">
        <f t="shared" si="754"/>
        <v>1675</v>
      </c>
      <c r="L661" s="102">
        <f t="shared" si="754"/>
        <v>1625</v>
      </c>
      <c r="M661" s="102">
        <f t="shared" si="754"/>
        <v>1625</v>
      </c>
      <c r="N661" s="102">
        <f t="shared" si="754"/>
        <v>1575</v>
      </c>
      <c r="O661" s="30">
        <f t="shared" si="746"/>
        <v>6500</v>
      </c>
      <c r="P661" s="100">
        <f t="shared" si="747"/>
        <v>0</v>
      </c>
      <c r="Q661" s="102">
        <f t="shared" si="754"/>
        <v>6500</v>
      </c>
      <c r="R661" s="102">
        <f t="shared" si="754"/>
        <v>6500</v>
      </c>
      <c r="S661" s="102">
        <f t="shared" si="754"/>
        <v>6500</v>
      </c>
    </row>
    <row r="662" spans="1:19" ht="14.25">
      <c r="A662" s="12"/>
      <c r="B662" s="116" t="s">
        <v>250</v>
      </c>
      <c r="C662" s="135" t="s">
        <v>216</v>
      </c>
      <c r="D662" s="102">
        <f t="shared" ref="D662:S662" si="755">D663+D664</f>
        <v>6126</v>
      </c>
      <c r="E662" s="102">
        <f t="shared" si="755"/>
        <v>6306</v>
      </c>
      <c r="F662" s="102">
        <f t="shared" si="755"/>
        <v>5400</v>
      </c>
      <c r="G662" s="102">
        <f t="shared" si="755"/>
        <v>6306</v>
      </c>
      <c r="H662" s="102">
        <f t="shared" ref="H662" si="756">H663+H664</f>
        <v>6245</v>
      </c>
      <c r="I662" s="102">
        <f t="shared" si="755"/>
        <v>7875</v>
      </c>
      <c r="J662" s="102">
        <f t="shared" si="755"/>
        <v>6500</v>
      </c>
      <c r="K662" s="208">
        <f t="shared" ref="K662:N662" si="757">K663+K664</f>
        <v>1675</v>
      </c>
      <c r="L662" s="102">
        <f t="shared" si="757"/>
        <v>1625</v>
      </c>
      <c r="M662" s="102">
        <f t="shared" si="757"/>
        <v>1625</v>
      </c>
      <c r="N662" s="102">
        <f t="shared" si="757"/>
        <v>1575</v>
      </c>
      <c r="O662" s="30">
        <f t="shared" si="746"/>
        <v>6500</v>
      </c>
      <c r="P662" s="100">
        <f t="shared" si="747"/>
        <v>0</v>
      </c>
      <c r="Q662" s="102">
        <f t="shared" si="755"/>
        <v>6500</v>
      </c>
      <c r="R662" s="102">
        <f t="shared" si="755"/>
        <v>6500</v>
      </c>
      <c r="S662" s="102">
        <f t="shared" si="755"/>
        <v>6500</v>
      </c>
    </row>
    <row r="663" spans="1:19" ht="14.25" customHeight="1">
      <c r="A663" s="12"/>
      <c r="B663" s="116" t="s">
        <v>154</v>
      </c>
      <c r="C663" s="135">
        <v>10</v>
      </c>
      <c r="D663" s="46">
        <v>3614</v>
      </c>
      <c r="E663" s="30">
        <v>3664</v>
      </c>
      <c r="F663" s="46">
        <v>3400</v>
      </c>
      <c r="G663" s="30">
        <v>3559</v>
      </c>
      <c r="H663" s="30">
        <v>3523</v>
      </c>
      <c r="I663" s="30">
        <v>4705</v>
      </c>
      <c r="J663" s="30">
        <v>3800</v>
      </c>
      <c r="K663" s="64">
        <v>1000</v>
      </c>
      <c r="L663" s="30">
        <v>950</v>
      </c>
      <c r="M663" s="30">
        <v>950</v>
      </c>
      <c r="N663" s="30">
        <v>900</v>
      </c>
      <c r="O663" s="30">
        <f t="shared" si="746"/>
        <v>3800</v>
      </c>
      <c r="P663" s="100">
        <f t="shared" si="747"/>
        <v>0</v>
      </c>
      <c r="Q663" s="30">
        <v>3800</v>
      </c>
      <c r="R663" s="30">
        <v>3800</v>
      </c>
      <c r="S663" s="30">
        <v>3800</v>
      </c>
    </row>
    <row r="664" spans="1:19" ht="15" customHeight="1">
      <c r="A664" s="12"/>
      <c r="B664" s="116" t="s">
        <v>581</v>
      </c>
      <c r="C664" s="135">
        <v>20</v>
      </c>
      <c r="D664" s="46">
        <v>2512</v>
      </c>
      <c r="E664" s="30">
        <v>2642</v>
      </c>
      <c r="F664" s="46">
        <v>2000</v>
      </c>
      <c r="G664" s="30">
        <v>2747</v>
      </c>
      <c r="H664" s="30">
        <v>2722</v>
      </c>
      <c r="I664" s="30">
        <v>3170</v>
      </c>
      <c r="J664" s="30">
        <v>2700</v>
      </c>
      <c r="K664" s="64">
        <v>675</v>
      </c>
      <c r="L664" s="30">
        <v>675</v>
      </c>
      <c r="M664" s="30">
        <v>675</v>
      </c>
      <c r="N664" s="30">
        <v>675</v>
      </c>
      <c r="O664" s="30">
        <f t="shared" si="746"/>
        <v>2700</v>
      </c>
      <c r="P664" s="100">
        <f t="shared" si="747"/>
        <v>0</v>
      </c>
      <c r="Q664" s="30">
        <v>2700</v>
      </c>
      <c r="R664" s="30">
        <v>2700</v>
      </c>
      <c r="S664" s="30">
        <v>2700</v>
      </c>
    </row>
    <row r="665" spans="1:19" ht="13.5" hidden="1" customHeight="1">
      <c r="A665" s="12"/>
      <c r="B665" s="116" t="s">
        <v>163</v>
      </c>
      <c r="C665" s="135" t="s">
        <v>251</v>
      </c>
      <c r="D665" s="46"/>
      <c r="E665" s="30"/>
      <c r="F665" s="46"/>
      <c r="G665" s="30"/>
      <c r="H665" s="30"/>
      <c r="I665" s="30"/>
      <c r="J665" s="30"/>
      <c r="K665" s="64"/>
      <c r="L665" s="30"/>
      <c r="M665" s="30"/>
      <c r="N665" s="30"/>
      <c r="O665" s="30">
        <f t="shared" si="746"/>
        <v>0</v>
      </c>
      <c r="P665" s="100">
        <f t="shared" si="747"/>
        <v>0</v>
      </c>
      <c r="Q665" s="30"/>
      <c r="R665" s="30"/>
      <c r="S665" s="30"/>
    </row>
    <row r="666" spans="1:19" ht="15" customHeight="1">
      <c r="A666" s="12"/>
      <c r="B666" s="129" t="s">
        <v>164</v>
      </c>
      <c r="C666" s="135"/>
      <c r="D666" s="102">
        <f t="shared" ref="D666:S666" si="758">D667</f>
        <v>52</v>
      </c>
      <c r="E666" s="102">
        <f t="shared" si="758"/>
        <v>0</v>
      </c>
      <c r="F666" s="102">
        <f t="shared" si="758"/>
        <v>0</v>
      </c>
      <c r="G666" s="102">
        <f t="shared" si="758"/>
        <v>0</v>
      </c>
      <c r="H666" s="102">
        <f t="shared" si="758"/>
        <v>0</v>
      </c>
      <c r="I666" s="102">
        <f t="shared" si="758"/>
        <v>212</v>
      </c>
      <c r="J666" s="102">
        <f t="shared" si="758"/>
        <v>160</v>
      </c>
      <c r="K666" s="208">
        <f t="shared" si="758"/>
        <v>0</v>
      </c>
      <c r="L666" s="102">
        <f t="shared" si="758"/>
        <v>160</v>
      </c>
      <c r="M666" s="102">
        <f t="shared" si="758"/>
        <v>0</v>
      </c>
      <c r="N666" s="102">
        <f t="shared" si="758"/>
        <v>0</v>
      </c>
      <c r="O666" s="30">
        <f t="shared" si="746"/>
        <v>160</v>
      </c>
      <c r="P666" s="100">
        <f t="shared" si="747"/>
        <v>0</v>
      </c>
      <c r="Q666" s="102">
        <f t="shared" si="758"/>
        <v>0</v>
      </c>
      <c r="R666" s="102">
        <f t="shared" si="758"/>
        <v>0</v>
      </c>
      <c r="S666" s="102">
        <f t="shared" si="758"/>
        <v>0</v>
      </c>
    </row>
    <row r="667" spans="1:19" ht="15.75" customHeight="1">
      <c r="A667" s="183"/>
      <c r="B667" s="116" t="s">
        <v>170</v>
      </c>
      <c r="C667" s="135" t="s">
        <v>171</v>
      </c>
      <c r="D667" s="46">
        <v>52</v>
      </c>
      <c r="E667" s="30"/>
      <c r="F667" s="46">
        <v>0</v>
      </c>
      <c r="G667" s="30">
        <v>0</v>
      </c>
      <c r="H667" s="30">
        <v>0</v>
      </c>
      <c r="I667" s="30">
        <v>212</v>
      </c>
      <c r="J667" s="30">
        <v>160</v>
      </c>
      <c r="K667" s="64"/>
      <c r="L667" s="30">
        <v>160</v>
      </c>
      <c r="M667" s="30"/>
      <c r="N667" s="30"/>
      <c r="O667" s="30">
        <f t="shared" si="746"/>
        <v>160</v>
      </c>
      <c r="P667" s="100">
        <f t="shared" si="747"/>
        <v>0</v>
      </c>
      <c r="Q667" s="30"/>
      <c r="R667" s="30"/>
      <c r="S667" s="30"/>
    </row>
    <row r="668" spans="1:19" ht="29.25" hidden="1" customHeight="1">
      <c r="A668" s="183">
        <v>3.3</v>
      </c>
      <c r="B668" s="33" t="s">
        <v>309</v>
      </c>
      <c r="C668" s="135" t="s">
        <v>310</v>
      </c>
      <c r="D668" s="46"/>
      <c r="E668" s="30"/>
      <c r="F668" s="46"/>
      <c r="G668" s="30"/>
      <c r="H668" s="31"/>
      <c r="I668" s="30"/>
      <c r="J668" s="30"/>
      <c r="K668" s="64"/>
      <c r="L668" s="30"/>
      <c r="M668" s="30"/>
      <c r="N668" s="30"/>
      <c r="O668" s="30">
        <f t="shared" si="746"/>
        <v>0</v>
      </c>
      <c r="P668" s="100">
        <f t="shared" si="747"/>
        <v>0</v>
      </c>
      <c r="Q668" s="30"/>
      <c r="R668" s="30"/>
      <c r="S668" s="30"/>
    </row>
    <row r="669" spans="1:19" ht="18.75" hidden="1" customHeight="1">
      <c r="A669" s="183"/>
      <c r="B669" s="129" t="s">
        <v>164</v>
      </c>
      <c r="C669" s="135"/>
      <c r="D669" s="46"/>
      <c r="E669" s="30"/>
      <c r="F669" s="46"/>
      <c r="G669" s="30"/>
      <c r="H669" s="31"/>
      <c r="I669" s="30"/>
      <c r="J669" s="30"/>
      <c r="K669" s="64"/>
      <c r="L669" s="30"/>
      <c r="M669" s="30"/>
      <c r="N669" s="30"/>
      <c r="O669" s="30">
        <f t="shared" si="746"/>
        <v>0</v>
      </c>
      <c r="P669" s="100">
        <f t="shared" si="747"/>
        <v>0</v>
      </c>
      <c r="Q669" s="30"/>
      <c r="R669" s="30"/>
      <c r="S669" s="30"/>
    </row>
    <row r="670" spans="1:19" ht="18.75" hidden="1" customHeight="1">
      <c r="A670" s="183"/>
      <c r="B670" s="116" t="s">
        <v>173</v>
      </c>
      <c r="C670" s="135">
        <v>56</v>
      </c>
      <c r="D670" s="46"/>
      <c r="E670" s="30"/>
      <c r="F670" s="46"/>
      <c r="G670" s="30"/>
      <c r="H670" s="31"/>
      <c r="I670" s="30"/>
      <c r="J670" s="30"/>
      <c r="K670" s="64"/>
      <c r="L670" s="30"/>
      <c r="M670" s="30"/>
      <c r="N670" s="30"/>
      <c r="O670" s="30">
        <f t="shared" si="746"/>
        <v>0</v>
      </c>
      <c r="P670" s="100">
        <f t="shared" si="747"/>
        <v>0</v>
      </c>
      <c r="Q670" s="30"/>
      <c r="R670" s="30"/>
      <c r="S670" s="30"/>
    </row>
    <row r="671" spans="1:19" ht="0.75" hidden="1" customHeight="1">
      <c r="A671" s="183"/>
      <c r="B671" s="116" t="s">
        <v>311</v>
      </c>
      <c r="C671" s="135" t="s">
        <v>205</v>
      </c>
      <c r="D671" s="46"/>
      <c r="E671" s="30"/>
      <c r="F671" s="46"/>
      <c r="G671" s="30"/>
      <c r="H671" s="31"/>
      <c r="I671" s="30"/>
      <c r="J671" s="30"/>
      <c r="K671" s="64"/>
      <c r="L671" s="30"/>
      <c r="M671" s="30"/>
      <c r="N671" s="30"/>
      <c r="O671" s="30">
        <f t="shared" si="746"/>
        <v>0</v>
      </c>
      <c r="P671" s="100">
        <f t="shared" si="747"/>
        <v>0</v>
      </c>
      <c r="Q671" s="30"/>
      <c r="R671" s="30"/>
      <c r="S671" s="30"/>
    </row>
    <row r="672" spans="1:19" ht="19.5" hidden="1" customHeight="1">
      <c r="A672" s="183"/>
      <c r="B672" s="116" t="s">
        <v>209</v>
      </c>
      <c r="C672" s="135" t="s">
        <v>208</v>
      </c>
      <c r="D672" s="46"/>
      <c r="E672" s="30"/>
      <c r="F672" s="46"/>
      <c r="G672" s="30"/>
      <c r="H672" s="31"/>
      <c r="I672" s="30"/>
      <c r="J672" s="30"/>
      <c r="K672" s="64"/>
      <c r="L672" s="30"/>
      <c r="M672" s="30"/>
      <c r="N672" s="30"/>
      <c r="O672" s="30">
        <f t="shared" si="746"/>
        <v>0</v>
      </c>
      <c r="P672" s="100">
        <f t="shared" si="747"/>
        <v>0</v>
      </c>
      <c r="Q672" s="30"/>
      <c r="R672" s="30"/>
      <c r="S672" s="30"/>
    </row>
    <row r="673" spans="1:19" ht="13.5" hidden="1" customHeight="1">
      <c r="A673" s="183"/>
      <c r="B673" s="116" t="s">
        <v>173</v>
      </c>
      <c r="C673" s="135" t="s">
        <v>208</v>
      </c>
      <c r="D673" s="46"/>
      <c r="E673" s="30"/>
      <c r="F673" s="46"/>
      <c r="G673" s="30"/>
      <c r="H673" s="31"/>
      <c r="I673" s="30"/>
      <c r="J673" s="30"/>
      <c r="K673" s="64"/>
      <c r="L673" s="30"/>
      <c r="M673" s="30"/>
      <c r="N673" s="30"/>
      <c r="O673" s="30">
        <f t="shared" si="746"/>
        <v>0</v>
      </c>
      <c r="P673" s="100">
        <f t="shared" si="747"/>
        <v>0</v>
      </c>
      <c r="Q673" s="30"/>
      <c r="R673" s="30"/>
      <c r="S673" s="30"/>
    </row>
    <row r="674" spans="1:19" ht="33.75" hidden="1" customHeight="1">
      <c r="A674" s="188" t="s">
        <v>531</v>
      </c>
      <c r="B674" s="157" t="s">
        <v>312</v>
      </c>
      <c r="C674" s="121" t="s">
        <v>313</v>
      </c>
      <c r="D674" s="138">
        <f t="shared" ref="D674:S675" si="759">D675</f>
        <v>0</v>
      </c>
      <c r="E674" s="138">
        <f t="shared" si="759"/>
        <v>0</v>
      </c>
      <c r="F674" s="138">
        <f t="shared" si="759"/>
        <v>0</v>
      </c>
      <c r="G674" s="138">
        <f t="shared" si="759"/>
        <v>0</v>
      </c>
      <c r="H674" s="152">
        <f t="shared" si="759"/>
        <v>0</v>
      </c>
      <c r="I674" s="138">
        <f t="shared" si="759"/>
        <v>0</v>
      </c>
      <c r="J674" s="138">
        <f t="shared" si="759"/>
        <v>0</v>
      </c>
      <c r="K674" s="206">
        <f t="shared" si="759"/>
        <v>0</v>
      </c>
      <c r="L674" s="138">
        <f t="shared" si="759"/>
        <v>0</v>
      </c>
      <c r="M674" s="138">
        <f t="shared" si="759"/>
        <v>0</v>
      </c>
      <c r="N674" s="138">
        <f t="shared" si="759"/>
        <v>0</v>
      </c>
      <c r="O674" s="30">
        <f t="shared" si="746"/>
        <v>0</v>
      </c>
      <c r="P674" s="100">
        <f t="shared" si="747"/>
        <v>0</v>
      </c>
      <c r="Q674" s="138">
        <f t="shared" si="759"/>
        <v>0</v>
      </c>
      <c r="R674" s="138">
        <f t="shared" si="759"/>
        <v>0</v>
      </c>
      <c r="S674" s="138">
        <f t="shared" si="759"/>
        <v>0</v>
      </c>
    </row>
    <row r="675" spans="1:19" ht="13.5" hidden="1" customHeight="1">
      <c r="A675" s="183"/>
      <c r="B675" s="129" t="s">
        <v>164</v>
      </c>
      <c r="C675" s="135"/>
      <c r="D675" s="138">
        <f t="shared" si="759"/>
        <v>0</v>
      </c>
      <c r="E675" s="138">
        <f t="shared" si="759"/>
        <v>0</v>
      </c>
      <c r="F675" s="138">
        <f t="shared" si="759"/>
        <v>0</v>
      </c>
      <c r="G675" s="138">
        <f t="shared" si="759"/>
        <v>0</v>
      </c>
      <c r="H675" s="152">
        <f t="shared" si="759"/>
        <v>0</v>
      </c>
      <c r="I675" s="138">
        <f t="shared" si="759"/>
        <v>0</v>
      </c>
      <c r="J675" s="138">
        <f t="shared" si="759"/>
        <v>0</v>
      </c>
      <c r="K675" s="206">
        <f t="shared" si="759"/>
        <v>0</v>
      </c>
      <c r="L675" s="138">
        <f t="shared" si="759"/>
        <v>0</v>
      </c>
      <c r="M675" s="138">
        <f t="shared" si="759"/>
        <v>0</v>
      </c>
      <c r="N675" s="138">
        <f t="shared" si="759"/>
        <v>0</v>
      </c>
      <c r="O675" s="30">
        <f t="shared" si="746"/>
        <v>0</v>
      </c>
      <c r="P675" s="100">
        <f t="shared" si="747"/>
        <v>0</v>
      </c>
      <c r="Q675" s="138">
        <f t="shared" si="759"/>
        <v>0</v>
      </c>
      <c r="R675" s="138">
        <f t="shared" si="759"/>
        <v>0</v>
      </c>
      <c r="S675" s="138">
        <f t="shared" si="759"/>
        <v>0</v>
      </c>
    </row>
    <row r="676" spans="1:19" ht="15.75" hidden="1" customHeight="1">
      <c r="A676" s="183"/>
      <c r="B676" s="116" t="s">
        <v>173</v>
      </c>
      <c r="C676" s="135">
        <v>56</v>
      </c>
      <c r="D676" s="102">
        <f t="shared" ref="D676:S676" si="760">D677+D678+D679</f>
        <v>0</v>
      </c>
      <c r="E676" s="102">
        <f t="shared" si="760"/>
        <v>0</v>
      </c>
      <c r="F676" s="102">
        <f t="shared" si="760"/>
        <v>0</v>
      </c>
      <c r="G676" s="102">
        <f t="shared" si="760"/>
        <v>0</v>
      </c>
      <c r="H676" s="103">
        <f t="shared" ref="H676" si="761">H677+H678+H679</f>
        <v>0</v>
      </c>
      <c r="I676" s="102">
        <f t="shared" si="760"/>
        <v>0</v>
      </c>
      <c r="J676" s="102">
        <f t="shared" si="760"/>
        <v>0</v>
      </c>
      <c r="K676" s="208">
        <f t="shared" ref="K676:N676" si="762">K677+K678+K679</f>
        <v>0</v>
      </c>
      <c r="L676" s="102">
        <f t="shared" si="762"/>
        <v>0</v>
      </c>
      <c r="M676" s="102">
        <f t="shared" si="762"/>
        <v>0</v>
      </c>
      <c r="N676" s="102">
        <f t="shared" si="762"/>
        <v>0</v>
      </c>
      <c r="O676" s="30">
        <f t="shared" si="746"/>
        <v>0</v>
      </c>
      <c r="P676" s="100">
        <f t="shared" si="747"/>
        <v>0</v>
      </c>
      <c r="Q676" s="102">
        <f t="shared" si="760"/>
        <v>0</v>
      </c>
      <c r="R676" s="102">
        <f t="shared" si="760"/>
        <v>0</v>
      </c>
      <c r="S676" s="102">
        <f t="shared" si="760"/>
        <v>0</v>
      </c>
    </row>
    <row r="677" spans="1:19" ht="13.5" hidden="1" customHeight="1">
      <c r="A677" s="183"/>
      <c r="B677" s="116" t="s">
        <v>311</v>
      </c>
      <c r="C677" s="135" t="s">
        <v>205</v>
      </c>
      <c r="D677" s="46"/>
      <c r="E677" s="30"/>
      <c r="F677" s="46"/>
      <c r="G677" s="30"/>
      <c r="H677" s="31"/>
      <c r="I677" s="30"/>
      <c r="J677" s="30"/>
      <c r="K677" s="64"/>
      <c r="L677" s="30"/>
      <c r="M677" s="30"/>
      <c r="N677" s="30"/>
      <c r="O677" s="30">
        <f t="shared" si="746"/>
        <v>0</v>
      </c>
      <c r="P677" s="100">
        <f t="shared" si="747"/>
        <v>0</v>
      </c>
      <c r="Q677" s="30"/>
      <c r="R677" s="30"/>
      <c r="S677" s="30"/>
    </row>
    <row r="678" spans="1:19" ht="13.5" hidden="1" customHeight="1">
      <c r="A678" s="183"/>
      <c r="B678" s="116" t="s">
        <v>314</v>
      </c>
      <c r="C678" s="135" t="s">
        <v>207</v>
      </c>
      <c r="D678" s="46"/>
      <c r="E678" s="30"/>
      <c r="F678" s="46"/>
      <c r="G678" s="30"/>
      <c r="H678" s="31"/>
      <c r="I678" s="30"/>
      <c r="J678" s="30"/>
      <c r="K678" s="64"/>
      <c r="L678" s="30"/>
      <c r="M678" s="30"/>
      <c r="N678" s="30"/>
      <c r="O678" s="30">
        <f t="shared" si="746"/>
        <v>0</v>
      </c>
      <c r="P678" s="100">
        <f t="shared" si="747"/>
        <v>0</v>
      </c>
      <c r="Q678" s="30"/>
      <c r="R678" s="30"/>
      <c r="S678" s="30"/>
    </row>
    <row r="679" spans="1:19" ht="19.5" hidden="1" customHeight="1">
      <c r="A679" s="183"/>
      <c r="B679" s="116" t="s">
        <v>209</v>
      </c>
      <c r="C679" s="135" t="s">
        <v>208</v>
      </c>
      <c r="D679" s="46"/>
      <c r="E679" s="30"/>
      <c r="F679" s="46"/>
      <c r="G679" s="30"/>
      <c r="H679" s="31"/>
      <c r="I679" s="30"/>
      <c r="J679" s="30"/>
      <c r="K679" s="64"/>
      <c r="L679" s="30"/>
      <c r="M679" s="30"/>
      <c r="N679" s="30"/>
      <c r="O679" s="30">
        <f t="shared" si="746"/>
        <v>0</v>
      </c>
      <c r="P679" s="100">
        <f t="shared" si="747"/>
        <v>0</v>
      </c>
      <c r="Q679" s="30"/>
      <c r="R679" s="30"/>
      <c r="S679" s="30"/>
    </row>
    <row r="680" spans="1:19" ht="14.25">
      <c r="A680" s="187" t="s">
        <v>532</v>
      </c>
      <c r="B680" s="250" t="s">
        <v>315</v>
      </c>
      <c r="C680" s="135" t="s">
        <v>316</v>
      </c>
      <c r="D680" s="138">
        <f t="shared" ref="D680:S680" si="763">D681+D687</f>
        <v>7287</v>
      </c>
      <c r="E680" s="138">
        <f t="shared" si="763"/>
        <v>6725</v>
      </c>
      <c r="F680" s="138">
        <f t="shared" si="763"/>
        <v>6565</v>
      </c>
      <c r="G680" s="138">
        <f t="shared" si="763"/>
        <v>6725</v>
      </c>
      <c r="H680" s="138">
        <f t="shared" ref="H680" si="764">H681+H687</f>
        <v>6684</v>
      </c>
      <c r="I680" s="138">
        <f t="shared" si="763"/>
        <v>7650</v>
      </c>
      <c r="J680" s="138">
        <f t="shared" si="763"/>
        <v>7170</v>
      </c>
      <c r="K680" s="206">
        <f t="shared" ref="K680:N680" si="765">K681+K687</f>
        <v>1795</v>
      </c>
      <c r="L680" s="138">
        <f t="shared" si="765"/>
        <v>1770</v>
      </c>
      <c r="M680" s="138">
        <f t="shared" si="765"/>
        <v>1820</v>
      </c>
      <c r="N680" s="138">
        <f t="shared" si="765"/>
        <v>1785</v>
      </c>
      <c r="O680" s="30">
        <f t="shared" si="746"/>
        <v>7170</v>
      </c>
      <c r="P680" s="100">
        <f t="shared" si="747"/>
        <v>0</v>
      </c>
      <c r="Q680" s="138">
        <f t="shared" si="763"/>
        <v>7170</v>
      </c>
      <c r="R680" s="138">
        <f t="shared" si="763"/>
        <v>7170</v>
      </c>
      <c r="S680" s="138">
        <f t="shared" si="763"/>
        <v>7170</v>
      </c>
    </row>
    <row r="681" spans="1:19" ht="14.25">
      <c r="A681" s="12"/>
      <c r="B681" s="129" t="s">
        <v>152</v>
      </c>
      <c r="C681" s="135"/>
      <c r="D681" s="138">
        <f t="shared" ref="D681:S682" si="766">D682</f>
        <v>7281</v>
      </c>
      <c r="E681" s="138">
        <f t="shared" si="766"/>
        <v>6725</v>
      </c>
      <c r="F681" s="138">
        <f t="shared" si="766"/>
        <v>6565</v>
      </c>
      <c r="G681" s="138">
        <f t="shared" si="766"/>
        <v>6725</v>
      </c>
      <c r="H681" s="138">
        <f t="shared" si="766"/>
        <v>6684</v>
      </c>
      <c r="I681" s="138">
        <f t="shared" si="766"/>
        <v>7650</v>
      </c>
      <c r="J681" s="138">
        <f t="shared" si="766"/>
        <v>7170</v>
      </c>
      <c r="K681" s="206">
        <f t="shared" si="766"/>
        <v>1795</v>
      </c>
      <c r="L681" s="138">
        <f t="shared" si="766"/>
        <v>1770</v>
      </c>
      <c r="M681" s="138">
        <f t="shared" si="766"/>
        <v>1820</v>
      </c>
      <c r="N681" s="138">
        <f t="shared" si="766"/>
        <v>1785</v>
      </c>
      <c r="O681" s="30">
        <f t="shared" si="746"/>
        <v>7170</v>
      </c>
      <c r="P681" s="100">
        <f t="shared" si="747"/>
        <v>0</v>
      </c>
      <c r="Q681" s="138">
        <f t="shared" si="766"/>
        <v>7170</v>
      </c>
      <c r="R681" s="138">
        <f t="shared" si="766"/>
        <v>7170</v>
      </c>
      <c r="S681" s="138">
        <f t="shared" si="766"/>
        <v>7170</v>
      </c>
    </row>
    <row r="682" spans="1:19" ht="14.25">
      <c r="A682" s="12"/>
      <c r="B682" s="116" t="s">
        <v>153</v>
      </c>
      <c r="C682" s="135">
        <v>1</v>
      </c>
      <c r="D682" s="102">
        <f t="shared" si="766"/>
        <v>7281</v>
      </c>
      <c r="E682" s="102">
        <f t="shared" si="766"/>
        <v>6725</v>
      </c>
      <c r="F682" s="102">
        <f t="shared" si="766"/>
        <v>6565</v>
      </c>
      <c r="G682" s="102">
        <f t="shared" si="766"/>
        <v>6725</v>
      </c>
      <c r="H682" s="102">
        <f t="shared" si="766"/>
        <v>6684</v>
      </c>
      <c r="I682" s="102">
        <f t="shared" si="766"/>
        <v>7650</v>
      </c>
      <c r="J682" s="102">
        <f t="shared" si="766"/>
        <v>7170</v>
      </c>
      <c r="K682" s="208">
        <f t="shared" si="766"/>
        <v>1795</v>
      </c>
      <c r="L682" s="102">
        <f t="shared" si="766"/>
        <v>1770</v>
      </c>
      <c r="M682" s="102">
        <f t="shared" si="766"/>
        <v>1820</v>
      </c>
      <c r="N682" s="102">
        <f t="shared" si="766"/>
        <v>1785</v>
      </c>
      <c r="O682" s="30">
        <f t="shared" si="746"/>
        <v>7170</v>
      </c>
      <c r="P682" s="100">
        <f t="shared" si="747"/>
        <v>0</v>
      </c>
      <c r="Q682" s="102">
        <f t="shared" si="766"/>
        <v>7170</v>
      </c>
      <c r="R682" s="102">
        <f t="shared" si="766"/>
        <v>7170</v>
      </c>
      <c r="S682" s="102">
        <f t="shared" si="766"/>
        <v>7170</v>
      </c>
    </row>
    <row r="683" spans="1:19" ht="14.25">
      <c r="A683" s="12"/>
      <c r="B683" s="116" t="s">
        <v>250</v>
      </c>
      <c r="C683" s="135" t="s">
        <v>216</v>
      </c>
      <c r="D683" s="102">
        <f t="shared" ref="D683:S683" si="767">D684+D685+D686</f>
        <v>7281</v>
      </c>
      <c r="E683" s="102">
        <f t="shared" si="767"/>
        <v>6725</v>
      </c>
      <c r="F683" s="102">
        <f t="shared" si="767"/>
        <v>6565</v>
      </c>
      <c r="G683" s="102">
        <f t="shared" si="767"/>
        <v>6725</v>
      </c>
      <c r="H683" s="102">
        <f t="shared" ref="H683" si="768">H684+H685+H686</f>
        <v>6684</v>
      </c>
      <c r="I683" s="102">
        <f t="shared" si="767"/>
        <v>7650</v>
      </c>
      <c r="J683" s="102">
        <f t="shared" si="767"/>
        <v>7170</v>
      </c>
      <c r="K683" s="208">
        <f t="shared" ref="K683:N683" si="769">K684+K685+K686</f>
        <v>1795</v>
      </c>
      <c r="L683" s="102">
        <f t="shared" si="769"/>
        <v>1770</v>
      </c>
      <c r="M683" s="102">
        <f t="shared" si="769"/>
        <v>1820</v>
      </c>
      <c r="N683" s="102">
        <f t="shared" si="769"/>
        <v>1785</v>
      </c>
      <c r="O683" s="30">
        <f t="shared" si="746"/>
        <v>7170</v>
      </c>
      <c r="P683" s="100">
        <f t="shared" si="747"/>
        <v>0</v>
      </c>
      <c r="Q683" s="102">
        <f t="shared" si="767"/>
        <v>7170</v>
      </c>
      <c r="R683" s="102">
        <f t="shared" si="767"/>
        <v>7170</v>
      </c>
      <c r="S683" s="102">
        <f t="shared" si="767"/>
        <v>7170</v>
      </c>
    </row>
    <row r="684" spans="1:19" ht="15.75" customHeight="1">
      <c r="A684" s="12"/>
      <c r="B684" s="116" t="s">
        <v>154</v>
      </c>
      <c r="C684" s="135">
        <v>10</v>
      </c>
      <c r="D684" s="46">
        <v>3946</v>
      </c>
      <c r="E684" s="30">
        <v>4200</v>
      </c>
      <c r="F684" s="46">
        <v>4200</v>
      </c>
      <c r="G684" s="30">
        <v>4130</v>
      </c>
      <c r="H684" s="30">
        <v>4115</v>
      </c>
      <c r="I684" s="30">
        <v>4650</v>
      </c>
      <c r="J684" s="30">
        <v>4600</v>
      </c>
      <c r="K684" s="64">
        <v>1150</v>
      </c>
      <c r="L684" s="30">
        <v>1150</v>
      </c>
      <c r="M684" s="30">
        <v>1150</v>
      </c>
      <c r="N684" s="30">
        <v>1150</v>
      </c>
      <c r="O684" s="30">
        <f t="shared" si="746"/>
        <v>4600</v>
      </c>
      <c r="P684" s="100">
        <f t="shared" si="747"/>
        <v>0</v>
      </c>
      <c r="Q684" s="30">
        <v>4600</v>
      </c>
      <c r="R684" s="30">
        <v>4600</v>
      </c>
      <c r="S684" s="30">
        <v>4600</v>
      </c>
    </row>
    <row r="685" spans="1:19" ht="13.5" customHeight="1">
      <c r="A685" s="12"/>
      <c r="B685" s="116" t="s">
        <v>581</v>
      </c>
      <c r="C685" s="135">
        <v>20</v>
      </c>
      <c r="D685" s="46">
        <v>3276</v>
      </c>
      <c r="E685" s="30">
        <v>2460</v>
      </c>
      <c r="F685" s="46">
        <v>2300</v>
      </c>
      <c r="G685" s="30">
        <v>2530</v>
      </c>
      <c r="H685" s="30">
        <v>2506</v>
      </c>
      <c r="I685" s="30">
        <v>2930</v>
      </c>
      <c r="J685" s="30">
        <v>2500</v>
      </c>
      <c r="K685" s="64">
        <v>625</v>
      </c>
      <c r="L685" s="30">
        <v>600</v>
      </c>
      <c r="M685" s="30">
        <v>650</v>
      </c>
      <c r="N685" s="30">
        <v>625</v>
      </c>
      <c r="O685" s="30">
        <f t="shared" si="746"/>
        <v>2500</v>
      </c>
      <c r="P685" s="100">
        <f t="shared" si="747"/>
        <v>0</v>
      </c>
      <c r="Q685" s="30">
        <v>2500</v>
      </c>
      <c r="R685" s="30">
        <v>2500</v>
      </c>
      <c r="S685" s="30">
        <v>2500</v>
      </c>
    </row>
    <row r="686" spans="1:19" ht="20.25" customHeight="1">
      <c r="A686" s="12"/>
      <c r="B686" s="116" t="s">
        <v>450</v>
      </c>
      <c r="C686" s="135">
        <v>59</v>
      </c>
      <c r="D686" s="46">
        <v>59</v>
      </c>
      <c r="E686" s="30">
        <v>65</v>
      </c>
      <c r="F686" s="46">
        <v>65</v>
      </c>
      <c r="G686" s="30">
        <v>65</v>
      </c>
      <c r="H686" s="30">
        <v>63</v>
      </c>
      <c r="I686" s="30">
        <v>70</v>
      </c>
      <c r="J686" s="30">
        <v>70</v>
      </c>
      <c r="K686" s="64">
        <v>20</v>
      </c>
      <c r="L686" s="30">
        <v>20</v>
      </c>
      <c r="M686" s="30">
        <v>20</v>
      </c>
      <c r="N686" s="30">
        <v>10</v>
      </c>
      <c r="O686" s="30">
        <f t="shared" si="746"/>
        <v>70</v>
      </c>
      <c r="P686" s="100">
        <f t="shared" si="747"/>
        <v>0</v>
      </c>
      <c r="Q686" s="30">
        <v>70</v>
      </c>
      <c r="R686" s="30">
        <v>70</v>
      </c>
      <c r="S686" s="30">
        <v>70</v>
      </c>
    </row>
    <row r="687" spans="1:19" ht="20.25" hidden="1" customHeight="1">
      <c r="A687" s="12"/>
      <c r="B687" s="129" t="s">
        <v>164</v>
      </c>
      <c r="C687" s="135"/>
      <c r="D687" s="138">
        <f t="shared" ref="D687:S687" si="770">D689</f>
        <v>6</v>
      </c>
      <c r="E687" s="138">
        <f t="shared" si="770"/>
        <v>0</v>
      </c>
      <c r="F687" s="138">
        <f t="shared" si="770"/>
        <v>0</v>
      </c>
      <c r="G687" s="138">
        <f t="shared" si="770"/>
        <v>0</v>
      </c>
      <c r="H687" s="152">
        <f t="shared" ref="H687" si="771">H689</f>
        <v>0</v>
      </c>
      <c r="I687" s="138">
        <f t="shared" si="770"/>
        <v>0</v>
      </c>
      <c r="J687" s="138">
        <f t="shared" si="770"/>
        <v>0</v>
      </c>
      <c r="K687" s="206">
        <f t="shared" ref="K687:N687" si="772">K689</f>
        <v>0</v>
      </c>
      <c r="L687" s="138">
        <f t="shared" si="772"/>
        <v>0</v>
      </c>
      <c r="M687" s="138">
        <f t="shared" si="772"/>
        <v>0</v>
      </c>
      <c r="N687" s="138">
        <f t="shared" si="772"/>
        <v>0</v>
      </c>
      <c r="O687" s="30">
        <f t="shared" si="746"/>
        <v>0</v>
      </c>
      <c r="P687" s="100">
        <f t="shared" si="747"/>
        <v>0</v>
      </c>
      <c r="Q687" s="138">
        <f t="shared" si="770"/>
        <v>0</v>
      </c>
      <c r="R687" s="138">
        <f t="shared" si="770"/>
        <v>0</v>
      </c>
      <c r="S687" s="138">
        <f t="shared" si="770"/>
        <v>0</v>
      </c>
    </row>
    <row r="688" spans="1:19" ht="20.25" hidden="1" customHeight="1">
      <c r="A688" s="12"/>
      <c r="B688" s="116" t="s">
        <v>183</v>
      </c>
      <c r="C688" s="135" t="s">
        <v>184</v>
      </c>
      <c r="D688" s="46"/>
      <c r="E688" s="30"/>
      <c r="F688" s="46"/>
      <c r="G688" s="30"/>
      <c r="H688" s="31"/>
      <c r="I688" s="30"/>
      <c r="J688" s="30"/>
      <c r="K688" s="64"/>
      <c r="L688" s="30"/>
      <c r="M688" s="30"/>
      <c r="N688" s="30"/>
      <c r="O688" s="30">
        <f t="shared" si="746"/>
        <v>0</v>
      </c>
      <c r="P688" s="100">
        <f t="shared" si="747"/>
        <v>0</v>
      </c>
      <c r="Q688" s="30"/>
      <c r="R688" s="30"/>
      <c r="S688" s="30"/>
    </row>
    <row r="689" spans="1:19" ht="15" hidden="1" customHeight="1">
      <c r="A689" s="12"/>
      <c r="B689" s="116" t="s">
        <v>170</v>
      </c>
      <c r="C689" s="135" t="s">
        <v>171</v>
      </c>
      <c r="D689" s="46">
        <v>6</v>
      </c>
      <c r="E689" s="30"/>
      <c r="F689" s="46">
        <v>0</v>
      </c>
      <c r="G689" s="30"/>
      <c r="H689" s="31"/>
      <c r="I689" s="30">
        <v>0</v>
      </c>
      <c r="J689" s="30"/>
      <c r="K689" s="64"/>
      <c r="L689" s="30"/>
      <c r="M689" s="30"/>
      <c r="N689" s="30"/>
      <c r="O689" s="30">
        <f t="shared" si="746"/>
        <v>0</v>
      </c>
      <c r="P689" s="100">
        <f t="shared" si="747"/>
        <v>0</v>
      </c>
      <c r="Q689" s="30"/>
      <c r="R689" s="30"/>
      <c r="S689" s="30"/>
    </row>
    <row r="690" spans="1:19" ht="14.25">
      <c r="A690" s="12" t="s">
        <v>533</v>
      </c>
      <c r="B690" s="252" t="s">
        <v>317</v>
      </c>
      <c r="C690" s="135" t="s">
        <v>318</v>
      </c>
      <c r="D690" s="138">
        <f t="shared" ref="D690:S690" si="773">D691+D697</f>
        <v>13642</v>
      </c>
      <c r="E690" s="138">
        <f t="shared" si="773"/>
        <v>19384.900000000001</v>
      </c>
      <c r="F690" s="138">
        <f t="shared" si="773"/>
        <v>11350</v>
      </c>
      <c r="G690" s="138">
        <f t="shared" si="773"/>
        <v>19384.900000000001</v>
      </c>
      <c r="H690" s="138">
        <f t="shared" ref="H690" si="774">H691+H697</f>
        <v>13069</v>
      </c>
      <c r="I690" s="138">
        <f t="shared" si="773"/>
        <v>21471</v>
      </c>
      <c r="J690" s="138">
        <f t="shared" si="773"/>
        <v>16440</v>
      </c>
      <c r="K690" s="206">
        <f t="shared" ref="K690:N690" si="775">K691+K697</f>
        <v>6620</v>
      </c>
      <c r="L690" s="138">
        <f t="shared" si="775"/>
        <v>3240</v>
      </c>
      <c r="M690" s="138">
        <f t="shared" si="775"/>
        <v>3340</v>
      </c>
      <c r="N690" s="138">
        <f t="shared" si="775"/>
        <v>3240</v>
      </c>
      <c r="O690" s="30">
        <f t="shared" si="746"/>
        <v>16440</v>
      </c>
      <c r="P690" s="100">
        <f t="shared" si="747"/>
        <v>0</v>
      </c>
      <c r="Q690" s="138">
        <f t="shared" si="773"/>
        <v>13060</v>
      </c>
      <c r="R690" s="138">
        <f t="shared" si="773"/>
        <v>13060</v>
      </c>
      <c r="S690" s="138">
        <f t="shared" si="773"/>
        <v>13060</v>
      </c>
    </row>
    <row r="691" spans="1:19" ht="14.25">
      <c r="A691" s="12"/>
      <c r="B691" s="129" t="s">
        <v>152</v>
      </c>
      <c r="C691" s="135"/>
      <c r="D691" s="138">
        <f t="shared" ref="D691:S692" si="776">D692</f>
        <v>13148</v>
      </c>
      <c r="E691" s="138">
        <f t="shared" si="776"/>
        <v>15488</v>
      </c>
      <c r="F691" s="138">
        <f t="shared" si="776"/>
        <v>11350</v>
      </c>
      <c r="G691" s="138">
        <f t="shared" si="776"/>
        <v>15488</v>
      </c>
      <c r="H691" s="138">
        <f t="shared" si="776"/>
        <v>12549</v>
      </c>
      <c r="I691" s="138">
        <f t="shared" si="776"/>
        <v>14194</v>
      </c>
      <c r="J691" s="138">
        <f t="shared" si="776"/>
        <v>13060</v>
      </c>
      <c r="K691" s="206">
        <f t="shared" si="776"/>
        <v>3240</v>
      </c>
      <c r="L691" s="138">
        <f t="shared" si="776"/>
        <v>3240</v>
      </c>
      <c r="M691" s="138">
        <f t="shared" si="776"/>
        <v>3340</v>
      </c>
      <c r="N691" s="138">
        <f t="shared" si="776"/>
        <v>3240</v>
      </c>
      <c r="O691" s="30">
        <f t="shared" si="746"/>
        <v>13060</v>
      </c>
      <c r="P691" s="100">
        <f t="shared" si="747"/>
        <v>0</v>
      </c>
      <c r="Q691" s="138">
        <f t="shared" si="776"/>
        <v>13060</v>
      </c>
      <c r="R691" s="138">
        <f t="shared" si="776"/>
        <v>13060</v>
      </c>
      <c r="S691" s="138">
        <f t="shared" si="776"/>
        <v>13060</v>
      </c>
    </row>
    <row r="692" spans="1:19" ht="14.25">
      <c r="A692" s="12"/>
      <c r="B692" s="116" t="s">
        <v>153</v>
      </c>
      <c r="C692" s="135">
        <v>1</v>
      </c>
      <c r="D692" s="102">
        <f t="shared" si="776"/>
        <v>13148</v>
      </c>
      <c r="E692" s="102">
        <f t="shared" si="776"/>
        <v>15488</v>
      </c>
      <c r="F692" s="102">
        <f t="shared" si="776"/>
        <v>11350</v>
      </c>
      <c r="G692" s="102">
        <f t="shared" si="776"/>
        <v>15488</v>
      </c>
      <c r="H692" s="102">
        <f t="shared" si="776"/>
        <v>12549</v>
      </c>
      <c r="I692" s="102">
        <f t="shared" si="776"/>
        <v>14194</v>
      </c>
      <c r="J692" s="102">
        <f t="shared" si="776"/>
        <v>13060</v>
      </c>
      <c r="K692" s="208">
        <f t="shared" si="776"/>
        <v>3240</v>
      </c>
      <c r="L692" s="102">
        <f t="shared" si="776"/>
        <v>3240</v>
      </c>
      <c r="M692" s="102">
        <f t="shared" si="776"/>
        <v>3340</v>
      </c>
      <c r="N692" s="102">
        <f t="shared" si="776"/>
        <v>3240</v>
      </c>
      <c r="O692" s="30">
        <f t="shared" si="746"/>
        <v>13060</v>
      </c>
      <c r="P692" s="100">
        <f t="shared" si="747"/>
        <v>0</v>
      </c>
      <c r="Q692" s="102">
        <f t="shared" si="776"/>
        <v>13060</v>
      </c>
      <c r="R692" s="102">
        <f t="shared" si="776"/>
        <v>13060</v>
      </c>
      <c r="S692" s="102">
        <f t="shared" si="776"/>
        <v>13060</v>
      </c>
    </row>
    <row r="693" spans="1:19" ht="14.25">
      <c r="A693" s="12"/>
      <c r="B693" s="116" t="s">
        <v>250</v>
      </c>
      <c r="C693" s="135" t="s">
        <v>216</v>
      </c>
      <c r="D693" s="102">
        <f t="shared" ref="D693:S693" si="777">D694+D695+D696</f>
        <v>13148</v>
      </c>
      <c r="E693" s="102">
        <f t="shared" si="777"/>
        <v>15488</v>
      </c>
      <c r="F693" s="102">
        <f t="shared" si="777"/>
        <v>11350</v>
      </c>
      <c r="G693" s="102">
        <f t="shared" si="777"/>
        <v>15488</v>
      </c>
      <c r="H693" s="102">
        <f t="shared" ref="H693" si="778">H694+H695+H696</f>
        <v>12549</v>
      </c>
      <c r="I693" s="102">
        <f t="shared" si="777"/>
        <v>14194</v>
      </c>
      <c r="J693" s="102">
        <f t="shared" si="777"/>
        <v>13060</v>
      </c>
      <c r="K693" s="208">
        <f t="shared" ref="K693:N693" si="779">K694+K695+K696</f>
        <v>3240</v>
      </c>
      <c r="L693" s="102">
        <f t="shared" si="779"/>
        <v>3240</v>
      </c>
      <c r="M693" s="102">
        <f t="shared" si="779"/>
        <v>3340</v>
      </c>
      <c r="N693" s="102">
        <f t="shared" si="779"/>
        <v>3240</v>
      </c>
      <c r="O693" s="30">
        <f t="shared" si="746"/>
        <v>13060</v>
      </c>
      <c r="P693" s="100">
        <f t="shared" si="747"/>
        <v>0</v>
      </c>
      <c r="Q693" s="102">
        <f t="shared" si="777"/>
        <v>13060</v>
      </c>
      <c r="R693" s="102">
        <f t="shared" si="777"/>
        <v>13060</v>
      </c>
      <c r="S693" s="102">
        <f t="shared" si="777"/>
        <v>13060</v>
      </c>
    </row>
    <row r="694" spans="1:19" ht="15.75" customHeight="1">
      <c r="A694" s="12" t="s">
        <v>617</v>
      </c>
      <c r="B694" s="116" t="s">
        <v>154</v>
      </c>
      <c r="C694" s="135">
        <v>10</v>
      </c>
      <c r="D694" s="46">
        <v>8925</v>
      </c>
      <c r="E694" s="30">
        <v>9000</v>
      </c>
      <c r="F694" s="46">
        <v>9000</v>
      </c>
      <c r="G694" s="30">
        <v>9000</v>
      </c>
      <c r="H694" s="30">
        <v>8958</v>
      </c>
      <c r="I694" s="30">
        <v>9527</v>
      </c>
      <c r="J694" s="30">
        <v>9500</v>
      </c>
      <c r="K694" s="64">
        <v>2400</v>
      </c>
      <c r="L694" s="30">
        <v>2400</v>
      </c>
      <c r="M694" s="30">
        <v>2400</v>
      </c>
      <c r="N694" s="30">
        <v>2300</v>
      </c>
      <c r="O694" s="30">
        <f t="shared" si="746"/>
        <v>9500</v>
      </c>
      <c r="P694" s="100">
        <f t="shared" si="747"/>
        <v>0</v>
      </c>
      <c r="Q694" s="30">
        <v>9500</v>
      </c>
      <c r="R694" s="30">
        <v>9500</v>
      </c>
      <c r="S694" s="30">
        <v>9500</v>
      </c>
    </row>
    <row r="695" spans="1:19" ht="15.75" customHeight="1">
      <c r="A695" s="12"/>
      <c r="B695" s="116" t="s">
        <v>581</v>
      </c>
      <c r="C695" s="135">
        <v>20</v>
      </c>
      <c r="D695" s="46">
        <v>4116</v>
      </c>
      <c r="E695" s="30">
        <v>6338</v>
      </c>
      <c r="F695" s="46">
        <v>2200</v>
      </c>
      <c r="G695" s="30">
        <v>6338</v>
      </c>
      <c r="H695" s="30">
        <v>3460</v>
      </c>
      <c r="I695" s="30">
        <v>4507</v>
      </c>
      <c r="J695" s="30">
        <v>3400</v>
      </c>
      <c r="K695" s="64">
        <v>800</v>
      </c>
      <c r="L695" s="30">
        <v>800</v>
      </c>
      <c r="M695" s="30">
        <v>900</v>
      </c>
      <c r="N695" s="30">
        <v>900</v>
      </c>
      <c r="O695" s="30">
        <f t="shared" si="746"/>
        <v>3400</v>
      </c>
      <c r="P695" s="100">
        <f t="shared" si="747"/>
        <v>0</v>
      </c>
      <c r="Q695" s="30">
        <v>3400</v>
      </c>
      <c r="R695" s="30">
        <v>3400</v>
      </c>
      <c r="S695" s="30">
        <v>3400</v>
      </c>
    </row>
    <row r="696" spans="1:19" ht="17.25" customHeight="1">
      <c r="A696" s="12"/>
      <c r="B696" s="116" t="s">
        <v>449</v>
      </c>
      <c r="C696" s="135">
        <v>59</v>
      </c>
      <c r="D696" s="46">
        <v>107</v>
      </c>
      <c r="E696" s="30">
        <v>150</v>
      </c>
      <c r="F696" s="46">
        <v>150</v>
      </c>
      <c r="G696" s="30">
        <v>150</v>
      </c>
      <c r="H696" s="30">
        <v>131</v>
      </c>
      <c r="I696" s="30">
        <v>160</v>
      </c>
      <c r="J696" s="30">
        <v>160</v>
      </c>
      <c r="K696" s="64">
        <v>40</v>
      </c>
      <c r="L696" s="30">
        <v>40</v>
      </c>
      <c r="M696" s="30">
        <v>40</v>
      </c>
      <c r="N696" s="30">
        <v>40</v>
      </c>
      <c r="O696" s="30">
        <f t="shared" si="746"/>
        <v>160</v>
      </c>
      <c r="P696" s="100">
        <f t="shared" si="747"/>
        <v>0</v>
      </c>
      <c r="Q696" s="30">
        <v>160</v>
      </c>
      <c r="R696" s="30">
        <v>160</v>
      </c>
      <c r="S696" s="30">
        <v>160</v>
      </c>
    </row>
    <row r="697" spans="1:19" ht="13.5" customHeight="1">
      <c r="A697" s="12"/>
      <c r="B697" s="129" t="s">
        <v>164</v>
      </c>
      <c r="C697" s="135"/>
      <c r="D697" s="138">
        <f t="shared" ref="D697:S697" si="780">D698</f>
        <v>494</v>
      </c>
      <c r="E697" s="138">
        <f t="shared" si="780"/>
        <v>3896.9</v>
      </c>
      <c r="F697" s="138">
        <f t="shared" si="780"/>
        <v>0</v>
      </c>
      <c r="G697" s="138">
        <f t="shared" si="780"/>
        <v>3896.9</v>
      </c>
      <c r="H697" s="138">
        <f t="shared" si="780"/>
        <v>520</v>
      </c>
      <c r="I697" s="138">
        <f t="shared" si="780"/>
        <v>7277</v>
      </c>
      <c r="J697" s="138">
        <f t="shared" si="780"/>
        <v>3380</v>
      </c>
      <c r="K697" s="206">
        <f t="shared" si="780"/>
        <v>3380</v>
      </c>
      <c r="L697" s="138">
        <f t="shared" si="780"/>
        <v>0</v>
      </c>
      <c r="M697" s="138">
        <f t="shared" si="780"/>
        <v>0</v>
      </c>
      <c r="N697" s="138">
        <f t="shared" si="780"/>
        <v>0</v>
      </c>
      <c r="O697" s="30">
        <f t="shared" si="746"/>
        <v>3380</v>
      </c>
      <c r="P697" s="100">
        <f t="shared" si="747"/>
        <v>0</v>
      </c>
      <c r="Q697" s="138">
        <f t="shared" si="780"/>
        <v>0</v>
      </c>
      <c r="R697" s="138">
        <f t="shared" si="780"/>
        <v>0</v>
      </c>
      <c r="S697" s="138">
        <f t="shared" si="780"/>
        <v>0</v>
      </c>
    </row>
    <row r="698" spans="1:19" ht="15" customHeight="1">
      <c r="A698" s="12"/>
      <c r="B698" s="116" t="s">
        <v>170</v>
      </c>
      <c r="C698" s="135" t="s">
        <v>171</v>
      </c>
      <c r="D698" s="46">
        <v>494</v>
      </c>
      <c r="E698" s="30">
        <f>828+3068.9</f>
        <v>3896.9</v>
      </c>
      <c r="F698" s="46">
        <v>0</v>
      </c>
      <c r="G698" s="30">
        <f>828+3068.9</f>
        <v>3896.9</v>
      </c>
      <c r="H698" s="30">
        <v>520</v>
      </c>
      <c r="I698" s="30">
        <v>7277</v>
      </c>
      <c r="J698" s="30">
        <v>3380</v>
      </c>
      <c r="K698" s="64">
        <v>3380</v>
      </c>
      <c r="L698" s="30"/>
      <c r="M698" s="30"/>
      <c r="N698" s="30"/>
      <c r="O698" s="30">
        <f t="shared" si="746"/>
        <v>3380</v>
      </c>
      <c r="P698" s="100">
        <f t="shared" si="747"/>
        <v>0</v>
      </c>
      <c r="Q698" s="30"/>
      <c r="R698" s="30"/>
      <c r="S698" s="30"/>
    </row>
    <row r="699" spans="1:19" ht="14.25">
      <c r="A699" s="12" t="s">
        <v>453</v>
      </c>
      <c r="B699" s="33" t="s">
        <v>319</v>
      </c>
      <c r="C699" s="135" t="s">
        <v>320</v>
      </c>
      <c r="D699" s="138">
        <f t="shared" ref="D699:S699" si="781">D700+D706</f>
        <v>2207</v>
      </c>
      <c r="E699" s="138">
        <f t="shared" si="781"/>
        <v>2370</v>
      </c>
      <c r="F699" s="138">
        <f t="shared" si="781"/>
        <v>2200</v>
      </c>
      <c r="G699" s="138">
        <f t="shared" si="781"/>
        <v>2370</v>
      </c>
      <c r="H699" s="138">
        <f t="shared" ref="H699" si="782">H700+H706</f>
        <v>2337</v>
      </c>
      <c r="I699" s="138">
        <f t="shared" si="781"/>
        <v>2756</v>
      </c>
      <c r="J699" s="138">
        <f t="shared" si="781"/>
        <v>2465</v>
      </c>
      <c r="K699" s="206">
        <f t="shared" ref="K699:N699" si="783">K700+K706</f>
        <v>625</v>
      </c>
      <c r="L699" s="138">
        <f t="shared" si="783"/>
        <v>640</v>
      </c>
      <c r="M699" s="138">
        <f t="shared" si="783"/>
        <v>600</v>
      </c>
      <c r="N699" s="138">
        <f t="shared" si="783"/>
        <v>600</v>
      </c>
      <c r="O699" s="30">
        <f t="shared" si="746"/>
        <v>2465</v>
      </c>
      <c r="P699" s="100">
        <f t="shared" si="747"/>
        <v>0</v>
      </c>
      <c r="Q699" s="138">
        <f t="shared" si="781"/>
        <v>2465</v>
      </c>
      <c r="R699" s="138">
        <f t="shared" si="781"/>
        <v>2465</v>
      </c>
      <c r="S699" s="138">
        <f t="shared" si="781"/>
        <v>2465</v>
      </c>
    </row>
    <row r="700" spans="1:19" ht="14.25">
      <c r="A700" s="12"/>
      <c r="B700" s="129" t="s">
        <v>152</v>
      </c>
      <c r="C700" s="135"/>
      <c r="D700" s="138">
        <f t="shared" ref="D700:S701" si="784">D701</f>
        <v>2153</v>
      </c>
      <c r="E700" s="138">
        <f t="shared" si="784"/>
        <v>2370</v>
      </c>
      <c r="F700" s="138">
        <f t="shared" si="784"/>
        <v>2200</v>
      </c>
      <c r="G700" s="138">
        <f t="shared" si="784"/>
        <v>2370</v>
      </c>
      <c r="H700" s="138">
        <f t="shared" si="784"/>
        <v>2337</v>
      </c>
      <c r="I700" s="138">
        <f t="shared" si="784"/>
        <v>2756</v>
      </c>
      <c r="J700" s="138">
        <f t="shared" si="784"/>
        <v>2465</v>
      </c>
      <c r="K700" s="206">
        <f t="shared" si="784"/>
        <v>625</v>
      </c>
      <c r="L700" s="138">
        <f t="shared" si="784"/>
        <v>640</v>
      </c>
      <c r="M700" s="138">
        <f t="shared" si="784"/>
        <v>600</v>
      </c>
      <c r="N700" s="138">
        <f t="shared" si="784"/>
        <v>600</v>
      </c>
      <c r="O700" s="30">
        <f t="shared" si="746"/>
        <v>2465</v>
      </c>
      <c r="P700" s="100">
        <f t="shared" si="747"/>
        <v>0</v>
      </c>
      <c r="Q700" s="138">
        <f t="shared" si="784"/>
        <v>2465</v>
      </c>
      <c r="R700" s="138">
        <f t="shared" si="784"/>
        <v>2465</v>
      </c>
      <c r="S700" s="138">
        <f t="shared" si="784"/>
        <v>2465</v>
      </c>
    </row>
    <row r="701" spans="1:19" ht="14.25">
      <c r="A701" s="12"/>
      <c r="B701" s="116" t="s">
        <v>153</v>
      </c>
      <c r="C701" s="135">
        <v>1</v>
      </c>
      <c r="D701" s="102">
        <f t="shared" si="784"/>
        <v>2153</v>
      </c>
      <c r="E701" s="102">
        <f t="shared" si="784"/>
        <v>2370</v>
      </c>
      <c r="F701" s="102">
        <f t="shared" si="784"/>
        <v>2200</v>
      </c>
      <c r="G701" s="102">
        <f t="shared" si="784"/>
        <v>2370</v>
      </c>
      <c r="H701" s="102">
        <f t="shared" si="784"/>
        <v>2337</v>
      </c>
      <c r="I701" s="102">
        <f t="shared" si="784"/>
        <v>2756</v>
      </c>
      <c r="J701" s="102">
        <f t="shared" si="784"/>
        <v>2465</v>
      </c>
      <c r="K701" s="208">
        <f t="shared" si="784"/>
        <v>625</v>
      </c>
      <c r="L701" s="102">
        <f t="shared" si="784"/>
        <v>640</v>
      </c>
      <c r="M701" s="102">
        <f t="shared" si="784"/>
        <v>600</v>
      </c>
      <c r="N701" s="102">
        <f t="shared" si="784"/>
        <v>600</v>
      </c>
      <c r="O701" s="30">
        <f t="shared" si="746"/>
        <v>2465</v>
      </c>
      <c r="P701" s="100">
        <f t="shared" si="747"/>
        <v>0</v>
      </c>
      <c r="Q701" s="102">
        <f t="shared" si="784"/>
        <v>2465</v>
      </c>
      <c r="R701" s="102">
        <f t="shared" si="784"/>
        <v>2465</v>
      </c>
      <c r="S701" s="102">
        <f t="shared" si="784"/>
        <v>2465</v>
      </c>
    </row>
    <row r="702" spans="1:19" ht="14.25">
      <c r="A702" s="12"/>
      <c r="B702" s="116" t="s">
        <v>250</v>
      </c>
      <c r="C702" s="135" t="s">
        <v>216</v>
      </c>
      <c r="D702" s="102">
        <f t="shared" ref="D702:S702" si="785">D703+D704</f>
        <v>2153</v>
      </c>
      <c r="E702" s="102">
        <f t="shared" si="785"/>
        <v>2370</v>
      </c>
      <c r="F702" s="102">
        <f t="shared" si="785"/>
        <v>2200</v>
      </c>
      <c r="G702" s="102">
        <f t="shared" si="785"/>
        <v>2370</v>
      </c>
      <c r="H702" s="102">
        <f t="shared" ref="H702" si="786">H703+H704</f>
        <v>2337</v>
      </c>
      <c r="I702" s="102">
        <f t="shared" si="785"/>
        <v>2756</v>
      </c>
      <c r="J702" s="102">
        <f t="shared" si="785"/>
        <v>2465</v>
      </c>
      <c r="K702" s="208">
        <f t="shared" ref="K702:N702" si="787">K703+K704</f>
        <v>625</v>
      </c>
      <c r="L702" s="102">
        <f t="shared" si="787"/>
        <v>640</v>
      </c>
      <c r="M702" s="102">
        <f t="shared" si="787"/>
        <v>600</v>
      </c>
      <c r="N702" s="102">
        <f t="shared" si="787"/>
        <v>600</v>
      </c>
      <c r="O702" s="30">
        <f t="shared" si="746"/>
        <v>2465</v>
      </c>
      <c r="P702" s="100">
        <f t="shared" si="747"/>
        <v>0</v>
      </c>
      <c r="Q702" s="102">
        <f t="shared" si="785"/>
        <v>2465</v>
      </c>
      <c r="R702" s="102">
        <f t="shared" si="785"/>
        <v>2465</v>
      </c>
      <c r="S702" s="102">
        <f t="shared" si="785"/>
        <v>2465</v>
      </c>
    </row>
    <row r="703" spans="1:19" ht="15" customHeight="1">
      <c r="A703" s="12"/>
      <c r="B703" s="116" t="s">
        <v>154</v>
      </c>
      <c r="C703" s="135">
        <v>10</v>
      </c>
      <c r="D703" s="46">
        <v>1415</v>
      </c>
      <c r="E703" s="30">
        <v>1528</v>
      </c>
      <c r="F703" s="46">
        <v>1500</v>
      </c>
      <c r="G703" s="30">
        <v>1528</v>
      </c>
      <c r="H703" s="30">
        <v>1525</v>
      </c>
      <c r="I703" s="30">
        <v>1665</v>
      </c>
      <c r="J703" s="30">
        <v>1665</v>
      </c>
      <c r="K703" s="64">
        <v>425</v>
      </c>
      <c r="L703" s="30">
        <v>440</v>
      </c>
      <c r="M703" s="30">
        <v>420</v>
      </c>
      <c r="N703" s="30">
        <v>380</v>
      </c>
      <c r="O703" s="30">
        <f t="shared" si="746"/>
        <v>1665</v>
      </c>
      <c r="P703" s="100">
        <f t="shared" si="747"/>
        <v>0</v>
      </c>
      <c r="Q703" s="30">
        <v>1665</v>
      </c>
      <c r="R703" s="30">
        <v>1665</v>
      </c>
      <c r="S703" s="30">
        <v>1665</v>
      </c>
    </row>
    <row r="704" spans="1:19" ht="15.75" customHeight="1">
      <c r="A704" s="12"/>
      <c r="B704" s="116" t="s">
        <v>581</v>
      </c>
      <c r="C704" s="135">
        <v>20</v>
      </c>
      <c r="D704" s="46">
        <v>738</v>
      </c>
      <c r="E704" s="30">
        <v>842</v>
      </c>
      <c r="F704" s="46">
        <v>700</v>
      </c>
      <c r="G704" s="30">
        <v>842</v>
      </c>
      <c r="H704" s="30">
        <v>812</v>
      </c>
      <c r="I704" s="30">
        <v>1091</v>
      </c>
      <c r="J704" s="30">
        <v>800</v>
      </c>
      <c r="K704" s="64">
        <v>200</v>
      </c>
      <c r="L704" s="30">
        <v>200</v>
      </c>
      <c r="M704" s="30">
        <v>180</v>
      </c>
      <c r="N704" s="30">
        <v>220</v>
      </c>
      <c r="O704" s="30">
        <f t="shared" si="746"/>
        <v>800</v>
      </c>
      <c r="P704" s="100">
        <f t="shared" si="747"/>
        <v>0</v>
      </c>
      <c r="Q704" s="30">
        <v>800</v>
      </c>
      <c r="R704" s="30">
        <v>800</v>
      </c>
      <c r="S704" s="30">
        <v>800</v>
      </c>
    </row>
    <row r="705" spans="1:19" ht="25.5" hidden="1" customHeight="1">
      <c r="A705" s="12"/>
      <c r="B705" s="35" t="s">
        <v>608</v>
      </c>
      <c r="C705" s="135">
        <v>85</v>
      </c>
      <c r="D705" s="46"/>
      <c r="E705" s="30"/>
      <c r="F705" s="46"/>
      <c r="G705" s="30"/>
      <c r="H705" s="31"/>
      <c r="I705" s="30"/>
      <c r="J705" s="30"/>
      <c r="K705" s="64"/>
      <c r="L705" s="30"/>
      <c r="M705" s="30"/>
      <c r="N705" s="30"/>
      <c r="O705" s="30">
        <f t="shared" si="746"/>
        <v>0</v>
      </c>
      <c r="P705" s="100">
        <f t="shared" si="747"/>
        <v>0</v>
      </c>
      <c r="Q705" s="30"/>
      <c r="R705" s="30"/>
      <c r="S705" s="30"/>
    </row>
    <row r="706" spans="1:19" ht="20.25" hidden="1" customHeight="1">
      <c r="A706" s="12"/>
      <c r="B706" s="129" t="s">
        <v>164</v>
      </c>
      <c r="C706" s="135"/>
      <c r="D706" s="104">
        <f t="shared" ref="D706:S706" si="788">D707</f>
        <v>54</v>
      </c>
      <c r="E706" s="104">
        <f t="shared" si="788"/>
        <v>0</v>
      </c>
      <c r="F706" s="104">
        <f t="shared" si="788"/>
        <v>0</v>
      </c>
      <c r="G706" s="104">
        <f t="shared" si="788"/>
        <v>0</v>
      </c>
      <c r="H706" s="117">
        <f t="shared" si="788"/>
        <v>0</v>
      </c>
      <c r="I706" s="104">
        <f t="shared" si="788"/>
        <v>0</v>
      </c>
      <c r="J706" s="104">
        <f t="shared" si="788"/>
        <v>0</v>
      </c>
      <c r="K706" s="196">
        <f t="shared" si="788"/>
        <v>0</v>
      </c>
      <c r="L706" s="104">
        <f t="shared" si="788"/>
        <v>0</v>
      </c>
      <c r="M706" s="104">
        <f t="shared" si="788"/>
        <v>0</v>
      </c>
      <c r="N706" s="104">
        <f t="shared" si="788"/>
        <v>0</v>
      </c>
      <c r="O706" s="30">
        <f t="shared" si="746"/>
        <v>0</v>
      </c>
      <c r="P706" s="100">
        <f t="shared" si="747"/>
        <v>0</v>
      </c>
      <c r="Q706" s="104">
        <f t="shared" si="788"/>
        <v>0</v>
      </c>
      <c r="R706" s="104">
        <f t="shared" si="788"/>
        <v>0</v>
      </c>
      <c r="S706" s="104">
        <f t="shared" si="788"/>
        <v>0</v>
      </c>
    </row>
    <row r="707" spans="1:19" ht="18.75" hidden="1" customHeight="1">
      <c r="A707" s="12"/>
      <c r="B707" s="116" t="s">
        <v>170</v>
      </c>
      <c r="C707" s="135" t="s">
        <v>171</v>
      </c>
      <c r="D707" s="46">
        <v>54</v>
      </c>
      <c r="E707" s="30"/>
      <c r="F707" s="46">
        <v>0</v>
      </c>
      <c r="G707" s="30"/>
      <c r="H707" s="31"/>
      <c r="I707" s="30">
        <v>0</v>
      </c>
      <c r="J707" s="30"/>
      <c r="K707" s="64"/>
      <c r="L707" s="30"/>
      <c r="M707" s="30"/>
      <c r="N707" s="30"/>
      <c r="O707" s="30">
        <f t="shared" si="746"/>
        <v>0</v>
      </c>
      <c r="P707" s="100">
        <f t="shared" si="747"/>
        <v>0</v>
      </c>
      <c r="Q707" s="30"/>
      <c r="R707" s="30"/>
      <c r="S707" s="30"/>
    </row>
    <row r="708" spans="1:19" ht="14.25">
      <c r="A708" s="12" t="s">
        <v>454</v>
      </c>
      <c r="B708" s="250" t="s">
        <v>448</v>
      </c>
      <c r="C708" s="135" t="s">
        <v>321</v>
      </c>
      <c r="D708" s="138">
        <f t="shared" ref="D708:S708" si="789">D709+D715</f>
        <v>4705</v>
      </c>
      <c r="E708" s="138">
        <f t="shared" si="789"/>
        <v>4650</v>
      </c>
      <c r="F708" s="138">
        <f t="shared" si="789"/>
        <v>4650</v>
      </c>
      <c r="G708" s="138">
        <f t="shared" si="789"/>
        <v>4650</v>
      </c>
      <c r="H708" s="138">
        <f t="shared" ref="H708" si="790">H709+H715</f>
        <v>4498</v>
      </c>
      <c r="I708" s="138">
        <f t="shared" si="789"/>
        <v>4778</v>
      </c>
      <c r="J708" s="138">
        <f t="shared" si="789"/>
        <v>4300</v>
      </c>
      <c r="K708" s="206">
        <f t="shared" ref="K708:N708" si="791">K709+K715</f>
        <v>1075</v>
      </c>
      <c r="L708" s="138">
        <f t="shared" si="791"/>
        <v>1075</v>
      </c>
      <c r="M708" s="138">
        <f t="shared" si="791"/>
        <v>1075</v>
      </c>
      <c r="N708" s="138">
        <f t="shared" si="791"/>
        <v>1075</v>
      </c>
      <c r="O708" s="30">
        <f t="shared" si="746"/>
        <v>4300</v>
      </c>
      <c r="P708" s="100">
        <f t="shared" si="747"/>
        <v>0</v>
      </c>
      <c r="Q708" s="138">
        <f t="shared" si="789"/>
        <v>4300</v>
      </c>
      <c r="R708" s="138">
        <f t="shared" si="789"/>
        <v>4300</v>
      </c>
      <c r="S708" s="138">
        <f t="shared" si="789"/>
        <v>4300</v>
      </c>
    </row>
    <row r="709" spans="1:19" ht="14.25">
      <c r="A709" s="12"/>
      <c r="B709" s="129" t="s">
        <v>152</v>
      </c>
      <c r="C709" s="135"/>
      <c r="D709" s="138">
        <f t="shared" ref="D709:S710" si="792">D710</f>
        <v>4705</v>
      </c>
      <c r="E709" s="138">
        <f t="shared" si="792"/>
        <v>4650</v>
      </c>
      <c r="F709" s="138">
        <f t="shared" si="792"/>
        <v>4650</v>
      </c>
      <c r="G709" s="138">
        <f>G710+G714</f>
        <v>4650</v>
      </c>
      <c r="H709" s="138">
        <f t="shared" ref="H709:S709" si="793">H710+H714</f>
        <v>4498</v>
      </c>
      <c r="I709" s="138">
        <f t="shared" si="793"/>
        <v>4778</v>
      </c>
      <c r="J709" s="138">
        <f t="shared" si="793"/>
        <v>4300</v>
      </c>
      <c r="K709" s="206">
        <f t="shared" ref="K709:N709" si="794">K710+K714</f>
        <v>1075</v>
      </c>
      <c r="L709" s="138">
        <f t="shared" si="794"/>
        <v>1075</v>
      </c>
      <c r="M709" s="138">
        <f t="shared" si="794"/>
        <v>1075</v>
      </c>
      <c r="N709" s="138">
        <f t="shared" si="794"/>
        <v>1075</v>
      </c>
      <c r="O709" s="30">
        <f t="shared" si="746"/>
        <v>4300</v>
      </c>
      <c r="P709" s="100">
        <f t="shared" si="747"/>
        <v>0</v>
      </c>
      <c r="Q709" s="138">
        <f t="shared" si="793"/>
        <v>4300</v>
      </c>
      <c r="R709" s="138">
        <f t="shared" si="793"/>
        <v>4300</v>
      </c>
      <c r="S709" s="138">
        <f t="shared" si="793"/>
        <v>4300</v>
      </c>
    </row>
    <row r="710" spans="1:19" ht="14.25">
      <c r="A710" s="12"/>
      <c r="B710" s="116" t="s">
        <v>153</v>
      </c>
      <c r="C710" s="135">
        <v>1</v>
      </c>
      <c r="D710" s="102">
        <f t="shared" si="792"/>
        <v>4705</v>
      </c>
      <c r="E710" s="102">
        <f t="shared" si="792"/>
        <v>4650</v>
      </c>
      <c r="F710" s="102">
        <f t="shared" si="792"/>
        <v>4650</v>
      </c>
      <c r="G710" s="102">
        <f t="shared" si="792"/>
        <v>4724</v>
      </c>
      <c r="H710" s="102">
        <f t="shared" si="792"/>
        <v>4572</v>
      </c>
      <c r="I710" s="102">
        <f t="shared" si="792"/>
        <v>4778</v>
      </c>
      <c r="J710" s="102">
        <f t="shared" si="792"/>
        <v>4300</v>
      </c>
      <c r="K710" s="208">
        <f t="shared" si="792"/>
        <v>1075</v>
      </c>
      <c r="L710" s="102">
        <f t="shared" si="792"/>
        <v>1075</v>
      </c>
      <c r="M710" s="102">
        <f t="shared" si="792"/>
        <v>1075</v>
      </c>
      <c r="N710" s="102">
        <f t="shared" si="792"/>
        <v>1075</v>
      </c>
      <c r="O710" s="30">
        <f t="shared" si="746"/>
        <v>4300</v>
      </c>
      <c r="P710" s="100">
        <f t="shared" si="747"/>
        <v>0</v>
      </c>
      <c r="Q710" s="102">
        <f t="shared" si="792"/>
        <v>4300</v>
      </c>
      <c r="R710" s="102">
        <f t="shared" si="792"/>
        <v>4300</v>
      </c>
      <c r="S710" s="102">
        <f t="shared" si="792"/>
        <v>4300</v>
      </c>
    </row>
    <row r="711" spans="1:19" ht="14.25">
      <c r="A711" s="12"/>
      <c r="B711" s="116" t="s">
        <v>250</v>
      </c>
      <c r="C711" s="135" t="s">
        <v>216</v>
      </c>
      <c r="D711" s="102">
        <f t="shared" ref="D711:S711" si="795">D712+D713</f>
        <v>4705</v>
      </c>
      <c r="E711" s="102">
        <f t="shared" si="795"/>
        <v>4650</v>
      </c>
      <c r="F711" s="102">
        <f t="shared" si="795"/>
        <v>4650</v>
      </c>
      <c r="G711" s="102">
        <f t="shared" si="795"/>
        <v>4724</v>
      </c>
      <c r="H711" s="102">
        <f t="shared" ref="H711" si="796">H712+H713</f>
        <v>4572</v>
      </c>
      <c r="I711" s="102">
        <f t="shared" si="795"/>
        <v>4778</v>
      </c>
      <c r="J711" s="102">
        <f t="shared" si="795"/>
        <v>4300</v>
      </c>
      <c r="K711" s="208">
        <f t="shared" ref="K711:N711" si="797">K712+K713</f>
        <v>1075</v>
      </c>
      <c r="L711" s="102">
        <f t="shared" si="797"/>
        <v>1075</v>
      </c>
      <c r="M711" s="102">
        <f t="shared" si="797"/>
        <v>1075</v>
      </c>
      <c r="N711" s="102">
        <f t="shared" si="797"/>
        <v>1075</v>
      </c>
      <c r="O711" s="30">
        <f t="shared" si="746"/>
        <v>4300</v>
      </c>
      <c r="P711" s="100">
        <f t="shared" si="747"/>
        <v>0</v>
      </c>
      <c r="Q711" s="102">
        <f t="shared" si="795"/>
        <v>4300</v>
      </c>
      <c r="R711" s="102">
        <f t="shared" si="795"/>
        <v>4300</v>
      </c>
      <c r="S711" s="102">
        <f t="shared" si="795"/>
        <v>4300</v>
      </c>
    </row>
    <row r="712" spans="1:19" ht="16.5" customHeight="1">
      <c r="A712" s="12"/>
      <c r="B712" s="116" t="s">
        <v>154</v>
      </c>
      <c r="C712" s="135">
        <v>10</v>
      </c>
      <c r="D712" s="46">
        <v>3552</v>
      </c>
      <c r="E712" s="30">
        <v>3650</v>
      </c>
      <c r="F712" s="46">
        <v>3650</v>
      </c>
      <c r="G712" s="30">
        <v>3552</v>
      </c>
      <c r="H712" s="30">
        <v>3506</v>
      </c>
      <c r="I712" s="30">
        <v>3517</v>
      </c>
      <c r="J712" s="30">
        <v>3300</v>
      </c>
      <c r="K712" s="64">
        <v>825</v>
      </c>
      <c r="L712" s="30">
        <v>825</v>
      </c>
      <c r="M712" s="30">
        <v>825</v>
      </c>
      <c r="N712" s="30">
        <v>825</v>
      </c>
      <c r="O712" s="30">
        <f t="shared" si="746"/>
        <v>3300</v>
      </c>
      <c r="P712" s="100">
        <f t="shared" si="747"/>
        <v>0</v>
      </c>
      <c r="Q712" s="30">
        <v>3300</v>
      </c>
      <c r="R712" s="30">
        <v>3300</v>
      </c>
      <c r="S712" s="30">
        <v>3300</v>
      </c>
    </row>
    <row r="713" spans="1:19" ht="15.75" customHeight="1">
      <c r="A713" s="12"/>
      <c r="B713" s="116" t="s">
        <v>581</v>
      </c>
      <c r="C713" s="135">
        <v>20</v>
      </c>
      <c r="D713" s="46">
        <f>1227-74</f>
        <v>1153</v>
      </c>
      <c r="E713" s="30">
        <v>1000</v>
      </c>
      <c r="F713" s="46">
        <v>1000</v>
      </c>
      <c r="G713" s="30">
        <v>1172</v>
      </c>
      <c r="H713" s="30">
        <v>1066</v>
      </c>
      <c r="I713" s="30">
        <v>1261</v>
      </c>
      <c r="J713" s="30">
        <v>1000</v>
      </c>
      <c r="K713" s="64">
        <v>250</v>
      </c>
      <c r="L713" s="30">
        <v>250</v>
      </c>
      <c r="M713" s="30">
        <v>250</v>
      </c>
      <c r="N713" s="30">
        <v>250</v>
      </c>
      <c r="O713" s="30">
        <f t="shared" si="746"/>
        <v>1000</v>
      </c>
      <c r="P713" s="100">
        <f t="shared" si="747"/>
        <v>0</v>
      </c>
      <c r="Q713" s="30">
        <v>1000</v>
      </c>
      <c r="R713" s="30">
        <v>1000</v>
      </c>
      <c r="S713" s="30">
        <v>1000</v>
      </c>
    </row>
    <row r="714" spans="1:19" ht="15.75" hidden="1" customHeight="1">
      <c r="A714" s="12"/>
      <c r="B714" s="116" t="s">
        <v>163</v>
      </c>
      <c r="C714" s="135" t="s">
        <v>251</v>
      </c>
      <c r="D714" s="46"/>
      <c r="E714" s="30"/>
      <c r="F714" s="46"/>
      <c r="G714" s="30">
        <v>-74</v>
      </c>
      <c r="H714" s="30">
        <v>-74</v>
      </c>
      <c r="I714" s="30"/>
      <c r="J714" s="30"/>
      <c r="K714" s="64"/>
      <c r="L714" s="30"/>
      <c r="M714" s="30"/>
      <c r="N714" s="30"/>
      <c r="O714" s="30">
        <f t="shared" si="746"/>
        <v>0</v>
      </c>
      <c r="P714" s="100">
        <f t="shared" si="747"/>
        <v>0</v>
      </c>
      <c r="Q714" s="30"/>
      <c r="R714" s="30"/>
      <c r="S714" s="30"/>
    </row>
    <row r="715" spans="1:19" ht="13.5" hidden="1" customHeight="1">
      <c r="A715" s="12"/>
      <c r="B715" s="129" t="s">
        <v>164</v>
      </c>
      <c r="C715" s="135"/>
      <c r="D715" s="102">
        <f t="shared" ref="D715:S715" si="798">D716</f>
        <v>0</v>
      </c>
      <c r="E715" s="102">
        <f t="shared" si="798"/>
        <v>0</v>
      </c>
      <c r="F715" s="102">
        <f t="shared" si="798"/>
        <v>0</v>
      </c>
      <c r="G715" s="102">
        <f t="shared" si="798"/>
        <v>0</v>
      </c>
      <c r="H715" s="102">
        <f t="shared" si="798"/>
        <v>0</v>
      </c>
      <c r="I715" s="102">
        <f t="shared" si="798"/>
        <v>0</v>
      </c>
      <c r="J715" s="102">
        <f t="shared" si="798"/>
        <v>0</v>
      </c>
      <c r="K715" s="208">
        <f t="shared" si="798"/>
        <v>0</v>
      </c>
      <c r="L715" s="102">
        <f t="shared" si="798"/>
        <v>0</v>
      </c>
      <c r="M715" s="102">
        <f t="shared" si="798"/>
        <v>0</v>
      </c>
      <c r="N715" s="102">
        <f t="shared" si="798"/>
        <v>0</v>
      </c>
      <c r="O715" s="30">
        <f t="shared" si="746"/>
        <v>0</v>
      </c>
      <c r="P715" s="100">
        <f t="shared" si="747"/>
        <v>0</v>
      </c>
      <c r="Q715" s="102">
        <f t="shared" si="798"/>
        <v>0</v>
      </c>
      <c r="R715" s="102">
        <f t="shared" si="798"/>
        <v>0</v>
      </c>
      <c r="S715" s="102">
        <f t="shared" si="798"/>
        <v>0</v>
      </c>
    </row>
    <row r="716" spans="1:19" ht="14.25" hidden="1">
      <c r="A716" s="12"/>
      <c r="B716" s="116" t="s">
        <v>170</v>
      </c>
      <c r="C716" s="135" t="s">
        <v>171</v>
      </c>
      <c r="D716" s="46">
        <v>0</v>
      </c>
      <c r="E716" s="30"/>
      <c r="F716" s="46">
        <v>0</v>
      </c>
      <c r="G716" s="30"/>
      <c r="H716" s="31"/>
      <c r="I716" s="30">
        <v>0</v>
      </c>
      <c r="J716" s="30"/>
      <c r="K716" s="64"/>
      <c r="L716" s="30"/>
      <c r="M716" s="30"/>
      <c r="N716" s="30"/>
      <c r="O716" s="30">
        <f t="shared" ref="O716:O779" si="799">K716+L716+M716+N716</f>
        <v>0</v>
      </c>
      <c r="P716" s="100">
        <f t="shared" si="747"/>
        <v>0</v>
      </c>
      <c r="Q716" s="30"/>
      <c r="R716" s="30"/>
      <c r="S716" s="30"/>
    </row>
    <row r="717" spans="1:19" ht="14.25">
      <c r="A717" s="12" t="s">
        <v>455</v>
      </c>
      <c r="B717" s="129" t="s">
        <v>322</v>
      </c>
      <c r="C717" s="135" t="s">
        <v>323</v>
      </c>
      <c r="D717" s="138">
        <f t="shared" ref="D717:S717" si="800">D718</f>
        <v>13450</v>
      </c>
      <c r="E717" s="138">
        <f t="shared" si="800"/>
        <v>14721</v>
      </c>
      <c r="F717" s="138">
        <f t="shared" si="800"/>
        <v>14721</v>
      </c>
      <c r="G717" s="138">
        <f t="shared" si="800"/>
        <v>14721</v>
      </c>
      <c r="H717" s="138">
        <f t="shared" si="800"/>
        <v>13450</v>
      </c>
      <c r="I717" s="138">
        <f t="shared" si="800"/>
        <v>13619</v>
      </c>
      <c r="J717" s="138">
        <f t="shared" si="800"/>
        <v>13619</v>
      </c>
      <c r="K717" s="206">
        <f t="shared" si="800"/>
        <v>3405</v>
      </c>
      <c r="L717" s="138">
        <f t="shared" si="800"/>
        <v>3405</v>
      </c>
      <c r="M717" s="138">
        <f t="shared" si="800"/>
        <v>3405</v>
      </c>
      <c r="N717" s="138">
        <f t="shared" si="800"/>
        <v>3404</v>
      </c>
      <c r="O717" s="30">
        <f t="shared" si="799"/>
        <v>13619</v>
      </c>
      <c r="P717" s="100">
        <f t="shared" ref="P717:P780" si="801">J717-O717</f>
        <v>0</v>
      </c>
      <c r="Q717" s="138">
        <f t="shared" si="800"/>
        <v>13619</v>
      </c>
      <c r="R717" s="138">
        <f t="shared" si="800"/>
        <v>13619</v>
      </c>
      <c r="S717" s="138">
        <f t="shared" si="800"/>
        <v>13619</v>
      </c>
    </row>
    <row r="718" spans="1:19" ht="14.25">
      <c r="A718" s="12"/>
      <c r="B718" s="129" t="s">
        <v>152</v>
      </c>
      <c r="C718" s="135"/>
      <c r="D718" s="138">
        <f t="shared" ref="D718:S718" si="802">D719+D721</f>
        <v>13450</v>
      </c>
      <c r="E718" s="138">
        <f t="shared" si="802"/>
        <v>14721</v>
      </c>
      <c r="F718" s="138">
        <f t="shared" si="802"/>
        <v>14721</v>
      </c>
      <c r="G718" s="138">
        <f t="shared" si="802"/>
        <v>14721</v>
      </c>
      <c r="H718" s="138">
        <f t="shared" ref="H718" si="803">H719+H721</f>
        <v>13450</v>
      </c>
      <c r="I718" s="138">
        <f t="shared" si="802"/>
        <v>13619</v>
      </c>
      <c r="J718" s="138">
        <f t="shared" si="802"/>
        <v>13619</v>
      </c>
      <c r="K718" s="206">
        <f t="shared" ref="K718:N718" si="804">K719+K721</f>
        <v>3405</v>
      </c>
      <c r="L718" s="138">
        <f t="shared" si="804"/>
        <v>3405</v>
      </c>
      <c r="M718" s="138">
        <f t="shared" si="804"/>
        <v>3405</v>
      </c>
      <c r="N718" s="138">
        <f t="shared" si="804"/>
        <v>3404</v>
      </c>
      <c r="O718" s="30">
        <f t="shared" si="799"/>
        <v>13619</v>
      </c>
      <c r="P718" s="100">
        <f t="shared" si="801"/>
        <v>0</v>
      </c>
      <c r="Q718" s="138">
        <f t="shared" si="802"/>
        <v>13619</v>
      </c>
      <c r="R718" s="138">
        <f t="shared" si="802"/>
        <v>13619</v>
      </c>
      <c r="S718" s="138">
        <f t="shared" si="802"/>
        <v>13619</v>
      </c>
    </row>
    <row r="719" spans="1:19" ht="14.25">
      <c r="A719" s="12"/>
      <c r="B719" s="116" t="s">
        <v>153</v>
      </c>
      <c r="C719" s="135">
        <v>1</v>
      </c>
      <c r="D719" s="102">
        <f t="shared" ref="D719:S719" si="805">D720</f>
        <v>13450</v>
      </c>
      <c r="E719" s="102">
        <f t="shared" si="805"/>
        <v>14721</v>
      </c>
      <c r="F719" s="102">
        <f t="shared" si="805"/>
        <v>14721</v>
      </c>
      <c r="G719" s="102">
        <f t="shared" si="805"/>
        <v>14721</v>
      </c>
      <c r="H719" s="102">
        <f t="shared" si="805"/>
        <v>13450</v>
      </c>
      <c r="I719" s="102">
        <f t="shared" si="805"/>
        <v>13619</v>
      </c>
      <c r="J719" s="102">
        <f t="shared" si="805"/>
        <v>13619</v>
      </c>
      <c r="K719" s="208">
        <f t="shared" si="805"/>
        <v>3405</v>
      </c>
      <c r="L719" s="102">
        <f t="shared" si="805"/>
        <v>3405</v>
      </c>
      <c r="M719" s="102">
        <f t="shared" si="805"/>
        <v>3405</v>
      </c>
      <c r="N719" s="102">
        <f t="shared" si="805"/>
        <v>3404</v>
      </c>
      <c r="O719" s="30">
        <f t="shared" si="799"/>
        <v>13619</v>
      </c>
      <c r="P719" s="100">
        <f t="shared" si="801"/>
        <v>0</v>
      </c>
      <c r="Q719" s="102">
        <f t="shared" si="805"/>
        <v>13619</v>
      </c>
      <c r="R719" s="102">
        <f t="shared" si="805"/>
        <v>13619</v>
      </c>
      <c r="S719" s="102">
        <f t="shared" si="805"/>
        <v>13619</v>
      </c>
    </row>
    <row r="720" spans="1:19" ht="14.25" customHeight="1">
      <c r="A720" s="12"/>
      <c r="B720" s="116" t="s">
        <v>324</v>
      </c>
      <c r="C720" s="135">
        <v>59.15</v>
      </c>
      <c r="D720" s="46">
        <v>13450</v>
      </c>
      <c r="E720" s="30">
        <v>14721</v>
      </c>
      <c r="F720" s="46">
        <v>14721</v>
      </c>
      <c r="G720" s="30">
        <v>14721</v>
      </c>
      <c r="H720" s="30">
        <v>13450</v>
      </c>
      <c r="I720" s="30">
        <v>13619</v>
      </c>
      <c r="J720" s="30">
        <v>13619</v>
      </c>
      <c r="K720" s="64">
        <v>3405</v>
      </c>
      <c r="L720" s="30">
        <v>3405</v>
      </c>
      <c r="M720" s="30">
        <v>3405</v>
      </c>
      <c r="N720" s="30">
        <v>3404</v>
      </c>
      <c r="O720" s="30">
        <f t="shared" si="799"/>
        <v>13619</v>
      </c>
      <c r="P720" s="100">
        <f t="shared" si="801"/>
        <v>0</v>
      </c>
      <c r="Q720" s="30">
        <v>13619</v>
      </c>
      <c r="R720" s="30">
        <v>13619</v>
      </c>
      <c r="S720" s="30">
        <v>13619</v>
      </c>
    </row>
    <row r="721" spans="1:19" ht="15" hidden="1" customHeight="1">
      <c r="A721" s="12"/>
      <c r="B721" s="116" t="s">
        <v>163</v>
      </c>
      <c r="C721" s="135" t="s">
        <v>251</v>
      </c>
      <c r="D721" s="46"/>
      <c r="E721" s="30"/>
      <c r="F721" s="46"/>
      <c r="G721" s="30"/>
      <c r="H721" s="31"/>
      <c r="I721" s="30"/>
      <c r="J721" s="30"/>
      <c r="K721" s="64"/>
      <c r="L721" s="30"/>
      <c r="M721" s="30"/>
      <c r="N721" s="30"/>
      <c r="O721" s="30">
        <f t="shared" si="799"/>
        <v>0</v>
      </c>
      <c r="P721" s="100">
        <f t="shared" si="801"/>
        <v>0</v>
      </c>
      <c r="Q721" s="30"/>
      <c r="R721" s="30"/>
      <c r="S721" s="30"/>
    </row>
    <row r="722" spans="1:19" ht="14.25" hidden="1">
      <c r="A722" s="12" t="s">
        <v>456</v>
      </c>
      <c r="B722" s="250" t="s">
        <v>560</v>
      </c>
      <c r="C722" s="135" t="s">
        <v>325</v>
      </c>
      <c r="D722" s="138">
        <f t="shared" ref="D722:S722" si="806">D723+D729</f>
        <v>0</v>
      </c>
      <c r="E722" s="138">
        <f t="shared" si="806"/>
        <v>0</v>
      </c>
      <c r="F722" s="138">
        <f t="shared" si="806"/>
        <v>764</v>
      </c>
      <c r="G722" s="138">
        <f t="shared" si="806"/>
        <v>0</v>
      </c>
      <c r="H722" s="152">
        <f t="shared" ref="H722" si="807">H723+H729</f>
        <v>0</v>
      </c>
      <c r="I722" s="138">
        <f t="shared" si="806"/>
        <v>0</v>
      </c>
      <c r="J722" s="138">
        <f t="shared" si="806"/>
        <v>0</v>
      </c>
      <c r="K722" s="206">
        <f t="shared" ref="K722:N722" si="808">K723+K729</f>
        <v>0</v>
      </c>
      <c r="L722" s="138">
        <f t="shared" si="808"/>
        <v>0</v>
      </c>
      <c r="M722" s="138">
        <f t="shared" si="808"/>
        <v>0</v>
      </c>
      <c r="N722" s="138">
        <f t="shared" si="808"/>
        <v>0</v>
      </c>
      <c r="O722" s="30">
        <f t="shared" si="799"/>
        <v>0</v>
      </c>
      <c r="P722" s="100">
        <f t="shared" si="801"/>
        <v>0</v>
      </c>
      <c r="Q722" s="138">
        <f t="shared" si="806"/>
        <v>0</v>
      </c>
      <c r="R722" s="138">
        <f t="shared" si="806"/>
        <v>0</v>
      </c>
      <c r="S722" s="138">
        <f t="shared" si="806"/>
        <v>0</v>
      </c>
    </row>
    <row r="723" spans="1:19" ht="14.25" hidden="1">
      <c r="A723" s="12"/>
      <c r="B723" s="129" t="s">
        <v>152</v>
      </c>
      <c r="C723" s="135"/>
      <c r="D723" s="138">
        <f t="shared" ref="D723:S723" si="809">D724</f>
        <v>0</v>
      </c>
      <c r="E723" s="138">
        <f t="shared" si="809"/>
        <v>0</v>
      </c>
      <c r="F723" s="138">
        <f t="shared" si="809"/>
        <v>764</v>
      </c>
      <c r="G723" s="138">
        <f t="shared" si="809"/>
        <v>0</v>
      </c>
      <c r="H723" s="152">
        <f t="shared" si="809"/>
        <v>0</v>
      </c>
      <c r="I723" s="138">
        <f t="shared" si="809"/>
        <v>0</v>
      </c>
      <c r="J723" s="138">
        <f t="shared" si="809"/>
        <v>0</v>
      </c>
      <c r="K723" s="206">
        <f t="shared" si="809"/>
        <v>0</v>
      </c>
      <c r="L723" s="138">
        <f t="shared" si="809"/>
        <v>0</v>
      </c>
      <c r="M723" s="138">
        <f t="shared" si="809"/>
        <v>0</v>
      </c>
      <c r="N723" s="138">
        <f t="shared" si="809"/>
        <v>0</v>
      </c>
      <c r="O723" s="30">
        <f t="shared" si="799"/>
        <v>0</v>
      </c>
      <c r="P723" s="100">
        <f t="shared" si="801"/>
        <v>0</v>
      </c>
      <c r="Q723" s="138">
        <f t="shared" si="809"/>
        <v>0</v>
      </c>
      <c r="R723" s="138">
        <f t="shared" si="809"/>
        <v>0</v>
      </c>
      <c r="S723" s="138">
        <f t="shared" si="809"/>
        <v>0</v>
      </c>
    </row>
    <row r="724" spans="1:19" ht="14.25" hidden="1">
      <c r="A724" s="12"/>
      <c r="B724" s="116" t="s">
        <v>153</v>
      </c>
      <c r="C724" s="135">
        <v>1</v>
      </c>
      <c r="D724" s="102">
        <f t="shared" ref="D724:S724" si="810">D725+D728</f>
        <v>0</v>
      </c>
      <c r="E724" s="102">
        <f t="shared" si="810"/>
        <v>0</v>
      </c>
      <c r="F724" s="102">
        <f t="shared" si="810"/>
        <v>764</v>
      </c>
      <c r="G724" s="102">
        <f t="shared" si="810"/>
        <v>0</v>
      </c>
      <c r="H724" s="103">
        <f t="shared" ref="H724" si="811">H725+H728</f>
        <v>0</v>
      </c>
      <c r="I724" s="102">
        <f t="shared" si="810"/>
        <v>0</v>
      </c>
      <c r="J724" s="102">
        <f t="shared" si="810"/>
        <v>0</v>
      </c>
      <c r="K724" s="208">
        <f t="shared" ref="K724:N724" si="812">K725+K728</f>
        <v>0</v>
      </c>
      <c r="L724" s="102">
        <f t="shared" si="812"/>
        <v>0</v>
      </c>
      <c r="M724" s="102">
        <f t="shared" si="812"/>
        <v>0</v>
      </c>
      <c r="N724" s="102">
        <f t="shared" si="812"/>
        <v>0</v>
      </c>
      <c r="O724" s="30">
        <f t="shared" si="799"/>
        <v>0</v>
      </c>
      <c r="P724" s="100">
        <f t="shared" si="801"/>
        <v>0</v>
      </c>
      <c r="Q724" s="102">
        <f t="shared" si="810"/>
        <v>0</v>
      </c>
      <c r="R724" s="102">
        <f t="shared" si="810"/>
        <v>0</v>
      </c>
      <c r="S724" s="102">
        <f t="shared" si="810"/>
        <v>0</v>
      </c>
    </row>
    <row r="725" spans="1:19" ht="14.25" hidden="1">
      <c r="A725" s="12"/>
      <c r="B725" s="116" t="s">
        <v>250</v>
      </c>
      <c r="C725" s="135" t="s">
        <v>216</v>
      </c>
      <c r="D725" s="102">
        <f t="shared" ref="D725:S725" si="813">D726+D727</f>
        <v>0</v>
      </c>
      <c r="E725" s="102">
        <f t="shared" si="813"/>
        <v>0</v>
      </c>
      <c r="F725" s="102">
        <f t="shared" si="813"/>
        <v>764</v>
      </c>
      <c r="G725" s="102">
        <f t="shared" si="813"/>
        <v>0</v>
      </c>
      <c r="H725" s="103">
        <f t="shared" ref="H725" si="814">H726+H727</f>
        <v>0</v>
      </c>
      <c r="I725" s="102">
        <f t="shared" si="813"/>
        <v>0</v>
      </c>
      <c r="J725" s="102">
        <f t="shared" si="813"/>
        <v>0</v>
      </c>
      <c r="K725" s="208">
        <f t="shared" ref="K725:N725" si="815">K726+K727</f>
        <v>0</v>
      </c>
      <c r="L725" s="102">
        <f t="shared" si="815"/>
        <v>0</v>
      </c>
      <c r="M725" s="102">
        <f t="shared" si="815"/>
        <v>0</v>
      </c>
      <c r="N725" s="102">
        <f t="shared" si="815"/>
        <v>0</v>
      </c>
      <c r="O725" s="30">
        <f t="shared" si="799"/>
        <v>0</v>
      </c>
      <c r="P725" s="100">
        <f t="shared" si="801"/>
        <v>0</v>
      </c>
      <c r="Q725" s="102">
        <f t="shared" si="813"/>
        <v>0</v>
      </c>
      <c r="R725" s="102">
        <f t="shared" si="813"/>
        <v>0</v>
      </c>
      <c r="S725" s="102">
        <f t="shared" si="813"/>
        <v>0</v>
      </c>
    </row>
    <row r="726" spans="1:19" ht="15" hidden="1" customHeight="1">
      <c r="A726" s="12"/>
      <c r="B726" s="116" t="s">
        <v>154</v>
      </c>
      <c r="C726" s="135">
        <v>10</v>
      </c>
      <c r="D726" s="46"/>
      <c r="E726" s="30">
        <v>0</v>
      </c>
      <c r="F726" s="46">
        <v>264</v>
      </c>
      <c r="G726" s="30">
        <v>0</v>
      </c>
      <c r="H726" s="31">
        <v>0</v>
      </c>
      <c r="I726" s="30">
        <v>0</v>
      </c>
      <c r="J726" s="30">
        <v>0</v>
      </c>
      <c r="K726" s="64">
        <v>0</v>
      </c>
      <c r="L726" s="30">
        <v>0</v>
      </c>
      <c r="M726" s="30">
        <v>0</v>
      </c>
      <c r="N726" s="30">
        <v>0</v>
      </c>
      <c r="O726" s="30">
        <f t="shared" si="799"/>
        <v>0</v>
      </c>
      <c r="P726" s="100">
        <f t="shared" si="801"/>
        <v>0</v>
      </c>
      <c r="Q726" s="30">
        <v>0</v>
      </c>
      <c r="R726" s="30">
        <v>0</v>
      </c>
      <c r="S726" s="30">
        <v>0</v>
      </c>
    </row>
    <row r="727" spans="1:19" ht="15" hidden="1" customHeight="1">
      <c r="A727" s="12"/>
      <c r="B727" s="116" t="s">
        <v>581</v>
      </c>
      <c r="C727" s="135">
        <v>20</v>
      </c>
      <c r="D727" s="46"/>
      <c r="E727" s="30">
        <v>0</v>
      </c>
      <c r="F727" s="46">
        <v>500</v>
      </c>
      <c r="G727" s="30">
        <v>0</v>
      </c>
      <c r="H727" s="31">
        <v>0</v>
      </c>
      <c r="I727" s="30">
        <v>0</v>
      </c>
      <c r="J727" s="30">
        <v>0</v>
      </c>
      <c r="K727" s="64">
        <v>0</v>
      </c>
      <c r="L727" s="30">
        <v>0</v>
      </c>
      <c r="M727" s="30">
        <v>0</v>
      </c>
      <c r="N727" s="30">
        <v>0</v>
      </c>
      <c r="O727" s="30">
        <f t="shared" si="799"/>
        <v>0</v>
      </c>
      <c r="P727" s="100">
        <f t="shared" si="801"/>
        <v>0</v>
      </c>
      <c r="Q727" s="30">
        <v>0</v>
      </c>
      <c r="R727" s="30">
        <v>0</v>
      </c>
      <c r="S727" s="30">
        <v>0</v>
      </c>
    </row>
    <row r="728" spans="1:19" ht="14.25" hidden="1" customHeight="1">
      <c r="A728" s="12"/>
      <c r="B728" s="116" t="s">
        <v>507</v>
      </c>
      <c r="C728" s="135">
        <v>85.01</v>
      </c>
      <c r="D728" s="46"/>
      <c r="E728" s="30"/>
      <c r="F728" s="46"/>
      <c r="G728" s="30"/>
      <c r="H728" s="31"/>
      <c r="I728" s="30"/>
      <c r="J728" s="30"/>
      <c r="K728" s="64"/>
      <c r="L728" s="30"/>
      <c r="M728" s="30"/>
      <c r="N728" s="30"/>
      <c r="O728" s="30">
        <f t="shared" si="799"/>
        <v>0</v>
      </c>
      <c r="P728" s="100">
        <f t="shared" si="801"/>
        <v>0</v>
      </c>
      <c r="Q728" s="30"/>
      <c r="R728" s="30"/>
      <c r="S728" s="30"/>
    </row>
    <row r="729" spans="1:19" ht="16.5" hidden="1" customHeight="1">
      <c r="A729" s="12"/>
      <c r="B729" s="129" t="s">
        <v>164</v>
      </c>
      <c r="C729" s="135"/>
      <c r="D729" s="102">
        <f t="shared" ref="D729" si="816">D731</f>
        <v>0</v>
      </c>
      <c r="E729" s="30"/>
      <c r="F729" s="102">
        <f t="shared" ref="F729" si="817">F731</f>
        <v>0</v>
      </c>
      <c r="G729" s="30"/>
      <c r="H729" s="31"/>
      <c r="I729" s="30"/>
      <c r="J729" s="30"/>
      <c r="K729" s="64"/>
      <c r="L729" s="30"/>
      <c r="M729" s="30"/>
      <c r="N729" s="30"/>
      <c r="O729" s="30">
        <f t="shared" si="799"/>
        <v>0</v>
      </c>
      <c r="P729" s="100">
        <f t="shared" si="801"/>
        <v>0</v>
      </c>
      <c r="Q729" s="30"/>
      <c r="R729" s="30"/>
      <c r="S729" s="30"/>
    </row>
    <row r="730" spans="1:19" ht="0.75" hidden="1" customHeight="1">
      <c r="A730" s="12"/>
      <c r="B730" s="116" t="s">
        <v>326</v>
      </c>
      <c r="C730" s="135" t="s">
        <v>327</v>
      </c>
      <c r="D730" s="46"/>
      <c r="E730" s="30"/>
      <c r="F730" s="46"/>
      <c r="G730" s="30"/>
      <c r="H730" s="31"/>
      <c r="I730" s="30"/>
      <c r="J730" s="30"/>
      <c r="K730" s="64"/>
      <c r="L730" s="30"/>
      <c r="M730" s="30"/>
      <c r="N730" s="30"/>
      <c r="O730" s="30">
        <f t="shared" si="799"/>
        <v>0</v>
      </c>
      <c r="P730" s="100">
        <f t="shared" si="801"/>
        <v>0</v>
      </c>
      <c r="Q730" s="30"/>
      <c r="R730" s="30"/>
      <c r="S730" s="30"/>
    </row>
    <row r="731" spans="1:19" ht="18.75" hidden="1" customHeight="1">
      <c r="A731" s="12"/>
      <c r="B731" s="116" t="s">
        <v>170</v>
      </c>
      <c r="C731" s="135" t="s">
        <v>171</v>
      </c>
      <c r="D731" s="46">
        <v>0</v>
      </c>
      <c r="E731" s="30"/>
      <c r="F731" s="46">
        <v>0</v>
      </c>
      <c r="G731" s="30"/>
      <c r="H731" s="31"/>
      <c r="I731" s="30"/>
      <c r="J731" s="30"/>
      <c r="K731" s="64"/>
      <c r="L731" s="30"/>
      <c r="M731" s="30"/>
      <c r="N731" s="30"/>
      <c r="O731" s="30">
        <f t="shared" si="799"/>
        <v>0</v>
      </c>
      <c r="P731" s="100">
        <f t="shared" si="801"/>
        <v>0</v>
      </c>
      <c r="Q731" s="30"/>
      <c r="R731" s="30"/>
      <c r="S731" s="30"/>
    </row>
    <row r="732" spans="1:19" ht="14.25">
      <c r="A732" s="189" t="s">
        <v>457</v>
      </c>
      <c r="B732" s="252" t="s">
        <v>328</v>
      </c>
      <c r="C732" s="135" t="s">
        <v>329</v>
      </c>
      <c r="D732" s="138">
        <f t="shared" ref="D732:S732" si="818">D733</f>
        <v>304</v>
      </c>
      <c r="E732" s="138">
        <f t="shared" si="818"/>
        <v>1100</v>
      </c>
      <c r="F732" s="138">
        <f t="shared" si="818"/>
        <v>1100</v>
      </c>
      <c r="G732" s="138">
        <f t="shared" si="818"/>
        <v>1100</v>
      </c>
      <c r="H732" s="138">
        <f t="shared" si="818"/>
        <v>920</v>
      </c>
      <c r="I732" s="138">
        <f t="shared" si="818"/>
        <v>1100</v>
      </c>
      <c r="J732" s="138">
        <f t="shared" si="818"/>
        <v>1000</v>
      </c>
      <c r="K732" s="206">
        <f t="shared" si="818"/>
        <v>100</v>
      </c>
      <c r="L732" s="138">
        <f t="shared" si="818"/>
        <v>300</v>
      </c>
      <c r="M732" s="138">
        <f t="shared" si="818"/>
        <v>400</v>
      </c>
      <c r="N732" s="138">
        <f t="shared" si="818"/>
        <v>200</v>
      </c>
      <c r="O732" s="30">
        <f t="shared" si="799"/>
        <v>1000</v>
      </c>
      <c r="P732" s="100">
        <f t="shared" si="801"/>
        <v>0</v>
      </c>
      <c r="Q732" s="138">
        <f t="shared" si="818"/>
        <v>1000</v>
      </c>
      <c r="R732" s="138">
        <f t="shared" si="818"/>
        <v>1000</v>
      </c>
      <c r="S732" s="138">
        <f t="shared" si="818"/>
        <v>1000</v>
      </c>
    </row>
    <row r="733" spans="1:19" ht="14.25">
      <c r="A733" s="12"/>
      <c r="B733" s="129" t="s">
        <v>152</v>
      </c>
      <c r="C733" s="135"/>
      <c r="D733" s="138">
        <f t="shared" ref="D733:S733" si="819">D735+D736</f>
        <v>304</v>
      </c>
      <c r="E733" s="138">
        <f t="shared" si="819"/>
        <v>1100</v>
      </c>
      <c r="F733" s="138">
        <f t="shared" si="819"/>
        <v>1100</v>
      </c>
      <c r="G733" s="138">
        <f t="shared" si="819"/>
        <v>1100</v>
      </c>
      <c r="H733" s="138">
        <f t="shared" ref="H733" si="820">H735+H736</f>
        <v>920</v>
      </c>
      <c r="I733" s="138">
        <f t="shared" si="819"/>
        <v>1100</v>
      </c>
      <c r="J733" s="138">
        <f t="shared" si="819"/>
        <v>1000</v>
      </c>
      <c r="K733" s="206">
        <f t="shared" ref="K733:N733" si="821">K735+K736</f>
        <v>100</v>
      </c>
      <c r="L733" s="138">
        <f t="shared" si="821"/>
        <v>300</v>
      </c>
      <c r="M733" s="138">
        <f t="shared" si="821"/>
        <v>400</v>
      </c>
      <c r="N733" s="138">
        <f t="shared" si="821"/>
        <v>200</v>
      </c>
      <c r="O733" s="30">
        <f t="shared" si="799"/>
        <v>1000</v>
      </c>
      <c r="P733" s="100">
        <f t="shared" si="801"/>
        <v>0</v>
      </c>
      <c r="Q733" s="138">
        <f t="shared" si="819"/>
        <v>1000</v>
      </c>
      <c r="R733" s="138">
        <f t="shared" si="819"/>
        <v>1000</v>
      </c>
      <c r="S733" s="138">
        <f t="shared" si="819"/>
        <v>1000</v>
      </c>
    </row>
    <row r="734" spans="1:19" ht="14.25">
      <c r="A734" s="12"/>
      <c r="B734" s="116" t="s">
        <v>153</v>
      </c>
      <c r="C734" s="135">
        <v>1</v>
      </c>
      <c r="D734" s="102">
        <f t="shared" ref="D734:S734" si="822">D735</f>
        <v>349</v>
      </c>
      <c r="E734" s="102">
        <f t="shared" si="822"/>
        <v>1100</v>
      </c>
      <c r="F734" s="102">
        <f t="shared" si="822"/>
        <v>1100</v>
      </c>
      <c r="G734" s="102">
        <f t="shared" si="822"/>
        <v>1100</v>
      </c>
      <c r="H734" s="102">
        <f t="shared" si="822"/>
        <v>920</v>
      </c>
      <c r="I734" s="102">
        <f t="shared" si="822"/>
        <v>1100</v>
      </c>
      <c r="J734" s="102">
        <f t="shared" si="822"/>
        <v>1000</v>
      </c>
      <c r="K734" s="208">
        <f t="shared" si="822"/>
        <v>100</v>
      </c>
      <c r="L734" s="102">
        <f t="shared" si="822"/>
        <v>300</v>
      </c>
      <c r="M734" s="102">
        <f t="shared" si="822"/>
        <v>400</v>
      </c>
      <c r="N734" s="102">
        <f t="shared" si="822"/>
        <v>200</v>
      </c>
      <c r="O734" s="30">
        <f t="shared" si="799"/>
        <v>1000</v>
      </c>
      <c r="P734" s="100">
        <f t="shared" si="801"/>
        <v>0</v>
      </c>
      <c r="Q734" s="102">
        <f t="shared" si="822"/>
        <v>1000</v>
      </c>
      <c r="R734" s="102">
        <f t="shared" si="822"/>
        <v>1000</v>
      </c>
      <c r="S734" s="102">
        <f t="shared" si="822"/>
        <v>1000</v>
      </c>
    </row>
    <row r="735" spans="1:19" ht="16.5" customHeight="1">
      <c r="A735" s="12"/>
      <c r="B735" s="116" t="s">
        <v>581</v>
      </c>
      <c r="C735" s="135">
        <v>20</v>
      </c>
      <c r="D735" s="46">
        <v>349</v>
      </c>
      <c r="E735" s="30">
        <v>1100</v>
      </c>
      <c r="F735" s="46">
        <v>1100</v>
      </c>
      <c r="G735" s="30">
        <v>1100</v>
      </c>
      <c r="H735" s="30">
        <v>920</v>
      </c>
      <c r="I735" s="30">
        <v>1100</v>
      </c>
      <c r="J735" s="30">
        <v>1000</v>
      </c>
      <c r="K735" s="64">
        <v>100</v>
      </c>
      <c r="L735" s="30">
        <v>300</v>
      </c>
      <c r="M735" s="30">
        <v>400</v>
      </c>
      <c r="N735" s="30">
        <v>200</v>
      </c>
      <c r="O735" s="30">
        <f t="shared" si="799"/>
        <v>1000</v>
      </c>
      <c r="P735" s="100">
        <f t="shared" si="801"/>
        <v>0</v>
      </c>
      <c r="Q735" s="30">
        <v>1000</v>
      </c>
      <c r="R735" s="30">
        <v>1000</v>
      </c>
      <c r="S735" s="30">
        <v>1000</v>
      </c>
    </row>
    <row r="736" spans="1:19" ht="16.5" hidden="1" customHeight="1">
      <c r="A736" s="12"/>
      <c r="B736" s="116" t="s">
        <v>163</v>
      </c>
      <c r="C736" s="135" t="s">
        <v>251</v>
      </c>
      <c r="D736" s="46">
        <v>-45</v>
      </c>
      <c r="E736" s="30"/>
      <c r="F736" s="46"/>
      <c r="G736" s="30"/>
      <c r="H736" s="31"/>
      <c r="I736" s="30"/>
      <c r="J736" s="30"/>
      <c r="K736" s="64"/>
      <c r="L736" s="30"/>
      <c r="M736" s="30"/>
      <c r="N736" s="30"/>
      <c r="O736" s="30">
        <f t="shared" si="799"/>
        <v>0</v>
      </c>
      <c r="P736" s="100">
        <f t="shared" si="801"/>
        <v>0</v>
      </c>
      <c r="Q736" s="30"/>
      <c r="R736" s="30"/>
      <c r="S736" s="30"/>
    </row>
    <row r="737" spans="1:19" ht="16.5" customHeight="1">
      <c r="A737" s="187" t="s">
        <v>458</v>
      </c>
      <c r="B737" s="129" t="s">
        <v>544</v>
      </c>
      <c r="C737" s="135" t="s">
        <v>546</v>
      </c>
      <c r="D737" s="102">
        <f t="shared" ref="D737:S737" si="823">D738</f>
        <v>454</v>
      </c>
      <c r="E737" s="102">
        <f t="shared" si="823"/>
        <v>500</v>
      </c>
      <c r="F737" s="102">
        <f t="shared" si="823"/>
        <v>500</v>
      </c>
      <c r="G737" s="102">
        <f t="shared" si="823"/>
        <v>500</v>
      </c>
      <c r="H737" s="102">
        <f t="shared" si="823"/>
        <v>500</v>
      </c>
      <c r="I737" s="102">
        <f t="shared" si="823"/>
        <v>500</v>
      </c>
      <c r="J737" s="102">
        <f t="shared" si="823"/>
        <v>800</v>
      </c>
      <c r="K737" s="208">
        <f t="shared" si="823"/>
        <v>0</v>
      </c>
      <c r="L737" s="102">
        <f t="shared" si="823"/>
        <v>400</v>
      </c>
      <c r="M737" s="102">
        <f t="shared" si="823"/>
        <v>400</v>
      </c>
      <c r="N737" s="102">
        <f t="shared" si="823"/>
        <v>0</v>
      </c>
      <c r="O737" s="30">
        <f t="shared" si="799"/>
        <v>800</v>
      </c>
      <c r="P737" s="100">
        <f t="shared" si="801"/>
        <v>0</v>
      </c>
      <c r="Q737" s="102">
        <f t="shared" si="823"/>
        <v>500</v>
      </c>
      <c r="R737" s="102">
        <f t="shared" si="823"/>
        <v>500</v>
      </c>
      <c r="S737" s="102">
        <f t="shared" si="823"/>
        <v>500</v>
      </c>
    </row>
    <row r="738" spans="1:19" ht="16.5" customHeight="1">
      <c r="A738" s="12"/>
      <c r="B738" s="129" t="s">
        <v>152</v>
      </c>
      <c r="C738" s="135"/>
      <c r="D738" s="102">
        <f t="shared" ref="D738:S738" si="824">D740</f>
        <v>454</v>
      </c>
      <c r="E738" s="102">
        <f t="shared" si="824"/>
        <v>500</v>
      </c>
      <c r="F738" s="102">
        <f t="shared" si="824"/>
        <v>500</v>
      </c>
      <c r="G738" s="102">
        <f t="shared" si="824"/>
        <v>500</v>
      </c>
      <c r="H738" s="102">
        <f t="shared" ref="H738" si="825">H740</f>
        <v>500</v>
      </c>
      <c r="I738" s="102">
        <f t="shared" si="824"/>
        <v>500</v>
      </c>
      <c r="J738" s="102">
        <f t="shared" si="824"/>
        <v>800</v>
      </c>
      <c r="K738" s="208">
        <f t="shared" ref="K738:N738" si="826">K740</f>
        <v>0</v>
      </c>
      <c r="L738" s="102">
        <f t="shared" si="826"/>
        <v>400</v>
      </c>
      <c r="M738" s="102">
        <f t="shared" si="826"/>
        <v>400</v>
      </c>
      <c r="N738" s="102">
        <f t="shared" si="826"/>
        <v>0</v>
      </c>
      <c r="O738" s="30">
        <f t="shared" si="799"/>
        <v>800</v>
      </c>
      <c r="P738" s="100">
        <f t="shared" si="801"/>
        <v>0</v>
      </c>
      <c r="Q738" s="102">
        <f t="shared" si="824"/>
        <v>500</v>
      </c>
      <c r="R738" s="102">
        <f t="shared" si="824"/>
        <v>500</v>
      </c>
      <c r="S738" s="102">
        <f t="shared" si="824"/>
        <v>500</v>
      </c>
    </row>
    <row r="739" spans="1:19" ht="16.5" customHeight="1">
      <c r="A739" s="12"/>
      <c r="B739" s="116" t="s">
        <v>153</v>
      </c>
      <c r="C739" s="135">
        <v>1</v>
      </c>
      <c r="D739" s="102">
        <f t="shared" ref="D739:S739" si="827">D740</f>
        <v>454</v>
      </c>
      <c r="E739" s="102">
        <f t="shared" si="827"/>
        <v>500</v>
      </c>
      <c r="F739" s="102">
        <f t="shared" si="827"/>
        <v>500</v>
      </c>
      <c r="G739" s="102">
        <f t="shared" si="827"/>
        <v>500</v>
      </c>
      <c r="H739" s="102">
        <f t="shared" si="827"/>
        <v>500</v>
      </c>
      <c r="I739" s="102">
        <f t="shared" si="827"/>
        <v>500</v>
      </c>
      <c r="J739" s="102">
        <f t="shared" si="827"/>
        <v>800</v>
      </c>
      <c r="K739" s="208">
        <f t="shared" si="827"/>
        <v>0</v>
      </c>
      <c r="L739" s="102">
        <f t="shared" si="827"/>
        <v>400</v>
      </c>
      <c r="M739" s="102">
        <f t="shared" si="827"/>
        <v>400</v>
      </c>
      <c r="N739" s="102">
        <f t="shared" si="827"/>
        <v>0</v>
      </c>
      <c r="O739" s="30">
        <f t="shared" si="799"/>
        <v>800</v>
      </c>
      <c r="P739" s="100">
        <f t="shared" si="801"/>
        <v>0</v>
      </c>
      <c r="Q739" s="102">
        <f t="shared" si="827"/>
        <v>500</v>
      </c>
      <c r="R739" s="102">
        <f t="shared" si="827"/>
        <v>500</v>
      </c>
      <c r="S739" s="102">
        <f t="shared" si="827"/>
        <v>500</v>
      </c>
    </row>
    <row r="740" spans="1:19" ht="16.5" customHeight="1">
      <c r="A740" s="12"/>
      <c r="B740" s="116" t="s">
        <v>545</v>
      </c>
      <c r="C740" s="135" t="s">
        <v>547</v>
      </c>
      <c r="D740" s="46">
        <v>454</v>
      </c>
      <c r="E740" s="30">
        <v>500</v>
      </c>
      <c r="F740" s="46">
        <v>500</v>
      </c>
      <c r="G740" s="30">
        <v>500</v>
      </c>
      <c r="H740" s="30">
        <v>500</v>
      </c>
      <c r="I740" s="30">
        <v>500</v>
      </c>
      <c r="J740" s="30">
        <f>500+300</f>
        <v>800</v>
      </c>
      <c r="K740" s="64">
        <v>0</v>
      </c>
      <c r="L740" s="30">
        <v>400</v>
      </c>
      <c r="M740" s="30">
        <v>400</v>
      </c>
      <c r="N740" s="30">
        <v>0</v>
      </c>
      <c r="O740" s="30">
        <f t="shared" si="799"/>
        <v>800</v>
      </c>
      <c r="P740" s="100">
        <f t="shared" si="801"/>
        <v>0</v>
      </c>
      <c r="Q740" s="30">
        <v>500</v>
      </c>
      <c r="R740" s="30">
        <v>500</v>
      </c>
      <c r="S740" s="30">
        <v>500</v>
      </c>
    </row>
    <row r="741" spans="1:19" ht="14.25">
      <c r="A741" s="180">
        <v>4</v>
      </c>
      <c r="B741" s="241" t="s">
        <v>574</v>
      </c>
      <c r="C741" s="242">
        <v>68.02</v>
      </c>
      <c r="D741" s="140">
        <f t="shared" ref="D741:S741" si="828">D756+D766+D839+D924+D976+D980</f>
        <v>142586.9</v>
      </c>
      <c r="E741" s="140">
        <f t="shared" si="828"/>
        <v>160950</v>
      </c>
      <c r="F741" s="140">
        <f t="shared" si="828"/>
        <v>135026</v>
      </c>
      <c r="G741" s="140">
        <f t="shared" si="828"/>
        <v>160949.38</v>
      </c>
      <c r="H741" s="140">
        <f t="shared" ref="H741" si="829">H756+H766+H839+H924+H976+H980</f>
        <v>134968.94999999998</v>
      </c>
      <c r="I741" s="140">
        <f t="shared" si="828"/>
        <v>183175</v>
      </c>
      <c r="J741" s="140">
        <f>J756+J766+J839+J924+J976+J980</f>
        <v>171025</v>
      </c>
      <c r="K741" s="209">
        <f>K756+K766+K839+K924+K976+K980</f>
        <v>43982</v>
      </c>
      <c r="L741" s="140">
        <f>L756+L766+L839+L924+L976+L980</f>
        <v>45241</v>
      </c>
      <c r="M741" s="140">
        <f>M756+M766+M839+M924+M976+M980</f>
        <v>44838</v>
      </c>
      <c r="N741" s="140">
        <f>N756+N766+N839+N924+N976+N980</f>
        <v>36964</v>
      </c>
      <c r="O741" s="30">
        <f t="shared" si="799"/>
        <v>171025</v>
      </c>
      <c r="P741" s="100">
        <f t="shared" si="801"/>
        <v>0</v>
      </c>
      <c r="Q741" s="151">
        <f t="shared" si="828"/>
        <v>147850</v>
      </c>
      <c r="R741" s="151">
        <f t="shared" si="828"/>
        <v>140284</v>
      </c>
      <c r="S741" s="151">
        <f t="shared" si="828"/>
        <v>140284</v>
      </c>
    </row>
    <row r="742" spans="1:19" ht="14.25">
      <c r="A742" s="12"/>
      <c r="B742" s="129" t="s">
        <v>152</v>
      </c>
      <c r="C742" s="37"/>
      <c r="D742" s="138">
        <f t="shared" ref="D742:S742" si="830">D757+D766+D840+D925+D977+D981</f>
        <v>136091.03</v>
      </c>
      <c r="E742" s="138">
        <f t="shared" si="830"/>
        <v>140376.70000000001</v>
      </c>
      <c r="F742" s="138">
        <f t="shared" si="830"/>
        <v>114685</v>
      </c>
      <c r="G742" s="138">
        <f t="shared" si="830"/>
        <v>140375.88</v>
      </c>
      <c r="H742" s="138">
        <f t="shared" ref="H742" si="831">H757+H766+H840+H925+H977+H981</f>
        <v>129285.2</v>
      </c>
      <c r="I742" s="138">
        <f t="shared" si="830"/>
        <v>150243</v>
      </c>
      <c r="J742" s="138">
        <f>J757+J766+J840+J925+J977+J981</f>
        <v>141384</v>
      </c>
      <c r="K742" s="206">
        <f>K757+K766+K840+K925+K977+K981</f>
        <v>35930</v>
      </c>
      <c r="L742" s="138">
        <f>L757+L766+L840+L925+L977+L981</f>
        <v>35870</v>
      </c>
      <c r="M742" s="138">
        <f>M757+M766+M840+M925+M977+M981</f>
        <v>36110</v>
      </c>
      <c r="N742" s="138">
        <f>N757+N766+N840+N925+N977+N981</f>
        <v>33474</v>
      </c>
      <c r="O742" s="30">
        <f t="shared" si="799"/>
        <v>141384</v>
      </c>
      <c r="P742" s="100">
        <f t="shared" si="801"/>
        <v>0</v>
      </c>
      <c r="Q742" s="138">
        <f t="shared" si="830"/>
        <v>140284</v>
      </c>
      <c r="R742" s="138">
        <f t="shared" si="830"/>
        <v>140284</v>
      </c>
      <c r="S742" s="138">
        <f t="shared" si="830"/>
        <v>140284</v>
      </c>
    </row>
    <row r="743" spans="1:19" ht="14.25">
      <c r="A743" s="12"/>
      <c r="B743" s="116" t="s">
        <v>153</v>
      </c>
      <c r="C743" s="37">
        <v>1</v>
      </c>
      <c r="D743" s="138">
        <f t="shared" ref="D743:S743" si="832">D758+D766+D841+D926+D978+D982</f>
        <v>136091.03</v>
      </c>
      <c r="E743" s="138">
        <f t="shared" si="832"/>
        <v>140605.45000000001</v>
      </c>
      <c r="F743" s="138">
        <f t="shared" si="832"/>
        <v>114685</v>
      </c>
      <c r="G743" s="138">
        <f t="shared" si="832"/>
        <v>140605.10999999999</v>
      </c>
      <c r="H743" s="138">
        <f t="shared" ref="H743" si="833">H758+H766+H841+H926+H978+H982</f>
        <v>129569.8</v>
      </c>
      <c r="I743" s="138">
        <f t="shared" si="832"/>
        <v>150243</v>
      </c>
      <c r="J743" s="138">
        <f>J758+J766+J841+J926+J978+J982</f>
        <v>141384</v>
      </c>
      <c r="K743" s="206">
        <f>K758+K766+K841+K926+K978+K982</f>
        <v>35930</v>
      </c>
      <c r="L743" s="138">
        <f>L758+L766+L841+L926+L978+L982</f>
        <v>35870</v>
      </c>
      <c r="M743" s="138">
        <f>M758+M766+M841+M926+M978+M982</f>
        <v>36110</v>
      </c>
      <c r="N743" s="138">
        <f>N758+N766+N841+N926+N978+N982</f>
        <v>33474</v>
      </c>
      <c r="O743" s="30">
        <f t="shared" si="799"/>
        <v>141384</v>
      </c>
      <c r="P743" s="100">
        <f t="shared" si="801"/>
        <v>0</v>
      </c>
      <c r="Q743" s="138">
        <f t="shared" si="832"/>
        <v>140284</v>
      </c>
      <c r="R743" s="138">
        <f t="shared" si="832"/>
        <v>140284</v>
      </c>
      <c r="S743" s="138">
        <f t="shared" si="832"/>
        <v>140284</v>
      </c>
    </row>
    <row r="744" spans="1:19" ht="14.25">
      <c r="A744" s="12"/>
      <c r="B744" s="116" t="s">
        <v>154</v>
      </c>
      <c r="C744" s="37">
        <v>10</v>
      </c>
      <c r="D744" s="138">
        <f t="shared" ref="D744:S744" si="834">D759+D842</f>
        <v>105490.4</v>
      </c>
      <c r="E744" s="138">
        <f t="shared" si="834"/>
        <v>109219</v>
      </c>
      <c r="F744" s="138">
        <f t="shared" si="834"/>
        <v>86450</v>
      </c>
      <c r="G744" s="138">
        <f t="shared" si="834"/>
        <v>109219</v>
      </c>
      <c r="H744" s="138">
        <f t="shared" ref="H744" si="835">H759+H842</f>
        <v>101215</v>
      </c>
      <c r="I744" s="138">
        <f t="shared" si="834"/>
        <v>113162</v>
      </c>
      <c r="J744" s="138">
        <f t="shared" si="834"/>
        <v>111140</v>
      </c>
      <c r="K744" s="206">
        <f t="shared" ref="K744:N744" si="836">K759+K842</f>
        <v>28100</v>
      </c>
      <c r="L744" s="138">
        <f t="shared" si="836"/>
        <v>28050</v>
      </c>
      <c r="M744" s="138">
        <f t="shared" si="836"/>
        <v>28305</v>
      </c>
      <c r="N744" s="138">
        <f t="shared" si="836"/>
        <v>26685</v>
      </c>
      <c r="O744" s="30">
        <f t="shared" si="799"/>
        <v>111140</v>
      </c>
      <c r="P744" s="100">
        <f t="shared" si="801"/>
        <v>0</v>
      </c>
      <c r="Q744" s="138">
        <f t="shared" si="834"/>
        <v>110140</v>
      </c>
      <c r="R744" s="138">
        <f t="shared" si="834"/>
        <v>110140</v>
      </c>
      <c r="S744" s="138">
        <f t="shared" si="834"/>
        <v>110140</v>
      </c>
    </row>
    <row r="745" spans="1:19" ht="14.25">
      <c r="A745" s="12"/>
      <c r="B745" s="116" t="s">
        <v>581</v>
      </c>
      <c r="C745" s="37">
        <v>20</v>
      </c>
      <c r="D745" s="138">
        <f t="shared" ref="D745:S745" si="837">D760+D767+D843</f>
        <v>16033.91</v>
      </c>
      <c r="E745" s="138">
        <f t="shared" si="837"/>
        <v>16670.95</v>
      </c>
      <c r="F745" s="138">
        <f t="shared" si="837"/>
        <v>12100</v>
      </c>
      <c r="G745" s="138">
        <f t="shared" si="837"/>
        <v>16671.11</v>
      </c>
      <c r="H745" s="138">
        <f t="shared" ref="H745" si="838">H760+H767+H843</f>
        <v>15228</v>
      </c>
      <c r="I745" s="138">
        <f t="shared" si="837"/>
        <v>21095</v>
      </c>
      <c r="J745" s="138">
        <f t="shared" si="837"/>
        <v>15135</v>
      </c>
      <c r="K745" s="206">
        <f t="shared" ref="K745:N745" si="839">K760+K767+K843</f>
        <v>3780</v>
      </c>
      <c r="L745" s="138">
        <f t="shared" si="839"/>
        <v>3775</v>
      </c>
      <c r="M745" s="138">
        <f t="shared" si="839"/>
        <v>3865</v>
      </c>
      <c r="N745" s="138">
        <f t="shared" si="839"/>
        <v>3715</v>
      </c>
      <c r="O745" s="30">
        <f t="shared" si="799"/>
        <v>15135</v>
      </c>
      <c r="P745" s="100">
        <f t="shared" si="801"/>
        <v>0</v>
      </c>
      <c r="Q745" s="138">
        <f t="shared" si="837"/>
        <v>15135</v>
      </c>
      <c r="R745" s="138">
        <f t="shared" si="837"/>
        <v>15135</v>
      </c>
      <c r="S745" s="138">
        <f t="shared" si="837"/>
        <v>15135</v>
      </c>
    </row>
    <row r="746" spans="1:19" ht="14.25">
      <c r="A746" s="12"/>
      <c r="B746" s="116" t="s">
        <v>250</v>
      </c>
      <c r="C746" s="37">
        <v>51</v>
      </c>
      <c r="D746" s="138">
        <f t="shared" ref="D746:S746" si="840">D927+D983</f>
        <v>12150</v>
      </c>
      <c r="E746" s="138">
        <f t="shared" si="840"/>
        <v>12449</v>
      </c>
      <c r="F746" s="138">
        <f t="shared" si="840"/>
        <v>12345</v>
      </c>
      <c r="G746" s="138">
        <f t="shared" si="840"/>
        <v>12449</v>
      </c>
      <c r="H746" s="138">
        <f t="shared" ref="H746" si="841">H927+H983</f>
        <v>12062</v>
      </c>
      <c r="I746" s="138">
        <f t="shared" si="840"/>
        <v>13252</v>
      </c>
      <c r="J746" s="138">
        <f t="shared" si="840"/>
        <v>12375</v>
      </c>
      <c r="K746" s="206">
        <f t="shared" ref="K746:N746" si="842">K927+K983</f>
        <v>3190</v>
      </c>
      <c r="L746" s="138">
        <f t="shared" si="842"/>
        <v>3185</v>
      </c>
      <c r="M746" s="138">
        <f t="shared" si="842"/>
        <v>3190</v>
      </c>
      <c r="N746" s="138">
        <f t="shared" si="842"/>
        <v>2810</v>
      </c>
      <c r="O746" s="30">
        <f t="shared" si="799"/>
        <v>12375</v>
      </c>
      <c r="P746" s="100">
        <f t="shared" si="801"/>
        <v>0</v>
      </c>
      <c r="Q746" s="138">
        <f t="shared" si="840"/>
        <v>12375</v>
      </c>
      <c r="R746" s="138">
        <f t="shared" si="840"/>
        <v>12375</v>
      </c>
      <c r="S746" s="138">
        <f t="shared" si="840"/>
        <v>12375</v>
      </c>
    </row>
    <row r="747" spans="1:19" ht="14.25">
      <c r="A747" s="12"/>
      <c r="B747" s="116" t="s">
        <v>604</v>
      </c>
      <c r="C747" s="37">
        <v>55</v>
      </c>
      <c r="D747" s="138">
        <f t="shared" ref="D747:S747" si="843">D984</f>
        <v>2</v>
      </c>
      <c r="E747" s="138">
        <f t="shared" si="843"/>
        <v>0</v>
      </c>
      <c r="F747" s="138">
        <f t="shared" si="843"/>
        <v>0</v>
      </c>
      <c r="G747" s="138">
        <f t="shared" si="843"/>
        <v>0</v>
      </c>
      <c r="H747" s="138">
        <f t="shared" ref="H747" si="844">H984</f>
        <v>0</v>
      </c>
      <c r="I747" s="138">
        <f t="shared" si="843"/>
        <v>0</v>
      </c>
      <c r="J747" s="138">
        <f t="shared" si="843"/>
        <v>0</v>
      </c>
      <c r="K747" s="206">
        <f t="shared" ref="K747:N747" si="845">K984</f>
        <v>0</v>
      </c>
      <c r="L747" s="138">
        <f t="shared" si="845"/>
        <v>0</v>
      </c>
      <c r="M747" s="138">
        <f t="shared" si="845"/>
        <v>0</v>
      </c>
      <c r="N747" s="138">
        <f t="shared" si="845"/>
        <v>0</v>
      </c>
      <c r="O747" s="30">
        <f t="shared" si="799"/>
        <v>0</v>
      </c>
      <c r="P747" s="100">
        <f t="shared" si="801"/>
        <v>0</v>
      </c>
      <c r="Q747" s="138">
        <f t="shared" si="843"/>
        <v>0</v>
      </c>
      <c r="R747" s="138">
        <f t="shared" si="843"/>
        <v>0</v>
      </c>
      <c r="S747" s="138">
        <f t="shared" si="843"/>
        <v>0</v>
      </c>
    </row>
    <row r="748" spans="1:19" ht="14.25">
      <c r="A748" s="12"/>
      <c r="B748" s="116" t="s">
        <v>160</v>
      </c>
      <c r="C748" s="37">
        <v>57</v>
      </c>
      <c r="D748" s="138">
        <f t="shared" ref="D748:S748" si="846">D761+D768+D979</f>
        <v>2635.65</v>
      </c>
      <c r="E748" s="138">
        <f t="shared" si="846"/>
        <v>3317.23</v>
      </c>
      <c r="F748" s="138">
        <f t="shared" si="846"/>
        <v>3490</v>
      </c>
      <c r="G748" s="138">
        <f t="shared" si="846"/>
        <v>3317</v>
      </c>
      <c r="H748" s="138">
        <f t="shared" ref="H748" si="847">H761+H768+H979</f>
        <v>2204.8000000000002</v>
      </c>
      <c r="I748" s="138">
        <f t="shared" si="846"/>
        <v>2734</v>
      </c>
      <c r="J748" s="138">
        <f t="shared" si="846"/>
        <v>2734</v>
      </c>
      <c r="K748" s="206">
        <f t="shared" ref="K748:N748" si="848">K761+K768+K979</f>
        <v>860</v>
      </c>
      <c r="L748" s="138">
        <f t="shared" si="848"/>
        <v>860</v>
      </c>
      <c r="M748" s="138">
        <f t="shared" si="848"/>
        <v>750</v>
      </c>
      <c r="N748" s="138">
        <f t="shared" si="848"/>
        <v>264</v>
      </c>
      <c r="O748" s="30">
        <f t="shared" si="799"/>
        <v>2734</v>
      </c>
      <c r="P748" s="100">
        <f t="shared" si="801"/>
        <v>0</v>
      </c>
      <c r="Q748" s="138">
        <f t="shared" si="846"/>
        <v>2634</v>
      </c>
      <c r="R748" s="138">
        <f t="shared" si="846"/>
        <v>2634</v>
      </c>
      <c r="S748" s="138">
        <f t="shared" si="846"/>
        <v>2634</v>
      </c>
    </row>
    <row r="749" spans="1:19" ht="16.5" customHeight="1">
      <c r="A749" s="12"/>
      <c r="B749" s="116" t="s">
        <v>177</v>
      </c>
      <c r="C749" s="37">
        <v>59</v>
      </c>
      <c r="D749" s="138">
        <f t="shared" ref="D749:S749" si="849">D764</f>
        <v>211.74</v>
      </c>
      <c r="E749" s="138">
        <f t="shared" si="849"/>
        <v>39.6</v>
      </c>
      <c r="F749" s="138">
        <f t="shared" si="849"/>
        <v>300</v>
      </c>
      <c r="G749" s="138">
        <f t="shared" si="849"/>
        <v>39</v>
      </c>
      <c r="H749" s="138">
        <f t="shared" ref="H749" si="850">H764</f>
        <v>39</v>
      </c>
      <c r="I749" s="138">
        <f t="shared" si="849"/>
        <v>0</v>
      </c>
      <c r="J749" s="138">
        <f t="shared" si="849"/>
        <v>0</v>
      </c>
      <c r="K749" s="206">
        <f t="shared" ref="K749:N749" si="851">K764</f>
        <v>0</v>
      </c>
      <c r="L749" s="138">
        <f t="shared" si="851"/>
        <v>0</v>
      </c>
      <c r="M749" s="138">
        <f t="shared" si="851"/>
        <v>0</v>
      </c>
      <c r="N749" s="138">
        <f t="shared" si="851"/>
        <v>0</v>
      </c>
      <c r="O749" s="30">
        <f t="shared" si="799"/>
        <v>0</v>
      </c>
      <c r="P749" s="100">
        <f t="shared" si="801"/>
        <v>0</v>
      </c>
      <c r="Q749" s="138">
        <f t="shared" si="849"/>
        <v>0</v>
      </c>
      <c r="R749" s="138">
        <f t="shared" si="849"/>
        <v>0</v>
      </c>
      <c r="S749" s="138">
        <f t="shared" si="849"/>
        <v>0</v>
      </c>
    </row>
    <row r="750" spans="1:19" ht="17.25" customHeight="1">
      <c r="A750" s="12"/>
      <c r="B750" s="116" t="s">
        <v>163</v>
      </c>
      <c r="C750" s="37">
        <v>85</v>
      </c>
      <c r="D750" s="138">
        <f t="shared" ref="D750:S750" si="852">D765+D928+D844</f>
        <v>-432.67</v>
      </c>
      <c r="E750" s="138">
        <f t="shared" si="852"/>
        <v>-1319.08</v>
      </c>
      <c r="F750" s="138">
        <f t="shared" si="852"/>
        <v>0</v>
      </c>
      <c r="G750" s="138">
        <f t="shared" si="852"/>
        <v>-1319.23</v>
      </c>
      <c r="H750" s="138">
        <f t="shared" ref="H750" si="853">H765+H928+H844</f>
        <v>-1463.6</v>
      </c>
      <c r="I750" s="138">
        <f t="shared" si="852"/>
        <v>0</v>
      </c>
      <c r="J750" s="138">
        <f t="shared" si="852"/>
        <v>0</v>
      </c>
      <c r="K750" s="206">
        <f t="shared" ref="K750:N750" si="854">K765+K928+K844</f>
        <v>0</v>
      </c>
      <c r="L750" s="138">
        <f t="shared" si="854"/>
        <v>0</v>
      </c>
      <c r="M750" s="138">
        <f t="shared" si="854"/>
        <v>0</v>
      </c>
      <c r="N750" s="138">
        <f t="shared" si="854"/>
        <v>0</v>
      </c>
      <c r="O750" s="30">
        <f t="shared" si="799"/>
        <v>0</v>
      </c>
      <c r="P750" s="100">
        <f t="shared" si="801"/>
        <v>0</v>
      </c>
      <c r="Q750" s="138">
        <f t="shared" si="852"/>
        <v>0</v>
      </c>
      <c r="R750" s="138">
        <f t="shared" si="852"/>
        <v>0</v>
      </c>
      <c r="S750" s="138">
        <f t="shared" si="852"/>
        <v>0</v>
      </c>
    </row>
    <row r="751" spans="1:19" ht="13.5" customHeight="1">
      <c r="A751" s="12"/>
      <c r="B751" s="129" t="s">
        <v>164</v>
      </c>
      <c r="C751" s="37"/>
      <c r="D751" s="138">
        <f t="shared" ref="D751:S751" si="855">D771+D845+D929</f>
        <v>6495.8700000000008</v>
      </c>
      <c r="E751" s="138">
        <f t="shared" si="855"/>
        <v>20573.3</v>
      </c>
      <c r="F751" s="138">
        <f t="shared" si="855"/>
        <v>20341</v>
      </c>
      <c r="G751" s="138">
        <f t="shared" si="855"/>
        <v>20573.5</v>
      </c>
      <c r="H751" s="138">
        <f t="shared" ref="H751" si="856">H771+H845+H929</f>
        <v>5683.7500000000009</v>
      </c>
      <c r="I751" s="138">
        <f t="shared" si="855"/>
        <v>32932</v>
      </c>
      <c r="J751" s="138">
        <f t="shared" si="855"/>
        <v>29641</v>
      </c>
      <c r="K751" s="206">
        <f t="shared" ref="K751:N751" si="857">K771+K845+K929</f>
        <v>8052</v>
      </c>
      <c r="L751" s="138">
        <f t="shared" si="857"/>
        <v>9371</v>
      </c>
      <c r="M751" s="138">
        <f t="shared" si="857"/>
        <v>8728</v>
      </c>
      <c r="N751" s="138">
        <f t="shared" si="857"/>
        <v>3490</v>
      </c>
      <c r="O751" s="30">
        <f t="shared" si="799"/>
        <v>29641</v>
      </c>
      <c r="P751" s="100">
        <f t="shared" si="801"/>
        <v>0</v>
      </c>
      <c r="Q751" s="138">
        <f t="shared" si="855"/>
        <v>7566</v>
      </c>
      <c r="R751" s="138">
        <f t="shared" si="855"/>
        <v>0</v>
      </c>
      <c r="S751" s="138">
        <f t="shared" si="855"/>
        <v>0</v>
      </c>
    </row>
    <row r="752" spans="1:19" ht="12.75" customHeight="1">
      <c r="A752" s="12"/>
      <c r="B752" s="116" t="s">
        <v>170</v>
      </c>
      <c r="C752" s="37">
        <v>51</v>
      </c>
      <c r="D752" s="138">
        <f t="shared" ref="D752:S752" si="858">D930</f>
        <v>245</v>
      </c>
      <c r="E752" s="138">
        <f t="shared" si="858"/>
        <v>44</v>
      </c>
      <c r="F752" s="138">
        <f t="shared" si="858"/>
        <v>44</v>
      </c>
      <c r="G752" s="138">
        <f t="shared" si="858"/>
        <v>44</v>
      </c>
      <c r="H752" s="138">
        <f t="shared" ref="H752" si="859">H930</f>
        <v>41</v>
      </c>
      <c r="I752" s="138">
        <f t="shared" si="858"/>
        <v>741</v>
      </c>
      <c r="J752" s="138">
        <f t="shared" si="858"/>
        <v>541</v>
      </c>
      <c r="K752" s="206">
        <f t="shared" ref="K752:N752" si="860">K930</f>
        <v>0</v>
      </c>
      <c r="L752" s="138">
        <f t="shared" si="860"/>
        <v>91</v>
      </c>
      <c r="M752" s="138">
        <f t="shared" si="860"/>
        <v>150</v>
      </c>
      <c r="N752" s="138">
        <f t="shared" si="860"/>
        <v>300</v>
      </c>
      <c r="O752" s="30">
        <f t="shared" si="799"/>
        <v>541</v>
      </c>
      <c r="P752" s="100">
        <f t="shared" si="801"/>
        <v>0</v>
      </c>
      <c r="Q752" s="138">
        <f t="shared" si="858"/>
        <v>0</v>
      </c>
      <c r="R752" s="138">
        <f t="shared" si="858"/>
        <v>0</v>
      </c>
      <c r="S752" s="138">
        <f t="shared" si="858"/>
        <v>0</v>
      </c>
    </row>
    <row r="753" spans="1:19" ht="18.75" hidden="1" customHeight="1">
      <c r="A753" s="12"/>
      <c r="B753" s="116" t="s">
        <v>173</v>
      </c>
      <c r="C753" s="37">
        <v>56</v>
      </c>
      <c r="D753" s="46"/>
      <c r="E753" s="30"/>
      <c r="F753" s="46"/>
      <c r="G753" s="30"/>
      <c r="H753" s="30"/>
      <c r="I753" s="30"/>
      <c r="J753" s="30"/>
      <c r="K753" s="64"/>
      <c r="L753" s="30"/>
      <c r="M753" s="30"/>
      <c r="N753" s="30"/>
      <c r="O753" s="30">
        <f t="shared" si="799"/>
        <v>0</v>
      </c>
      <c r="P753" s="100">
        <f t="shared" si="801"/>
        <v>0</v>
      </c>
      <c r="Q753" s="30"/>
      <c r="R753" s="30"/>
      <c r="S753" s="30"/>
    </row>
    <row r="754" spans="1:19" ht="18.75" customHeight="1">
      <c r="A754" s="12"/>
      <c r="B754" s="116" t="s">
        <v>173</v>
      </c>
      <c r="C754" s="37">
        <v>58</v>
      </c>
      <c r="D754" s="138">
        <f t="shared" ref="D754:S754" si="861">D772</f>
        <v>5658.6800000000012</v>
      </c>
      <c r="E754" s="138">
        <f t="shared" si="861"/>
        <v>20297</v>
      </c>
      <c r="F754" s="138">
        <f t="shared" si="861"/>
        <v>20297</v>
      </c>
      <c r="G754" s="138">
        <f t="shared" si="861"/>
        <v>20297</v>
      </c>
      <c r="H754" s="138">
        <f t="shared" ref="H754" si="862">H772</f>
        <v>5435.7500000000009</v>
      </c>
      <c r="I754" s="138">
        <f t="shared" si="861"/>
        <v>31255</v>
      </c>
      <c r="J754" s="138">
        <f t="shared" si="861"/>
        <v>28871</v>
      </c>
      <c r="K754" s="206">
        <f t="shared" ref="K754:N754" si="863">K772</f>
        <v>8052</v>
      </c>
      <c r="L754" s="138">
        <f t="shared" si="863"/>
        <v>9051</v>
      </c>
      <c r="M754" s="138">
        <f t="shared" si="863"/>
        <v>8578</v>
      </c>
      <c r="N754" s="138">
        <f t="shared" si="863"/>
        <v>3190</v>
      </c>
      <c r="O754" s="30">
        <f t="shared" si="799"/>
        <v>28871</v>
      </c>
      <c r="P754" s="100">
        <f t="shared" si="801"/>
        <v>0</v>
      </c>
      <c r="Q754" s="138">
        <f t="shared" si="861"/>
        <v>7566</v>
      </c>
      <c r="R754" s="138">
        <f t="shared" si="861"/>
        <v>0</v>
      </c>
      <c r="S754" s="138">
        <f t="shared" si="861"/>
        <v>0</v>
      </c>
    </row>
    <row r="755" spans="1:19" ht="14.25" customHeight="1">
      <c r="A755" s="12"/>
      <c r="B755" s="116" t="s">
        <v>193</v>
      </c>
      <c r="C755" s="37">
        <v>70</v>
      </c>
      <c r="D755" s="102">
        <f t="shared" ref="D755:S755" si="864">D777+D846</f>
        <v>592.18999999999994</v>
      </c>
      <c r="E755" s="102">
        <f t="shared" si="864"/>
        <v>232.3</v>
      </c>
      <c r="F755" s="102">
        <f t="shared" si="864"/>
        <v>0</v>
      </c>
      <c r="G755" s="102">
        <f t="shared" si="864"/>
        <v>232.5</v>
      </c>
      <c r="H755" s="102">
        <f t="shared" ref="H755" si="865">H777+H846</f>
        <v>207</v>
      </c>
      <c r="I755" s="102">
        <f t="shared" si="864"/>
        <v>936</v>
      </c>
      <c r="J755" s="102">
        <f t="shared" si="864"/>
        <v>229</v>
      </c>
      <c r="K755" s="208">
        <f t="shared" ref="K755:N755" si="866">K777+K846</f>
        <v>0</v>
      </c>
      <c r="L755" s="102">
        <f t="shared" si="866"/>
        <v>229</v>
      </c>
      <c r="M755" s="102">
        <f t="shared" si="866"/>
        <v>0</v>
      </c>
      <c r="N755" s="102">
        <f t="shared" si="866"/>
        <v>0</v>
      </c>
      <c r="O755" s="30">
        <f t="shared" si="799"/>
        <v>229</v>
      </c>
      <c r="P755" s="100">
        <f t="shared" si="801"/>
        <v>0</v>
      </c>
      <c r="Q755" s="102">
        <f t="shared" si="864"/>
        <v>0</v>
      </c>
      <c r="R755" s="102">
        <f t="shared" si="864"/>
        <v>0</v>
      </c>
      <c r="S755" s="102">
        <f t="shared" si="864"/>
        <v>0</v>
      </c>
    </row>
    <row r="756" spans="1:19" ht="27.75" customHeight="1">
      <c r="A756" s="190" t="s">
        <v>467</v>
      </c>
      <c r="B756" s="269" t="s">
        <v>466</v>
      </c>
      <c r="C756" s="270" t="s">
        <v>330</v>
      </c>
      <c r="D756" s="271">
        <f t="shared" ref="D756:S756" si="867">D757+D771</f>
        <v>84627.39</v>
      </c>
      <c r="E756" s="271">
        <f t="shared" si="867"/>
        <v>102573.5</v>
      </c>
      <c r="F756" s="271">
        <f t="shared" si="867"/>
        <v>82777</v>
      </c>
      <c r="G756" s="271">
        <f t="shared" si="867"/>
        <v>102573</v>
      </c>
      <c r="H756" s="271">
        <f t="shared" ref="H756" si="868">H757+H771</f>
        <v>79669.75</v>
      </c>
      <c r="I756" s="271">
        <f t="shared" si="867"/>
        <v>115404</v>
      </c>
      <c r="J756" s="271">
        <f t="shared" si="867"/>
        <v>108773</v>
      </c>
      <c r="K756" s="272">
        <f t="shared" ref="K756:N756" si="869">K757+K771</f>
        <v>28262</v>
      </c>
      <c r="L756" s="271">
        <f t="shared" si="869"/>
        <v>29479</v>
      </c>
      <c r="M756" s="271">
        <f t="shared" si="869"/>
        <v>28528</v>
      </c>
      <c r="N756" s="271">
        <f t="shared" si="869"/>
        <v>22504</v>
      </c>
      <c r="O756" s="273">
        <f t="shared" si="799"/>
        <v>108773</v>
      </c>
      <c r="P756" s="271">
        <f t="shared" si="801"/>
        <v>0</v>
      </c>
      <c r="Q756" s="271">
        <f t="shared" si="867"/>
        <v>86250</v>
      </c>
      <c r="R756" s="271">
        <f t="shared" si="867"/>
        <v>78684</v>
      </c>
      <c r="S756" s="271">
        <f t="shared" si="867"/>
        <v>78684</v>
      </c>
    </row>
    <row r="757" spans="1:19" ht="14.25">
      <c r="A757" s="12"/>
      <c r="B757" s="129" t="s">
        <v>152</v>
      </c>
      <c r="C757" s="37"/>
      <c r="D757" s="138">
        <f t="shared" ref="D757:S757" si="870">D758</f>
        <v>78918.81</v>
      </c>
      <c r="E757" s="138">
        <f t="shared" si="870"/>
        <v>82112.7</v>
      </c>
      <c r="F757" s="138">
        <f t="shared" si="870"/>
        <v>62480</v>
      </c>
      <c r="G757" s="138">
        <f t="shared" si="870"/>
        <v>82112</v>
      </c>
      <c r="H757" s="138">
        <f t="shared" si="870"/>
        <v>74092</v>
      </c>
      <c r="I757" s="138">
        <f t="shared" si="870"/>
        <v>83254</v>
      </c>
      <c r="J757" s="138">
        <f t="shared" si="870"/>
        <v>79684</v>
      </c>
      <c r="K757" s="206">
        <f t="shared" si="870"/>
        <v>20210</v>
      </c>
      <c r="L757" s="138">
        <f t="shared" si="870"/>
        <v>20210</v>
      </c>
      <c r="M757" s="138">
        <f t="shared" si="870"/>
        <v>19950</v>
      </c>
      <c r="N757" s="138">
        <f t="shared" si="870"/>
        <v>19314</v>
      </c>
      <c r="O757" s="30">
        <f t="shared" si="799"/>
        <v>79684</v>
      </c>
      <c r="P757" s="100">
        <f t="shared" si="801"/>
        <v>0</v>
      </c>
      <c r="Q757" s="138">
        <f t="shared" si="870"/>
        <v>78684</v>
      </c>
      <c r="R757" s="138">
        <f t="shared" si="870"/>
        <v>78684</v>
      </c>
      <c r="S757" s="138">
        <f t="shared" si="870"/>
        <v>78684</v>
      </c>
    </row>
    <row r="758" spans="1:19" ht="14.25">
      <c r="A758" s="12"/>
      <c r="B758" s="116" t="s">
        <v>153</v>
      </c>
      <c r="C758" s="135">
        <v>1</v>
      </c>
      <c r="D758" s="102">
        <f t="shared" ref="D758:S758" si="871">D759+D760+D761+D764+D765</f>
        <v>78918.81</v>
      </c>
      <c r="E758" s="102">
        <f t="shared" si="871"/>
        <v>82112.7</v>
      </c>
      <c r="F758" s="102">
        <f t="shared" si="871"/>
        <v>62480</v>
      </c>
      <c r="G758" s="102">
        <f t="shared" si="871"/>
        <v>82112</v>
      </c>
      <c r="H758" s="102">
        <f t="shared" ref="H758" si="872">H759+H760+H761+H764+H765</f>
        <v>74092</v>
      </c>
      <c r="I758" s="102">
        <f t="shared" si="871"/>
        <v>83254</v>
      </c>
      <c r="J758" s="102">
        <f t="shared" si="871"/>
        <v>79684</v>
      </c>
      <c r="K758" s="208">
        <f t="shared" ref="K758:N758" si="873">K759+K760+K761+K764+K765</f>
        <v>20210</v>
      </c>
      <c r="L758" s="102">
        <f t="shared" si="873"/>
        <v>20210</v>
      </c>
      <c r="M758" s="102">
        <f t="shared" si="873"/>
        <v>19950</v>
      </c>
      <c r="N758" s="102">
        <f t="shared" si="873"/>
        <v>19314</v>
      </c>
      <c r="O758" s="30">
        <f t="shared" si="799"/>
        <v>79684</v>
      </c>
      <c r="P758" s="100">
        <f t="shared" si="801"/>
        <v>0</v>
      </c>
      <c r="Q758" s="102">
        <f t="shared" si="871"/>
        <v>78684</v>
      </c>
      <c r="R758" s="102">
        <f t="shared" si="871"/>
        <v>78684</v>
      </c>
      <c r="S758" s="102">
        <f t="shared" si="871"/>
        <v>78684</v>
      </c>
    </row>
    <row r="759" spans="1:19" ht="15.75" customHeight="1">
      <c r="A759" s="12"/>
      <c r="B759" s="116" t="s">
        <v>154</v>
      </c>
      <c r="C759" s="135">
        <v>10</v>
      </c>
      <c r="D759" s="46">
        <v>69522.36</v>
      </c>
      <c r="E759" s="30">
        <v>73959</v>
      </c>
      <c r="F759" s="46">
        <v>55000</v>
      </c>
      <c r="G759" s="30">
        <v>73959</v>
      </c>
      <c r="H759" s="30">
        <v>66842</v>
      </c>
      <c r="I759" s="30">
        <v>71500</v>
      </c>
      <c r="J759" s="30">
        <v>71000</v>
      </c>
      <c r="K759" s="64">
        <v>18000</v>
      </c>
      <c r="L759" s="30">
        <v>18000</v>
      </c>
      <c r="M759" s="30">
        <v>17750</v>
      </c>
      <c r="N759" s="30">
        <v>17250</v>
      </c>
      <c r="O759" s="30">
        <f t="shared" si="799"/>
        <v>71000</v>
      </c>
      <c r="P759" s="100">
        <f t="shared" si="801"/>
        <v>0</v>
      </c>
      <c r="Q759" s="30">
        <v>70000</v>
      </c>
      <c r="R759" s="30">
        <v>70000</v>
      </c>
      <c r="S759" s="30">
        <v>70000</v>
      </c>
    </row>
    <row r="760" spans="1:19" ht="14.25" customHeight="1">
      <c r="A760" s="12"/>
      <c r="B760" s="116" t="s">
        <v>581</v>
      </c>
      <c r="C760" s="135">
        <v>20</v>
      </c>
      <c r="D760" s="46">
        <v>8092.73</v>
      </c>
      <c r="E760" s="30">
        <v>8185.2</v>
      </c>
      <c r="F760" s="46">
        <v>6000</v>
      </c>
      <c r="G760" s="30">
        <v>8185</v>
      </c>
      <c r="H760" s="30">
        <v>7498</v>
      </c>
      <c r="I760" s="30">
        <v>10570</v>
      </c>
      <c r="J760" s="30">
        <v>7500</v>
      </c>
      <c r="K760" s="64">
        <v>1900</v>
      </c>
      <c r="L760" s="30">
        <v>1900</v>
      </c>
      <c r="M760" s="30">
        <v>1900</v>
      </c>
      <c r="N760" s="30">
        <v>1800</v>
      </c>
      <c r="O760" s="30">
        <f t="shared" si="799"/>
        <v>7500</v>
      </c>
      <c r="P760" s="100">
        <f t="shared" si="801"/>
        <v>0</v>
      </c>
      <c r="Q760" s="30">
        <v>7500</v>
      </c>
      <c r="R760" s="30">
        <v>7500</v>
      </c>
      <c r="S760" s="30">
        <v>7500</v>
      </c>
    </row>
    <row r="761" spans="1:19" ht="15.75" customHeight="1">
      <c r="A761" s="12"/>
      <c r="B761" s="116" t="s">
        <v>257</v>
      </c>
      <c r="C761" s="135">
        <v>57</v>
      </c>
      <c r="D761" s="114">
        <f t="shared" ref="D761:S761" si="874">D762+D763</f>
        <v>1524.65</v>
      </c>
      <c r="E761" s="114">
        <f t="shared" si="874"/>
        <v>1019.23</v>
      </c>
      <c r="F761" s="114">
        <f t="shared" si="874"/>
        <v>1180</v>
      </c>
      <c r="G761" s="114">
        <f t="shared" si="874"/>
        <v>1019</v>
      </c>
      <c r="H761" s="114">
        <f t="shared" ref="H761" si="875">H762+H763</f>
        <v>892</v>
      </c>
      <c r="I761" s="114">
        <f t="shared" si="874"/>
        <v>1184</v>
      </c>
      <c r="J761" s="114">
        <f t="shared" si="874"/>
        <v>1184</v>
      </c>
      <c r="K761" s="208">
        <f t="shared" ref="K761:N761" si="876">K762+K763</f>
        <v>310</v>
      </c>
      <c r="L761" s="102">
        <f t="shared" si="876"/>
        <v>310</v>
      </c>
      <c r="M761" s="102">
        <f t="shared" si="876"/>
        <v>300</v>
      </c>
      <c r="N761" s="102">
        <f t="shared" si="876"/>
        <v>264</v>
      </c>
      <c r="O761" s="30">
        <f t="shared" si="799"/>
        <v>1184</v>
      </c>
      <c r="P761" s="100">
        <f t="shared" si="801"/>
        <v>0</v>
      </c>
      <c r="Q761" s="114">
        <f t="shared" si="874"/>
        <v>1184</v>
      </c>
      <c r="R761" s="114">
        <f t="shared" si="874"/>
        <v>1184</v>
      </c>
      <c r="S761" s="114">
        <f t="shared" si="874"/>
        <v>1184</v>
      </c>
    </row>
    <row r="762" spans="1:19" ht="18" customHeight="1">
      <c r="A762" s="12"/>
      <c r="B762" s="116" t="s">
        <v>176</v>
      </c>
      <c r="C762" s="135" t="s">
        <v>268</v>
      </c>
      <c r="D762" s="46">
        <v>565.94000000000005</v>
      </c>
      <c r="E762" s="30">
        <v>514.16999999999996</v>
      </c>
      <c r="F762" s="46">
        <v>510</v>
      </c>
      <c r="G762" s="30">
        <v>514</v>
      </c>
      <c r="H762" s="30">
        <v>490</v>
      </c>
      <c r="I762" s="30">
        <v>679</v>
      </c>
      <c r="J762" s="30">
        <v>679</v>
      </c>
      <c r="K762" s="64">
        <v>180</v>
      </c>
      <c r="L762" s="30">
        <v>180</v>
      </c>
      <c r="M762" s="30">
        <v>170</v>
      </c>
      <c r="N762" s="30">
        <v>149</v>
      </c>
      <c r="O762" s="30">
        <f t="shared" si="799"/>
        <v>679</v>
      </c>
      <c r="P762" s="100">
        <f t="shared" si="801"/>
        <v>0</v>
      </c>
      <c r="Q762" s="30">
        <v>679</v>
      </c>
      <c r="R762" s="30">
        <v>679</v>
      </c>
      <c r="S762" s="30">
        <v>679</v>
      </c>
    </row>
    <row r="763" spans="1:19" ht="18" customHeight="1">
      <c r="A763" s="12"/>
      <c r="B763" s="116" t="s">
        <v>331</v>
      </c>
      <c r="C763" s="135" t="s">
        <v>278</v>
      </c>
      <c r="D763" s="46">
        <v>958.71</v>
      </c>
      <c r="E763" s="30">
        <v>505.06</v>
      </c>
      <c r="F763" s="46">
        <v>670</v>
      </c>
      <c r="G763" s="30">
        <v>505</v>
      </c>
      <c r="H763" s="30">
        <v>402</v>
      </c>
      <c r="I763" s="30">
        <v>505</v>
      </c>
      <c r="J763" s="30">
        <v>505</v>
      </c>
      <c r="K763" s="64">
        <v>130</v>
      </c>
      <c r="L763" s="30">
        <v>130</v>
      </c>
      <c r="M763" s="30">
        <v>130</v>
      </c>
      <c r="N763" s="30">
        <v>115</v>
      </c>
      <c r="O763" s="30">
        <f t="shared" si="799"/>
        <v>505</v>
      </c>
      <c r="P763" s="100">
        <f t="shared" si="801"/>
        <v>0</v>
      </c>
      <c r="Q763" s="30">
        <v>505</v>
      </c>
      <c r="R763" s="30">
        <v>505</v>
      </c>
      <c r="S763" s="30">
        <v>505</v>
      </c>
    </row>
    <row r="764" spans="1:19" ht="21" customHeight="1">
      <c r="A764" s="12"/>
      <c r="B764" s="116" t="s">
        <v>332</v>
      </c>
      <c r="C764" s="135" t="s">
        <v>618</v>
      </c>
      <c r="D764" s="46">
        <v>211.74</v>
      </c>
      <c r="E764" s="30">
        <v>39.6</v>
      </c>
      <c r="F764" s="46">
        <v>300</v>
      </c>
      <c r="G764" s="30">
        <v>39</v>
      </c>
      <c r="H764" s="30">
        <v>39</v>
      </c>
      <c r="I764" s="30">
        <v>0</v>
      </c>
      <c r="J764" s="30">
        <v>0</v>
      </c>
      <c r="K764" s="64">
        <v>0</v>
      </c>
      <c r="L764" s="30">
        <v>0</v>
      </c>
      <c r="M764" s="30">
        <v>0</v>
      </c>
      <c r="N764" s="30">
        <v>0</v>
      </c>
      <c r="O764" s="30">
        <f t="shared" si="799"/>
        <v>0</v>
      </c>
      <c r="P764" s="100">
        <f t="shared" si="801"/>
        <v>0</v>
      </c>
      <c r="Q764" s="30">
        <v>0</v>
      </c>
      <c r="R764" s="30">
        <v>0</v>
      </c>
      <c r="S764" s="30">
        <v>0</v>
      </c>
    </row>
    <row r="765" spans="1:19" ht="27.75" hidden="1" customHeight="1">
      <c r="A765" s="12"/>
      <c r="B765" s="35" t="s">
        <v>163</v>
      </c>
      <c r="C765" s="135" t="s">
        <v>251</v>
      </c>
      <c r="D765" s="46">
        <v>-432.67</v>
      </c>
      <c r="E765" s="30">
        <v>-1090.33</v>
      </c>
      <c r="F765" s="46"/>
      <c r="G765" s="30">
        <v>-1090</v>
      </c>
      <c r="H765" s="30">
        <v>-1179</v>
      </c>
      <c r="I765" s="30"/>
      <c r="J765" s="30"/>
      <c r="K765" s="64"/>
      <c r="L765" s="30"/>
      <c r="M765" s="30"/>
      <c r="N765" s="30"/>
      <c r="O765" s="30">
        <f t="shared" si="799"/>
        <v>0</v>
      </c>
      <c r="P765" s="100">
        <f t="shared" si="801"/>
        <v>0</v>
      </c>
      <c r="Q765" s="30"/>
      <c r="R765" s="30"/>
      <c r="S765" s="30"/>
    </row>
    <row r="766" spans="1:19" ht="17.25" customHeight="1">
      <c r="A766" s="191" t="s">
        <v>468</v>
      </c>
      <c r="B766" s="129" t="s">
        <v>333</v>
      </c>
      <c r="C766" s="37" t="s">
        <v>330</v>
      </c>
      <c r="D766" s="138">
        <f t="shared" ref="D766:S766" si="877">D767+D768</f>
        <v>736</v>
      </c>
      <c r="E766" s="138">
        <f t="shared" si="877"/>
        <v>1598</v>
      </c>
      <c r="F766" s="138">
        <f t="shared" si="877"/>
        <v>1610</v>
      </c>
      <c r="G766" s="138">
        <f t="shared" si="877"/>
        <v>1598</v>
      </c>
      <c r="H766" s="138">
        <f t="shared" ref="H766" si="878">H767+H768</f>
        <v>1011</v>
      </c>
      <c r="I766" s="138">
        <f t="shared" si="877"/>
        <v>1450</v>
      </c>
      <c r="J766" s="138">
        <f t="shared" si="877"/>
        <v>1450</v>
      </c>
      <c r="K766" s="206">
        <f t="shared" ref="K766:N766" si="879">K767+K768</f>
        <v>550</v>
      </c>
      <c r="L766" s="138">
        <f t="shared" si="879"/>
        <v>450</v>
      </c>
      <c r="M766" s="138">
        <f t="shared" si="879"/>
        <v>450</v>
      </c>
      <c r="N766" s="138">
        <f t="shared" si="879"/>
        <v>0</v>
      </c>
      <c r="O766" s="30">
        <f t="shared" si="799"/>
        <v>1450</v>
      </c>
      <c r="P766" s="100">
        <f t="shared" si="801"/>
        <v>0</v>
      </c>
      <c r="Q766" s="138">
        <f t="shared" si="877"/>
        <v>1450</v>
      </c>
      <c r="R766" s="138">
        <f t="shared" si="877"/>
        <v>1450</v>
      </c>
      <c r="S766" s="138">
        <f t="shared" si="877"/>
        <v>1450</v>
      </c>
    </row>
    <row r="767" spans="1:19" ht="12" hidden="1" customHeight="1">
      <c r="A767" s="12"/>
      <c r="B767" s="116" t="s">
        <v>334</v>
      </c>
      <c r="C767" s="135">
        <v>20</v>
      </c>
      <c r="D767" s="46"/>
      <c r="E767" s="30"/>
      <c r="F767" s="46"/>
      <c r="G767" s="30"/>
      <c r="H767" s="30"/>
      <c r="I767" s="30"/>
      <c r="J767" s="30"/>
      <c r="K767" s="64"/>
      <c r="L767" s="30"/>
      <c r="M767" s="30"/>
      <c r="N767" s="30"/>
      <c r="O767" s="30">
        <f t="shared" si="799"/>
        <v>0</v>
      </c>
      <c r="P767" s="100">
        <f t="shared" si="801"/>
        <v>0</v>
      </c>
      <c r="Q767" s="30"/>
      <c r="R767" s="30"/>
      <c r="S767" s="30"/>
    </row>
    <row r="768" spans="1:19" ht="15.75" customHeight="1">
      <c r="A768" s="12"/>
      <c r="B768" s="116" t="s">
        <v>335</v>
      </c>
      <c r="C768" s="37">
        <v>57.02</v>
      </c>
      <c r="D768" s="102">
        <f t="shared" ref="D768:S768" si="880">D769+D770</f>
        <v>736</v>
      </c>
      <c r="E768" s="102">
        <f t="shared" si="880"/>
        <v>1598</v>
      </c>
      <c r="F768" s="102">
        <f t="shared" si="880"/>
        <v>1610</v>
      </c>
      <c r="G768" s="102">
        <f t="shared" si="880"/>
        <v>1598</v>
      </c>
      <c r="H768" s="102">
        <f t="shared" ref="H768" si="881">H769+H770</f>
        <v>1011</v>
      </c>
      <c r="I768" s="102">
        <f t="shared" si="880"/>
        <v>1450</v>
      </c>
      <c r="J768" s="102">
        <f t="shared" si="880"/>
        <v>1450</v>
      </c>
      <c r="K768" s="208">
        <f t="shared" ref="K768:N768" si="882">K769+K770</f>
        <v>550</v>
      </c>
      <c r="L768" s="102">
        <f t="shared" si="882"/>
        <v>450</v>
      </c>
      <c r="M768" s="102">
        <f t="shared" si="882"/>
        <v>450</v>
      </c>
      <c r="N768" s="102">
        <f t="shared" si="882"/>
        <v>0</v>
      </c>
      <c r="O768" s="30">
        <f t="shared" si="799"/>
        <v>1450</v>
      </c>
      <c r="P768" s="100">
        <f t="shared" si="801"/>
        <v>0</v>
      </c>
      <c r="Q768" s="102">
        <f t="shared" si="880"/>
        <v>1450</v>
      </c>
      <c r="R768" s="102">
        <f t="shared" si="880"/>
        <v>1450</v>
      </c>
      <c r="S768" s="102">
        <f t="shared" si="880"/>
        <v>1450</v>
      </c>
    </row>
    <row r="769" spans="1:19" ht="19.5" customHeight="1">
      <c r="A769" s="12"/>
      <c r="B769" s="116" t="s">
        <v>176</v>
      </c>
      <c r="C769" s="135" t="s">
        <v>268</v>
      </c>
      <c r="D769" s="46">
        <v>110</v>
      </c>
      <c r="E769" s="30">
        <v>109</v>
      </c>
      <c r="F769" s="46">
        <v>121</v>
      </c>
      <c r="G769" s="30">
        <v>109</v>
      </c>
      <c r="H769" s="30">
        <v>98</v>
      </c>
      <c r="I769" s="30">
        <v>150</v>
      </c>
      <c r="J769" s="30">
        <v>150</v>
      </c>
      <c r="K769" s="64">
        <v>50</v>
      </c>
      <c r="L769" s="30">
        <v>50</v>
      </c>
      <c r="M769" s="30">
        <v>50</v>
      </c>
      <c r="N769" s="30"/>
      <c r="O769" s="30">
        <f t="shared" si="799"/>
        <v>150</v>
      </c>
      <c r="P769" s="100">
        <f t="shared" si="801"/>
        <v>0</v>
      </c>
      <c r="Q769" s="30">
        <v>150</v>
      </c>
      <c r="R769" s="30">
        <v>150</v>
      </c>
      <c r="S769" s="30">
        <v>150</v>
      </c>
    </row>
    <row r="770" spans="1:19" ht="17.25" customHeight="1">
      <c r="A770" s="12"/>
      <c r="B770" s="116" t="s">
        <v>336</v>
      </c>
      <c r="C770" s="135" t="s">
        <v>278</v>
      </c>
      <c r="D770" s="46">
        <v>626</v>
      </c>
      <c r="E770" s="30">
        <v>1489</v>
      </c>
      <c r="F770" s="46">
        <v>1489</v>
      </c>
      <c r="G770" s="30">
        <v>1489</v>
      </c>
      <c r="H770" s="30">
        <v>913</v>
      </c>
      <c r="I770" s="30">
        <v>1300</v>
      </c>
      <c r="J770" s="30">
        <v>1300</v>
      </c>
      <c r="K770" s="64">
        <v>500</v>
      </c>
      <c r="L770" s="30">
        <v>400</v>
      </c>
      <c r="M770" s="30">
        <v>400</v>
      </c>
      <c r="N770" s="30"/>
      <c r="O770" s="30">
        <f t="shared" si="799"/>
        <v>1300</v>
      </c>
      <c r="P770" s="100">
        <f t="shared" si="801"/>
        <v>0</v>
      </c>
      <c r="Q770" s="30">
        <v>1300</v>
      </c>
      <c r="R770" s="30">
        <v>1300</v>
      </c>
      <c r="S770" s="30">
        <v>1300</v>
      </c>
    </row>
    <row r="771" spans="1:19" ht="12.75" customHeight="1">
      <c r="A771" s="12"/>
      <c r="B771" s="129" t="s">
        <v>164</v>
      </c>
      <c r="C771" s="135"/>
      <c r="D771" s="138">
        <f t="shared" ref="D771:S771" si="883">D772+D776+D777</f>
        <v>5708.5800000000008</v>
      </c>
      <c r="E771" s="138">
        <f t="shared" si="883"/>
        <v>20460.8</v>
      </c>
      <c r="F771" s="138">
        <f t="shared" si="883"/>
        <v>20297</v>
      </c>
      <c r="G771" s="138">
        <f t="shared" si="883"/>
        <v>20461</v>
      </c>
      <c r="H771" s="138">
        <f t="shared" ref="H771" si="884">H772+H776+H777</f>
        <v>5577.7500000000009</v>
      </c>
      <c r="I771" s="138">
        <f t="shared" si="883"/>
        <v>32150</v>
      </c>
      <c r="J771" s="138">
        <f t="shared" si="883"/>
        <v>29089</v>
      </c>
      <c r="K771" s="206">
        <f t="shared" ref="K771:N771" si="885">K772+K776+K777</f>
        <v>8052</v>
      </c>
      <c r="L771" s="138">
        <f t="shared" si="885"/>
        <v>9269</v>
      </c>
      <c r="M771" s="138">
        <f t="shared" si="885"/>
        <v>8578</v>
      </c>
      <c r="N771" s="138">
        <f t="shared" si="885"/>
        <v>3190</v>
      </c>
      <c r="O771" s="30">
        <f t="shared" si="799"/>
        <v>29089</v>
      </c>
      <c r="P771" s="100">
        <f t="shared" si="801"/>
        <v>0</v>
      </c>
      <c r="Q771" s="138">
        <f t="shared" si="883"/>
        <v>7566</v>
      </c>
      <c r="R771" s="138">
        <f t="shared" si="883"/>
        <v>0</v>
      </c>
      <c r="S771" s="138">
        <f t="shared" si="883"/>
        <v>0</v>
      </c>
    </row>
    <row r="772" spans="1:19" ht="15" customHeight="1">
      <c r="A772" s="12"/>
      <c r="B772" s="116" t="s">
        <v>173</v>
      </c>
      <c r="C772" s="37">
        <v>58</v>
      </c>
      <c r="D772" s="114">
        <f t="shared" ref="D772:S772" si="886">D783+D789+D795+D800+D805+D810+D815+D821+D827+D833</f>
        <v>5658.6800000000012</v>
      </c>
      <c r="E772" s="114">
        <f t="shared" si="886"/>
        <v>20297</v>
      </c>
      <c r="F772" s="114">
        <f t="shared" si="886"/>
        <v>20297</v>
      </c>
      <c r="G772" s="114">
        <f t="shared" si="886"/>
        <v>20297</v>
      </c>
      <c r="H772" s="114">
        <f t="shared" ref="H772" si="887">H783+H789+H795+H800+H805+H810+H815+H821+H827+H833</f>
        <v>5435.7500000000009</v>
      </c>
      <c r="I772" s="114">
        <f t="shared" si="886"/>
        <v>31255</v>
      </c>
      <c r="J772" s="114">
        <f t="shared" si="886"/>
        <v>28871</v>
      </c>
      <c r="K772" s="202">
        <f t="shared" ref="K772:N772" si="888">K783+K789+K795+K800+K805+K810+K815+K821+K827+K833</f>
        <v>8052</v>
      </c>
      <c r="L772" s="114">
        <f t="shared" si="888"/>
        <v>9051</v>
      </c>
      <c r="M772" s="114">
        <f t="shared" si="888"/>
        <v>8578</v>
      </c>
      <c r="N772" s="114">
        <f t="shared" si="888"/>
        <v>3190</v>
      </c>
      <c r="O772" s="30">
        <f t="shared" si="799"/>
        <v>28871</v>
      </c>
      <c r="P772" s="100">
        <f t="shared" si="801"/>
        <v>0</v>
      </c>
      <c r="Q772" s="114">
        <f t="shared" si="886"/>
        <v>7566</v>
      </c>
      <c r="R772" s="114">
        <f t="shared" si="886"/>
        <v>0</v>
      </c>
      <c r="S772" s="114">
        <f t="shared" si="886"/>
        <v>0</v>
      </c>
    </row>
    <row r="773" spans="1:19" ht="0.75" customHeight="1">
      <c r="A773" s="12"/>
      <c r="B773" s="116" t="s">
        <v>337</v>
      </c>
      <c r="C773" s="135" t="s">
        <v>205</v>
      </c>
      <c r="D773" s="46"/>
      <c r="E773" s="30"/>
      <c r="F773" s="46"/>
      <c r="G773" s="30"/>
      <c r="H773" s="30"/>
      <c r="I773" s="30"/>
      <c r="J773" s="30"/>
      <c r="K773" s="64"/>
      <c r="L773" s="30"/>
      <c r="M773" s="30"/>
      <c r="N773" s="30"/>
      <c r="O773" s="30">
        <f t="shared" si="799"/>
        <v>0</v>
      </c>
      <c r="P773" s="100">
        <f t="shared" si="801"/>
        <v>0</v>
      </c>
      <c r="Q773" s="30"/>
      <c r="R773" s="30"/>
      <c r="S773" s="30"/>
    </row>
    <row r="774" spans="1:19" ht="14.25" hidden="1" customHeight="1">
      <c r="A774" s="12"/>
      <c r="B774" s="116" t="s">
        <v>206</v>
      </c>
      <c r="C774" s="135" t="s">
        <v>207</v>
      </c>
      <c r="D774" s="46"/>
      <c r="E774" s="30"/>
      <c r="F774" s="46"/>
      <c r="G774" s="30"/>
      <c r="H774" s="30"/>
      <c r="I774" s="30"/>
      <c r="J774" s="30"/>
      <c r="K774" s="64"/>
      <c r="L774" s="30"/>
      <c r="M774" s="30"/>
      <c r="N774" s="30"/>
      <c r="O774" s="30">
        <f t="shared" si="799"/>
        <v>0</v>
      </c>
      <c r="P774" s="100">
        <f t="shared" si="801"/>
        <v>0</v>
      </c>
      <c r="Q774" s="30"/>
      <c r="R774" s="30"/>
      <c r="S774" s="30"/>
    </row>
    <row r="775" spans="1:19" ht="18" hidden="1" customHeight="1">
      <c r="A775" s="12"/>
      <c r="B775" s="116" t="s">
        <v>209</v>
      </c>
      <c r="C775" s="135" t="s">
        <v>208</v>
      </c>
      <c r="D775" s="46"/>
      <c r="E775" s="30"/>
      <c r="F775" s="46"/>
      <c r="G775" s="30"/>
      <c r="H775" s="30"/>
      <c r="I775" s="30"/>
      <c r="J775" s="30"/>
      <c r="K775" s="64"/>
      <c r="L775" s="30"/>
      <c r="M775" s="30"/>
      <c r="N775" s="30"/>
      <c r="O775" s="30">
        <f t="shared" si="799"/>
        <v>0</v>
      </c>
      <c r="P775" s="100">
        <f t="shared" si="801"/>
        <v>0</v>
      </c>
      <c r="Q775" s="30"/>
      <c r="R775" s="30"/>
      <c r="S775" s="30"/>
    </row>
    <row r="776" spans="1:19" ht="14.25" hidden="1" customHeight="1">
      <c r="A776" s="12"/>
      <c r="B776" s="116" t="s">
        <v>173</v>
      </c>
      <c r="C776" s="37" t="s">
        <v>338</v>
      </c>
      <c r="D776" s="46"/>
      <c r="E776" s="30"/>
      <c r="F776" s="46"/>
      <c r="G776" s="30"/>
      <c r="H776" s="30"/>
      <c r="I776" s="30"/>
      <c r="J776" s="30"/>
      <c r="K776" s="64"/>
      <c r="L776" s="30"/>
      <c r="M776" s="30"/>
      <c r="N776" s="30"/>
      <c r="O776" s="30">
        <f t="shared" si="799"/>
        <v>0</v>
      </c>
      <c r="P776" s="100">
        <f t="shared" si="801"/>
        <v>0</v>
      </c>
      <c r="Q776" s="30"/>
      <c r="R776" s="30"/>
      <c r="S776" s="30"/>
    </row>
    <row r="777" spans="1:19" ht="15" customHeight="1">
      <c r="A777" s="12"/>
      <c r="B777" s="116" t="s">
        <v>193</v>
      </c>
      <c r="C777" s="37">
        <v>70</v>
      </c>
      <c r="D777" s="46">
        <v>49.9</v>
      </c>
      <c r="E777" s="30">
        <v>163.80000000000001</v>
      </c>
      <c r="F777" s="46">
        <v>0</v>
      </c>
      <c r="G777" s="30">
        <v>164</v>
      </c>
      <c r="H777" s="30">
        <v>142</v>
      </c>
      <c r="I777" s="30">
        <v>895</v>
      </c>
      <c r="J777" s="30">
        <f>208+10</f>
        <v>218</v>
      </c>
      <c r="K777" s="64"/>
      <c r="L777" s="30">
        <v>218</v>
      </c>
      <c r="M777" s="30"/>
      <c r="N777" s="30"/>
      <c r="O777" s="30">
        <f t="shared" si="799"/>
        <v>218</v>
      </c>
      <c r="P777" s="100">
        <f t="shared" si="801"/>
        <v>0</v>
      </c>
      <c r="Q777" s="30">
        <v>0</v>
      </c>
      <c r="R777" s="30">
        <v>0</v>
      </c>
      <c r="S777" s="30">
        <v>0</v>
      </c>
    </row>
    <row r="778" spans="1:19" ht="0.75" customHeight="1">
      <c r="A778" s="12"/>
      <c r="B778" s="116" t="s">
        <v>194</v>
      </c>
      <c r="C778" s="135" t="s">
        <v>195</v>
      </c>
      <c r="D778" s="46"/>
      <c r="E778" s="30"/>
      <c r="F778" s="46"/>
      <c r="G778" s="30"/>
      <c r="H778" s="30"/>
      <c r="I778" s="30"/>
      <c r="J778" s="30"/>
      <c r="K778" s="64"/>
      <c r="L778" s="30"/>
      <c r="M778" s="30"/>
      <c r="N778" s="30"/>
      <c r="O778" s="30">
        <f t="shared" si="799"/>
        <v>0</v>
      </c>
      <c r="P778" s="100">
        <f t="shared" si="801"/>
        <v>0</v>
      </c>
      <c r="Q778" s="30"/>
      <c r="R778" s="30"/>
      <c r="S778" s="30"/>
    </row>
    <row r="779" spans="1:19" ht="21" hidden="1" customHeight="1">
      <c r="A779" s="12"/>
      <c r="B779" s="116" t="s">
        <v>245</v>
      </c>
      <c r="C779" s="135" t="s">
        <v>197</v>
      </c>
      <c r="D779" s="46"/>
      <c r="E779" s="30"/>
      <c r="F779" s="46"/>
      <c r="G779" s="30"/>
      <c r="H779" s="30"/>
      <c r="I779" s="30"/>
      <c r="J779" s="30"/>
      <c r="K779" s="64"/>
      <c r="L779" s="30"/>
      <c r="M779" s="30"/>
      <c r="N779" s="30"/>
      <c r="O779" s="30">
        <f t="shared" si="799"/>
        <v>0</v>
      </c>
      <c r="P779" s="100">
        <f t="shared" si="801"/>
        <v>0</v>
      </c>
      <c r="Q779" s="30"/>
      <c r="R779" s="30"/>
      <c r="S779" s="30"/>
    </row>
    <row r="780" spans="1:19" ht="21" hidden="1" customHeight="1">
      <c r="A780" s="12"/>
      <c r="B780" s="116" t="s">
        <v>339</v>
      </c>
      <c r="C780" s="135" t="s">
        <v>199</v>
      </c>
      <c r="D780" s="46"/>
      <c r="E780" s="30"/>
      <c r="F780" s="46"/>
      <c r="G780" s="30"/>
      <c r="H780" s="30"/>
      <c r="I780" s="30"/>
      <c r="J780" s="30"/>
      <c r="K780" s="64"/>
      <c r="L780" s="30"/>
      <c r="M780" s="30"/>
      <c r="N780" s="30"/>
      <c r="O780" s="30">
        <f t="shared" ref="O780:O840" si="889">K780+L780+M780+N780</f>
        <v>0</v>
      </c>
      <c r="P780" s="100">
        <f t="shared" si="801"/>
        <v>0</v>
      </c>
      <c r="Q780" s="30"/>
      <c r="R780" s="30"/>
      <c r="S780" s="30"/>
    </row>
    <row r="781" spans="1:19" ht="21" hidden="1" customHeight="1">
      <c r="A781" s="12"/>
      <c r="B781" s="116" t="s">
        <v>200</v>
      </c>
      <c r="C781" s="135" t="s">
        <v>201</v>
      </c>
      <c r="D781" s="46"/>
      <c r="E781" s="30"/>
      <c r="F781" s="46"/>
      <c r="G781" s="30"/>
      <c r="H781" s="30"/>
      <c r="I781" s="30"/>
      <c r="J781" s="30"/>
      <c r="K781" s="64"/>
      <c r="L781" s="30"/>
      <c r="M781" s="30"/>
      <c r="N781" s="30"/>
      <c r="O781" s="30">
        <f t="shared" si="889"/>
        <v>0</v>
      </c>
      <c r="P781" s="100">
        <f t="shared" ref="P781:P840" si="890">J781-O781</f>
        <v>0</v>
      </c>
      <c r="Q781" s="30"/>
      <c r="R781" s="30"/>
      <c r="S781" s="30"/>
    </row>
    <row r="782" spans="1:19" ht="21" hidden="1" customHeight="1">
      <c r="A782" s="12"/>
      <c r="B782" s="116" t="s">
        <v>202</v>
      </c>
      <c r="C782" s="135">
        <v>71.03</v>
      </c>
      <c r="D782" s="46"/>
      <c r="E782" s="30"/>
      <c r="F782" s="46"/>
      <c r="G782" s="30"/>
      <c r="H782" s="30"/>
      <c r="I782" s="30"/>
      <c r="J782" s="30"/>
      <c r="K782" s="64"/>
      <c r="L782" s="30"/>
      <c r="M782" s="30"/>
      <c r="N782" s="30"/>
      <c r="O782" s="30">
        <f t="shared" si="889"/>
        <v>0</v>
      </c>
      <c r="P782" s="100">
        <f t="shared" si="890"/>
        <v>0</v>
      </c>
      <c r="Q782" s="30"/>
      <c r="R782" s="30"/>
      <c r="S782" s="30"/>
    </row>
    <row r="783" spans="1:19" ht="30" customHeight="1">
      <c r="A783" s="12"/>
      <c r="B783" s="247" t="s">
        <v>501</v>
      </c>
      <c r="C783" s="248" t="s">
        <v>330</v>
      </c>
      <c r="D783" s="149">
        <f t="shared" ref="D783:S784" si="891">D784</f>
        <v>945.70999999999992</v>
      </c>
      <c r="E783" s="149">
        <f t="shared" si="891"/>
        <v>2193</v>
      </c>
      <c r="F783" s="149">
        <f t="shared" si="891"/>
        <v>2193</v>
      </c>
      <c r="G783" s="149">
        <f t="shared" si="891"/>
        <v>2193</v>
      </c>
      <c r="H783" s="149">
        <f t="shared" si="891"/>
        <v>1344.22</v>
      </c>
      <c r="I783" s="149">
        <f t="shared" si="891"/>
        <v>2990</v>
      </c>
      <c r="J783" s="149">
        <f t="shared" si="891"/>
        <v>2990</v>
      </c>
      <c r="K783" s="212">
        <f t="shared" si="891"/>
        <v>747</v>
      </c>
      <c r="L783" s="149">
        <f t="shared" si="891"/>
        <v>749</v>
      </c>
      <c r="M783" s="149">
        <f t="shared" si="891"/>
        <v>749</v>
      </c>
      <c r="N783" s="149">
        <f t="shared" si="891"/>
        <v>745</v>
      </c>
      <c r="O783" s="30">
        <f t="shared" si="889"/>
        <v>2990</v>
      </c>
      <c r="P783" s="100">
        <f t="shared" si="890"/>
        <v>0</v>
      </c>
      <c r="Q783" s="149">
        <f t="shared" si="891"/>
        <v>3555</v>
      </c>
      <c r="R783" s="149">
        <f t="shared" si="891"/>
        <v>0</v>
      </c>
      <c r="S783" s="149">
        <f t="shared" si="891"/>
        <v>0</v>
      </c>
    </row>
    <row r="784" spans="1:19" ht="21" customHeight="1">
      <c r="A784" s="12"/>
      <c r="B784" s="116" t="s">
        <v>164</v>
      </c>
      <c r="C784" s="246"/>
      <c r="D784" s="114">
        <f t="shared" si="891"/>
        <v>945.70999999999992</v>
      </c>
      <c r="E784" s="114">
        <f t="shared" si="891"/>
        <v>2193</v>
      </c>
      <c r="F784" s="114">
        <f t="shared" si="891"/>
        <v>2193</v>
      </c>
      <c r="G784" s="114">
        <f t="shared" si="891"/>
        <v>2193</v>
      </c>
      <c r="H784" s="114">
        <f t="shared" si="891"/>
        <v>1344.22</v>
      </c>
      <c r="I784" s="114">
        <f t="shared" si="891"/>
        <v>2990</v>
      </c>
      <c r="J784" s="114">
        <f t="shared" si="891"/>
        <v>2990</v>
      </c>
      <c r="K784" s="202">
        <f t="shared" si="891"/>
        <v>747</v>
      </c>
      <c r="L784" s="114">
        <f t="shared" si="891"/>
        <v>749</v>
      </c>
      <c r="M784" s="114">
        <f t="shared" si="891"/>
        <v>749</v>
      </c>
      <c r="N784" s="114">
        <f t="shared" si="891"/>
        <v>745</v>
      </c>
      <c r="O784" s="30">
        <f t="shared" si="889"/>
        <v>2990</v>
      </c>
      <c r="P784" s="100">
        <f t="shared" si="890"/>
        <v>0</v>
      </c>
      <c r="Q784" s="114">
        <f t="shared" si="891"/>
        <v>3555</v>
      </c>
      <c r="R784" s="114">
        <f t="shared" si="891"/>
        <v>0</v>
      </c>
      <c r="S784" s="114">
        <f t="shared" si="891"/>
        <v>0</v>
      </c>
    </row>
    <row r="785" spans="1:19" ht="25.5" customHeight="1">
      <c r="A785" s="12"/>
      <c r="B785" s="35" t="s">
        <v>442</v>
      </c>
      <c r="C785" s="135">
        <v>58</v>
      </c>
      <c r="D785" s="114">
        <f t="shared" ref="D785:S785" si="892">D786+D787+D788</f>
        <v>945.70999999999992</v>
      </c>
      <c r="E785" s="114">
        <f t="shared" si="892"/>
        <v>2193</v>
      </c>
      <c r="F785" s="114">
        <f t="shared" si="892"/>
        <v>2193</v>
      </c>
      <c r="G785" s="114">
        <f t="shared" si="892"/>
        <v>2193</v>
      </c>
      <c r="H785" s="114">
        <f t="shared" ref="H785" si="893">H786+H787+H788</f>
        <v>1344.22</v>
      </c>
      <c r="I785" s="114">
        <f t="shared" si="892"/>
        <v>2990</v>
      </c>
      <c r="J785" s="114">
        <f t="shared" si="892"/>
        <v>2990</v>
      </c>
      <c r="K785" s="202">
        <f t="shared" ref="K785:N785" si="894">K786+K787+K788</f>
        <v>747</v>
      </c>
      <c r="L785" s="114">
        <f t="shared" si="894"/>
        <v>749</v>
      </c>
      <c r="M785" s="114">
        <f t="shared" si="894"/>
        <v>749</v>
      </c>
      <c r="N785" s="114">
        <f t="shared" si="894"/>
        <v>745</v>
      </c>
      <c r="O785" s="30">
        <f t="shared" si="889"/>
        <v>2990</v>
      </c>
      <c r="P785" s="100">
        <f t="shared" si="890"/>
        <v>0</v>
      </c>
      <c r="Q785" s="114">
        <f t="shared" si="892"/>
        <v>3555</v>
      </c>
      <c r="R785" s="114">
        <f t="shared" si="892"/>
        <v>0</v>
      </c>
      <c r="S785" s="114">
        <f t="shared" si="892"/>
        <v>0</v>
      </c>
    </row>
    <row r="786" spans="1:19" ht="15" customHeight="1">
      <c r="A786" s="12"/>
      <c r="B786" s="116" t="s">
        <v>472</v>
      </c>
      <c r="C786" s="135" t="s">
        <v>484</v>
      </c>
      <c r="D786" s="46">
        <v>147.15</v>
      </c>
      <c r="E786" s="30">
        <v>341</v>
      </c>
      <c r="F786" s="46">
        <v>341</v>
      </c>
      <c r="G786" s="30">
        <v>341</v>
      </c>
      <c r="H786" s="30">
        <v>209.16</v>
      </c>
      <c r="I786" s="30">
        <v>465</v>
      </c>
      <c r="J786" s="30">
        <v>465</v>
      </c>
      <c r="K786" s="64">
        <v>116</v>
      </c>
      <c r="L786" s="30">
        <v>117</v>
      </c>
      <c r="M786" s="30">
        <v>117</v>
      </c>
      <c r="N786" s="30">
        <v>115</v>
      </c>
      <c r="O786" s="30">
        <f t="shared" si="889"/>
        <v>465</v>
      </c>
      <c r="P786" s="100">
        <f t="shared" si="890"/>
        <v>0</v>
      </c>
      <c r="Q786" s="30">
        <v>553</v>
      </c>
      <c r="R786" s="30">
        <v>0</v>
      </c>
      <c r="S786" s="30">
        <v>0</v>
      </c>
    </row>
    <row r="787" spans="1:19" ht="17.25" customHeight="1">
      <c r="A787" s="12"/>
      <c r="B787" s="116" t="s">
        <v>474</v>
      </c>
      <c r="C787" s="135" t="s">
        <v>485</v>
      </c>
      <c r="D787" s="46">
        <v>798.56</v>
      </c>
      <c r="E787" s="30">
        <v>1852</v>
      </c>
      <c r="F787" s="46">
        <v>1852</v>
      </c>
      <c r="G787" s="30">
        <v>1852</v>
      </c>
      <c r="H787" s="30">
        <v>1135.06</v>
      </c>
      <c r="I787" s="30">
        <v>2525</v>
      </c>
      <c r="J787" s="30">
        <v>2525</v>
      </c>
      <c r="K787" s="64">
        <v>631</v>
      </c>
      <c r="L787" s="30">
        <v>632</v>
      </c>
      <c r="M787" s="30">
        <v>632</v>
      </c>
      <c r="N787" s="30">
        <v>630</v>
      </c>
      <c r="O787" s="30">
        <f t="shared" si="889"/>
        <v>2525</v>
      </c>
      <c r="P787" s="100">
        <f t="shared" si="890"/>
        <v>0</v>
      </c>
      <c r="Q787" s="30">
        <v>3002</v>
      </c>
      <c r="R787" s="30">
        <v>0</v>
      </c>
      <c r="S787" s="30">
        <v>0</v>
      </c>
    </row>
    <row r="788" spans="1:19" ht="17.25" customHeight="1">
      <c r="A788" s="12"/>
      <c r="B788" s="116" t="s">
        <v>475</v>
      </c>
      <c r="C788" s="135" t="s">
        <v>486</v>
      </c>
      <c r="D788" s="46">
        <v>0</v>
      </c>
      <c r="E788" s="30">
        <v>0</v>
      </c>
      <c r="F788" s="46"/>
      <c r="G788" s="30">
        <v>0</v>
      </c>
      <c r="H788" s="30">
        <v>0</v>
      </c>
      <c r="I788" s="30">
        <v>0</v>
      </c>
      <c r="J788" s="30">
        <v>0</v>
      </c>
      <c r="K788" s="64">
        <v>0</v>
      </c>
      <c r="L788" s="30">
        <v>0</v>
      </c>
      <c r="M788" s="30">
        <v>0</v>
      </c>
      <c r="N788" s="30">
        <v>0</v>
      </c>
      <c r="O788" s="30">
        <f t="shared" si="889"/>
        <v>0</v>
      </c>
      <c r="P788" s="100">
        <f t="shared" si="890"/>
        <v>0</v>
      </c>
      <c r="Q788" s="30">
        <v>0</v>
      </c>
      <c r="R788" s="30">
        <v>0</v>
      </c>
      <c r="S788" s="30">
        <v>0</v>
      </c>
    </row>
    <row r="789" spans="1:19" ht="30" hidden="1" customHeight="1">
      <c r="A789" s="12"/>
      <c r="B789" s="247" t="s">
        <v>505</v>
      </c>
      <c r="C789" s="245" t="s">
        <v>330</v>
      </c>
      <c r="D789" s="67">
        <f t="shared" ref="D789:D790" si="895">D790</f>
        <v>0</v>
      </c>
      <c r="E789" s="30"/>
      <c r="F789" s="67">
        <f t="shared" ref="F789:F790" si="896">F790</f>
        <v>0</v>
      </c>
      <c r="G789" s="30"/>
      <c r="H789" s="30"/>
      <c r="I789" s="30"/>
      <c r="J789" s="30"/>
      <c r="K789" s="64"/>
      <c r="L789" s="30"/>
      <c r="M789" s="30"/>
      <c r="N789" s="30"/>
      <c r="O789" s="30">
        <f t="shared" si="889"/>
        <v>0</v>
      </c>
      <c r="P789" s="100">
        <f t="shared" si="890"/>
        <v>0</v>
      </c>
      <c r="Q789" s="30"/>
      <c r="R789" s="30"/>
      <c r="S789" s="30"/>
    </row>
    <row r="790" spans="1:19" ht="21" hidden="1" customHeight="1">
      <c r="A790" s="12"/>
      <c r="B790" s="116" t="s">
        <v>164</v>
      </c>
      <c r="C790" s="246"/>
      <c r="D790" s="114">
        <f t="shared" si="895"/>
        <v>0</v>
      </c>
      <c r="E790" s="30"/>
      <c r="F790" s="114">
        <f t="shared" si="896"/>
        <v>0</v>
      </c>
      <c r="G790" s="30"/>
      <c r="H790" s="30"/>
      <c r="I790" s="30"/>
      <c r="J790" s="30"/>
      <c r="K790" s="64"/>
      <c r="L790" s="30"/>
      <c r="M790" s="30"/>
      <c r="N790" s="30"/>
      <c r="O790" s="30">
        <f t="shared" si="889"/>
        <v>0</v>
      </c>
      <c r="P790" s="100">
        <f t="shared" si="890"/>
        <v>0</v>
      </c>
      <c r="Q790" s="30"/>
      <c r="R790" s="30"/>
      <c r="S790" s="30"/>
    </row>
    <row r="791" spans="1:19" ht="27.75" hidden="1" customHeight="1">
      <c r="A791" s="12"/>
      <c r="B791" s="35" t="s">
        <v>442</v>
      </c>
      <c r="C791" s="135">
        <v>58</v>
      </c>
      <c r="D791" s="114">
        <f t="shared" ref="D791" si="897">D792+D793+D794</f>
        <v>0</v>
      </c>
      <c r="E791" s="30"/>
      <c r="F791" s="114">
        <f t="shared" ref="F791" si="898">F792+F793+F794</f>
        <v>0</v>
      </c>
      <c r="G791" s="30"/>
      <c r="H791" s="30"/>
      <c r="I791" s="30"/>
      <c r="J791" s="30"/>
      <c r="K791" s="64"/>
      <c r="L791" s="30"/>
      <c r="M791" s="30"/>
      <c r="N791" s="30"/>
      <c r="O791" s="30">
        <f t="shared" si="889"/>
        <v>0</v>
      </c>
      <c r="P791" s="100">
        <f t="shared" si="890"/>
        <v>0</v>
      </c>
      <c r="Q791" s="30"/>
      <c r="R791" s="30"/>
      <c r="S791" s="30"/>
    </row>
    <row r="792" spans="1:19" ht="17.25" hidden="1" customHeight="1">
      <c r="A792" s="12"/>
      <c r="B792" s="116" t="s">
        <v>472</v>
      </c>
      <c r="C792" s="135" t="s">
        <v>502</v>
      </c>
      <c r="D792" s="46"/>
      <c r="E792" s="30"/>
      <c r="F792" s="46"/>
      <c r="G792" s="30"/>
      <c r="H792" s="30"/>
      <c r="I792" s="30"/>
      <c r="J792" s="30"/>
      <c r="K792" s="64"/>
      <c r="L792" s="30"/>
      <c r="M792" s="30"/>
      <c r="N792" s="30"/>
      <c r="O792" s="30">
        <f t="shared" si="889"/>
        <v>0</v>
      </c>
      <c r="P792" s="100">
        <f t="shared" si="890"/>
        <v>0</v>
      </c>
      <c r="Q792" s="30"/>
      <c r="R792" s="30"/>
      <c r="S792" s="30"/>
    </row>
    <row r="793" spans="1:19" ht="17.25" hidden="1" customHeight="1">
      <c r="A793" s="12"/>
      <c r="B793" s="116" t="s">
        <v>474</v>
      </c>
      <c r="C793" s="135" t="s">
        <v>503</v>
      </c>
      <c r="D793" s="46"/>
      <c r="E793" s="30"/>
      <c r="F793" s="46"/>
      <c r="G793" s="30"/>
      <c r="H793" s="30"/>
      <c r="I793" s="30"/>
      <c r="J793" s="30"/>
      <c r="K793" s="64"/>
      <c r="L793" s="30"/>
      <c r="M793" s="30"/>
      <c r="N793" s="30"/>
      <c r="O793" s="30">
        <f t="shared" si="889"/>
        <v>0</v>
      </c>
      <c r="P793" s="100">
        <f t="shared" si="890"/>
        <v>0</v>
      </c>
      <c r="Q793" s="30"/>
      <c r="R793" s="30"/>
      <c r="S793" s="30"/>
    </row>
    <row r="794" spans="1:19" ht="17.25" hidden="1" customHeight="1">
      <c r="A794" s="12"/>
      <c r="B794" s="116" t="s">
        <v>475</v>
      </c>
      <c r="C794" s="135" t="s">
        <v>504</v>
      </c>
      <c r="D794" s="46"/>
      <c r="E794" s="30"/>
      <c r="F794" s="46"/>
      <c r="G794" s="30"/>
      <c r="H794" s="30"/>
      <c r="I794" s="30"/>
      <c r="J794" s="30"/>
      <c r="K794" s="64"/>
      <c r="L794" s="30"/>
      <c r="M794" s="30"/>
      <c r="N794" s="30"/>
      <c r="O794" s="30">
        <f t="shared" si="889"/>
        <v>0</v>
      </c>
      <c r="P794" s="100">
        <f t="shared" si="890"/>
        <v>0</v>
      </c>
      <c r="Q794" s="30"/>
      <c r="R794" s="30"/>
      <c r="S794" s="30"/>
    </row>
    <row r="795" spans="1:19" ht="32.25" customHeight="1">
      <c r="A795" s="12"/>
      <c r="B795" s="247" t="s">
        <v>519</v>
      </c>
      <c r="C795" s="248"/>
      <c r="D795" s="149">
        <f t="shared" ref="D795:S795" si="899">D796</f>
        <v>1685.7700000000002</v>
      </c>
      <c r="E795" s="149">
        <f t="shared" si="899"/>
        <v>3003</v>
      </c>
      <c r="F795" s="149">
        <f t="shared" si="899"/>
        <v>3003</v>
      </c>
      <c r="G795" s="149">
        <f t="shared" si="899"/>
        <v>3003</v>
      </c>
      <c r="H795" s="149">
        <f t="shared" si="899"/>
        <v>2278</v>
      </c>
      <c r="I795" s="149">
        <f t="shared" si="899"/>
        <v>148</v>
      </c>
      <c r="J795" s="149">
        <f t="shared" si="899"/>
        <v>128</v>
      </c>
      <c r="K795" s="212">
        <f t="shared" si="899"/>
        <v>128</v>
      </c>
      <c r="L795" s="149">
        <f t="shared" si="899"/>
        <v>0</v>
      </c>
      <c r="M795" s="149">
        <f t="shared" si="899"/>
        <v>0</v>
      </c>
      <c r="N795" s="149">
        <f t="shared" si="899"/>
        <v>0</v>
      </c>
      <c r="O795" s="30">
        <f t="shared" si="889"/>
        <v>128</v>
      </c>
      <c r="P795" s="100">
        <f t="shared" si="890"/>
        <v>0</v>
      </c>
      <c r="Q795" s="149">
        <f t="shared" si="899"/>
        <v>0</v>
      </c>
      <c r="R795" s="149">
        <f t="shared" si="899"/>
        <v>0</v>
      </c>
      <c r="S795" s="149">
        <f t="shared" si="899"/>
        <v>0</v>
      </c>
    </row>
    <row r="796" spans="1:19" ht="27.75" customHeight="1">
      <c r="A796" s="12"/>
      <c r="B796" s="35" t="s">
        <v>442</v>
      </c>
      <c r="C796" s="135">
        <v>58</v>
      </c>
      <c r="D796" s="114">
        <f t="shared" ref="D796:S796" si="900">D797+D798+D799</f>
        <v>1685.7700000000002</v>
      </c>
      <c r="E796" s="114">
        <f t="shared" si="900"/>
        <v>3003</v>
      </c>
      <c r="F796" s="114">
        <f t="shared" si="900"/>
        <v>3003</v>
      </c>
      <c r="G796" s="114">
        <f t="shared" si="900"/>
        <v>3003</v>
      </c>
      <c r="H796" s="114">
        <f t="shared" ref="H796" si="901">H797+H798+H799</f>
        <v>2278</v>
      </c>
      <c r="I796" s="114">
        <f t="shared" si="900"/>
        <v>148</v>
      </c>
      <c r="J796" s="114">
        <f t="shared" si="900"/>
        <v>128</v>
      </c>
      <c r="K796" s="202">
        <f t="shared" ref="K796:N796" si="902">K797+K798+K799</f>
        <v>128</v>
      </c>
      <c r="L796" s="114">
        <f t="shared" si="902"/>
        <v>0</v>
      </c>
      <c r="M796" s="114">
        <f t="shared" si="902"/>
        <v>0</v>
      </c>
      <c r="N796" s="114">
        <f t="shared" si="902"/>
        <v>0</v>
      </c>
      <c r="O796" s="30">
        <f t="shared" si="889"/>
        <v>128</v>
      </c>
      <c r="P796" s="100">
        <f t="shared" si="890"/>
        <v>0</v>
      </c>
      <c r="Q796" s="114">
        <f t="shared" si="900"/>
        <v>0</v>
      </c>
      <c r="R796" s="114">
        <f t="shared" si="900"/>
        <v>0</v>
      </c>
      <c r="S796" s="114">
        <f t="shared" si="900"/>
        <v>0</v>
      </c>
    </row>
    <row r="797" spans="1:19" ht="17.25" customHeight="1">
      <c r="A797" s="12"/>
      <c r="B797" s="116" t="s">
        <v>472</v>
      </c>
      <c r="C797" s="135" t="s">
        <v>473</v>
      </c>
      <c r="D797" s="46">
        <v>216.87</v>
      </c>
      <c r="E797" s="30">
        <v>230</v>
      </c>
      <c r="F797" s="46">
        <v>230</v>
      </c>
      <c r="G797" s="30">
        <v>230</v>
      </c>
      <c r="H797" s="30">
        <v>230</v>
      </c>
      <c r="I797" s="30">
        <v>1</v>
      </c>
      <c r="J797" s="30">
        <v>1</v>
      </c>
      <c r="K797" s="64">
        <v>1</v>
      </c>
      <c r="L797" s="30"/>
      <c r="M797" s="30"/>
      <c r="N797" s="30"/>
      <c r="O797" s="30">
        <f t="shared" si="889"/>
        <v>1</v>
      </c>
      <c r="P797" s="100">
        <f t="shared" si="890"/>
        <v>0</v>
      </c>
      <c r="Q797" s="30">
        <v>0</v>
      </c>
      <c r="R797" s="30">
        <v>0</v>
      </c>
      <c r="S797" s="30">
        <v>0</v>
      </c>
    </row>
    <row r="798" spans="1:19" ht="15.75" customHeight="1">
      <c r="A798" s="12"/>
      <c r="B798" s="116" t="s">
        <v>474</v>
      </c>
      <c r="C798" s="135" t="s">
        <v>444</v>
      </c>
      <c r="D798" s="46">
        <v>1417.95</v>
      </c>
      <c r="E798" s="30">
        <v>1505</v>
      </c>
      <c r="F798" s="46">
        <v>1505</v>
      </c>
      <c r="G798" s="30">
        <v>1505</v>
      </c>
      <c r="H798" s="30">
        <v>1502</v>
      </c>
      <c r="I798" s="30">
        <v>2</v>
      </c>
      <c r="J798" s="30">
        <f>2+1</f>
        <v>3</v>
      </c>
      <c r="K798" s="64">
        <f>2+1</f>
        <v>3</v>
      </c>
      <c r="L798" s="30"/>
      <c r="M798" s="30"/>
      <c r="N798" s="30"/>
      <c r="O798" s="30">
        <f t="shared" si="889"/>
        <v>3</v>
      </c>
      <c r="P798" s="100">
        <f t="shared" si="890"/>
        <v>0</v>
      </c>
      <c r="Q798" s="30">
        <v>0</v>
      </c>
      <c r="R798" s="30">
        <v>0</v>
      </c>
      <c r="S798" s="30">
        <v>0</v>
      </c>
    </row>
    <row r="799" spans="1:19" ht="15" customHeight="1">
      <c r="A799" s="12"/>
      <c r="B799" s="116" t="s">
        <v>475</v>
      </c>
      <c r="C799" s="135" t="s">
        <v>445</v>
      </c>
      <c r="D799" s="46">
        <v>50.95</v>
      </c>
      <c r="E799" s="30">
        <v>1268</v>
      </c>
      <c r="F799" s="46">
        <v>1268</v>
      </c>
      <c r="G799" s="30">
        <v>1268</v>
      </c>
      <c r="H799" s="30">
        <v>546</v>
      </c>
      <c r="I799" s="30">
        <v>145</v>
      </c>
      <c r="J799" s="30">
        <v>124</v>
      </c>
      <c r="K799" s="64">
        <v>124</v>
      </c>
      <c r="L799" s="30"/>
      <c r="M799" s="30"/>
      <c r="N799" s="30"/>
      <c r="O799" s="30">
        <f t="shared" si="889"/>
        <v>124</v>
      </c>
      <c r="P799" s="100">
        <f t="shared" si="890"/>
        <v>0</v>
      </c>
      <c r="Q799" s="30">
        <v>0</v>
      </c>
      <c r="R799" s="30">
        <v>0</v>
      </c>
      <c r="S799" s="30">
        <v>0</v>
      </c>
    </row>
    <row r="800" spans="1:19" ht="27" customHeight="1">
      <c r="A800" s="12"/>
      <c r="B800" s="247" t="s">
        <v>520</v>
      </c>
      <c r="C800" s="248"/>
      <c r="D800" s="67">
        <f t="shared" ref="D800:S800" si="903">D801</f>
        <v>1865.07</v>
      </c>
      <c r="E800" s="67">
        <f t="shared" si="903"/>
        <v>2233</v>
      </c>
      <c r="F800" s="67">
        <f t="shared" si="903"/>
        <v>2233</v>
      </c>
      <c r="G800" s="67">
        <f t="shared" si="903"/>
        <v>2233</v>
      </c>
      <c r="H800" s="67">
        <f t="shared" si="903"/>
        <v>7.84</v>
      </c>
      <c r="I800" s="67">
        <f t="shared" si="903"/>
        <v>3169</v>
      </c>
      <c r="J800" s="67">
        <f t="shared" si="903"/>
        <v>2382</v>
      </c>
      <c r="K800" s="210">
        <f t="shared" si="903"/>
        <v>795</v>
      </c>
      <c r="L800" s="67">
        <f t="shared" si="903"/>
        <v>1390</v>
      </c>
      <c r="M800" s="67">
        <f t="shared" si="903"/>
        <v>197</v>
      </c>
      <c r="N800" s="67">
        <f t="shared" si="903"/>
        <v>0</v>
      </c>
      <c r="O800" s="30">
        <f t="shared" si="889"/>
        <v>2382</v>
      </c>
      <c r="P800" s="100">
        <f t="shared" si="890"/>
        <v>0</v>
      </c>
      <c r="Q800" s="67">
        <f t="shared" si="903"/>
        <v>1139</v>
      </c>
      <c r="R800" s="67">
        <f t="shared" si="903"/>
        <v>0</v>
      </c>
      <c r="S800" s="67">
        <f t="shared" si="903"/>
        <v>0</v>
      </c>
    </row>
    <row r="801" spans="1:19" ht="27" customHeight="1">
      <c r="A801" s="12"/>
      <c r="B801" s="35" t="s">
        <v>442</v>
      </c>
      <c r="C801" s="135">
        <v>58</v>
      </c>
      <c r="D801" s="114">
        <f t="shared" ref="D801:S801" si="904">D802+D804+D803</f>
        <v>1865.07</v>
      </c>
      <c r="E801" s="114">
        <f t="shared" si="904"/>
        <v>2233</v>
      </c>
      <c r="F801" s="114">
        <f t="shared" si="904"/>
        <v>2233</v>
      </c>
      <c r="G801" s="114">
        <f t="shared" si="904"/>
        <v>2233</v>
      </c>
      <c r="H801" s="114">
        <f t="shared" ref="H801" si="905">H802+H804+H803</f>
        <v>7.84</v>
      </c>
      <c r="I801" s="114">
        <f t="shared" si="904"/>
        <v>3169</v>
      </c>
      <c r="J801" s="114">
        <f t="shared" si="904"/>
        <v>2382</v>
      </c>
      <c r="K801" s="202">
        <f t="shared" ref="K801:N801" si="906">K802+K804+K803</f>
        <v>795</v>
      </c>
      <c r="L801" s="114">
        <f t="shared" si="906"/>
        <v>1390</v>
      </c>
      <c r="M801" s="114">
        <f t="shared" si="906"/>
        <v>197</v>
      </c>
      <c r="N801" s="114">
        <f t="shared" si="906"/>
        <v>0</v>
      </c>
      <c r="O801" s="30">
        <f t="shared" si="889"/>
        <v>2382</v>
      </c>
      <c r="P801" s="100">
        <f t="shared" si="890"/>
        <v>0</v>
      </c>
      <c r="Q801" s="114">
        <f t="shared" si="904"/>
        <v>1139</v>
      </c>
      <c r="R801" s="114">
        <f t="shared" si="904"/>
        <v>0</v>
      </c>
      <c r="S801" s="114">
        <f t="shared" si="904"/>
        <v>0</v>
      </c>
    </row>
    <row r="802" spans="1:19" ht="18" customHeight="1">
      <c r="A802" s="12"/>
      <c r="B802" s="116" t="s">
        <v>472</v>
      </c>
      <c r="C802" s="135" t="s">
        <v>473</v>
      </c>
      <c r="D802" s="46">
        <v>231.45</v>
      </c>
      <c r="E802" s="30">
        <v>290</v>
      </c>
      <c r="F802" s="46">
        <v>290</v>
      </c>
      <c r="G802" s="30">
        <v>290</v>
      </c>
      <c r="H802" s="30">
        <v>0.18</v>
      </c>
      <c r="I802" s="30">
        <v>312</v>
      </c>
      <c r="J802" s="30">
        <v>312</v>
      </c>
      <c r="K802" s="64">
        <v>150</v>
      </c>
      <c r="L802" s="30">
        <v>150</v>
      </c>
      <c r="M802" s="30">
        <v>12</v>
      </c>
      <c r="N802" s="30"/>
      <c r="O802" s="30">
        <f t="shared" si="889"/>
        <v>312</v>
      </c>
      <c r="P802" s="100">
        <f t="shared" si="890"/>
        <v>0</v>
      </c>
      <c r="Q802" s="30">
        <v>0</v>
      </c>
      <c r="R802" s="30">
        <v>0</v>
      </c>
      <c r="S802" s="30">
        <v>0</v>
      </c>
    </row>
    <row r="803" spans="1:19" ht="16.5" customHeight="1">
      <c r="A803" s="12"/>
      <c r="B803" s="116" t="s">
        <v>474</v>
      </c>
      <c r="C803" s="135" t="s">
        <v>444</v>
      </c>
      <c r="D803" s="46">
        <v>1513.3</v>
      </c>
      <c r="E803" s="30">
        <v>1891</v>
      </c>
      <c r="F803" s="46">
        <v>1891</v>
      </c>
      <c r="G803" s="30">
        <v>1891</v>
      </c>
      <c r="H803" s="30">
        <v>1.2</v>
      </c>
      <c r="I803" s="30">
        <v>2045</v>
      </c>
      <c r="J803" s="30">
        <f>2045-1</f>
        <v>2044</v>
      </c>
      <c r="K803" s="64">
        <f>620-1</f>
        <v>619</v>
      </c>
      <c r="L803" s="30">
        <v>1240</v>
      </c>
      <c r="M803" s="30">
        <v>185</v>
      </c>
      <c r="N803" s="30"/>
      <c r="O803" s="30">
        <f t="shared" si="889"/>
        <v>2044</v>
      </c>
      <c r="P803" s="100">
        <f t="shared" si="890"/>
        <v>0</v>
      </c>
      <c r="Q803" s="30">
        <v>0</v>
      </c>
      <c r="R803" s="30">
        <v>0</v>
      </c>
      <c r="S803" s="30">
        <v>0</v>
      </c>
    </row>
    <row r="804" spans="1:19" ht="13.5" customHeight="1">
      <c r="A804" s="12"/>
      <c r="B804" s="116" t="s">
        <v>475</v>
      </c>
      <c r="C804" s="135" t="s">
        <v>445</v>
      </c>
      <c r="D804" s="46">
        <v>120.32</v>
      </c>
      <c r="E804" s="30">
        <v>52</v>
      </c>
      <c r="F804" s="46">
        <v>52</v>
      </c>
      <c r="G804" s="30">
        <v>52</v>
      </c>
      <c r="H804" s="30">
        <v>6.46</v>
      </c>
      <c r="I804" s="30">
        <v>812</v>
      </c>
      <c r="J804" s="30">
        <v>26</v>
      </c>
      <c r="K804" s="64">
        <v>26</v>
      </c>
      <c r="L804" s="30"/>
      <c r="M804" s="30"/>
      <c r="N804" s="30"/>
      <c r="O804" s="30">
        <f t="shared" si="889"/>
        <v>26</v>
      </c>
      <c r="P804" s="100">
        <f t="shared" si="890"/>
        <v>0</v>
      </c>
      <c r="Q804" s="30">
        <v>1139</v>
      </c>
      <c r="R804" s="30">
        <v>0</v>
      </c>
      <c r="S804" s="30">
        <v>0</v>
      </c>
    </row>
    <row r="805" spans="1:19" ht="32.25" customHeight="1">
      <c r="A805" s="12"/>
      <c r="B805" s="247" t="s">
        <v>521</v>
      </c>
      <c r="C805" s="248"/>
      <c r="D805" s="67">
        <f t="shared" ref="D805:S805" si="907">D806</f>
        <v>2.8</v>
      </c>
      <c r="E805" s="67">
        <f t="shared" si="907"/>
        <v>3380</v>
      </c>
      <c r="F805" s="67">
        <f t="shared" si="907"/>
        <v>3380</v>
      </c>
      <c r="G805" s="67">
        <f t="shared" si="907"/>
        <v>3380</v>
      </c>
      <c r="H805" s="67">
        <f t="shared" si="907"/>
        <v>604.35</v>
      </c>
      <c r="I805" s="67">
        <f t="shared" si="907"/>
        <v>4771</v>
      </c>
      <c r="J805" s="67">
        <f t="shared" si="907"/>
        <v>4760</v>
      </c>
      <c r="K805" s="210">
        <f t="shared" si="907"/>
        <v>1777</v>
      </c>
      <c r="L805" s="67">
        <f t="shared" si="907"/>
        <v>2612</v>
      </c>
      <c r="M805" s="67">
        <f t="shared" si="907"/>
        <v>371</v>
      </c>
      <c r="N805" s="67">
        <f t="shared" si="907"/>
        <v>0</v>
      </c>
      <c r="O805" s="30">
        <f t="shared" si="889"/>
        <v>4760</v>
      </c>
      <c r="P805" s="100">
        <f t="shared" si="890"/>
        <v>0</v>
      </c>
      <c r="Q805" s="67">
        <f t="shared" si="907"/>
        <v>11</v>
      </c>
      <c r="R805" s="67">
        <f t="shared" si="907"/>
        <v>0</v>
      </c>
      <c r="S805" s="67">
        <f t="shared" si="907"/>
        <v>0</v>
      </c>
    </row>
    <row r="806" spans="1:19" ht="27.75" customHeight="1">
      <c r="A806" s="12"/>
      <c r="B806" s="35" t="s">
        <v>442</v>
      </c>
      <c r="C806" s="135">
        <v>58</v>
      </c>
      <c r="D806" s="114">
        <f t="shared" ref="D806:S806" si="908">D807+D808+D809</f>
        <v>2.8</v>
      </c>
      <c r="E806" s="114">
        <f t="shared" si="908"/>
        <v>3380</v>
      </c>
      <c r="F806" s="114">
        <f t="shared" si="908"/>
        <v>3380</v>
      </c>
      <c r="G806" s="114">
        <f t="shared" si="908"/>
        <v>3380</v>
      </c>
      <c r="H806" s="114">
        <f t="shared" ref="H806" si="909">H807+H808+H809</f>
        <v>604.35</v>
      </c>
      <c r="I806" s="114">
        <f t="shared" si="908"/>
        <v>4771</v>
      </c>
      <c r="J806" s="114">
        <f t="shared" si="908"/>
        <v>4760</v>
      </c>
      <c r="K806" s="202">
        <f t="shared" ref="K806:N806" si="910">K807+K808+K809</f>
        <v>1777</v>
      </c>
      <c r="L806" s="114">
        <f t="shared" si="910"/>
        <v>2612</v>
      </c>
      <c r="M806" s="114">
        <f t="shared" si="910"/>
        <v>371</v>
      </c>
      <c r="N806" s="114">
        <f t="shared" si="910"/>
        <v>0</v>
      </c>
      <c r="O806" s="30">
        <f t="shared" si="889"/>
        <v>4760</v>
      </c>
      <c r="P806" s="100">
        <f t="shared" si="890"/>
        <v>0</v>
      </c>
      <c r="Q806" s="114">
        <f t="shared" si="908"/>
        <v>11</v>
      </c>
      <c r="R806" s="114">
        <f t="shared" si="908"/>
        <v>0</v>
      </c>
      <c r="S806" s="114">
        <f t="shared" si="908"/>
        <v>0</v>
      </c>
    </row>
    <row r="807" spans="1:19" ht="18.75" customHeight="1">
      <c r="A807" s="12"/>
      <c r="B807" s="116" t="s">
        <v>472</v>
      </c>
      <c r="C807" s="135" t="s">
        <v>473</v>
      </c>
      <c r="D807" s="46">
        <v>0.3</v>
      </c>
      <c r="E807" s="30">
        <v>443</v>
      </c>
      <c r="F807" s="46">
        <v>443</v>
      </c>
      <c r="G807" s="30">
        <v>443</v>
      </c>
      <c r="H807" s="30">
        <v>75.38</v>
      </c>
      <c r="I807" s="30">
        <v>472</v>
      </c>
      <c r="J807" s="30">
        <v>472</v>
      </c>
      <c r="K807" s="64">
        <v>231</v>
      </c>
      <c r="L807" s="30">
        <v>241</v>
      </c>
      <c r="M807" s="30"/>
      <c r="N807" s="30"/>
      <c r="O807" s="30">
        <f t="shared" si="889"/>
        <v>472</v>
      </c>
      <c r="P807" s="100">
        <f t="shared" si="890"/>
        <v>0</v>
      </c>
      <c r="Q807" s="30">
        <v>0</v>
      </c>
      <c r="R807" s="30">
        <v>0</v>
      </c>
      <c r="S807" s="30">
        <v>0</v>
      </c>
    </row>
    <row r="808" spans="1:19" ht="16.5" customHeight="1">
      <c r="A808" s="12"/>
      <c r="B808" s="116" t="s">
        <v>474</v>
      </c>
      <c r="C808" s="135" t="s">
        <v>444</v>
      </c>
      <c r="D808" s="46">
        <v>2.4</v>
      </c>
      <c r="E808" s="30">
        <v>2894</v>
      </c>
      <c r="F808" s="46">
        <v>2894</v>
      </c>
      <c r="G808" s="30">
        <v>2894</v>
      </c>
      <c r="H808" s="30">
        <v>492.86</v>
      </c>
      <c r="I808" s="30">
        <v>3084</v>
      </c>
      <c r="J808" s="30">
        <v>3084</v>
      </c>
      <c r="K808" s="64">
        <v>1511</v>
      </c>
      <c r="L808" s="30">
        <v>1573</v>
      </c>
      <c r="M808" s="30"/>
      <c r="N808" s="30"/>
      <c r="O808" s="30">
        <f t="shared" si="889"/>
        <v>3084</v>
      </c>
      <c r="P808" s="100">
        <f t="shared" si="890"/>
        <v>0</v>
      </c>
      <c r="Q808" s="30">
        <v>0</v>
      </c>
      <c r="R808" s="30">
        <v>0</v>
      </c>
      <c r="S808" s="30">
        <v>0</v>
      </c>
    </row>
    <row r="809" spans="1:19" ht="15.75" customHeight="1">
      <c r="A809" s="12"/>
      <c r="B809" s="116" t="s">
        <v>475</v>
      </c>
      <c r="C809" s="135" t="s">
        <v>445</v>
      </c>
      <c r="D809" s="46">
        <v>0.1</v>
      </c>
      <c r="E809" s="30">
        <v>43</v>
      </c>
      <c r="F809" s="46">
        <v>43</v>
      </c>
      <c r="G809" s="30">
        <v>43</v>
      </c>
      <c r="H809" s="30">
        <v>36.11</v>
      </c>
      <c r="I809" s="30">
        <v>1215</v>
      </c>
      <c r="J809" s="30">
        <v>1204</v>
      </c>
      <c r="K809" s="64">
        <v>35</v>
      </c>
      <c r="L809" s="30">
        <v>798</v>
      </c>
      <c r="M809" s="30">
        <v>371</v>
      </c>
      <c r="N809" s="30"/>
      <c r="O809" s="30">
        <f t="shared" si="889"/>
        <v>1204</v>
      </c>
      <c r="P809" s="100">
        <f t="shared" si="890"/>
        <v>0</v>
      </c>
      <c r="Q809" s="30">
        <v>11</v>
      </c>
      <c r="R809" s="30">
        <v>0</v>
      </c>
      <c r="S809" s="30">
        <v>0</v>
      </c>
    </row>
    <row r="810" spans="1:19" ht="30" customHeight="1">
      <c r="A810" s="12"/>
      <c r="B810" s="247" t="s">
        <v>522</v>
      </c>
      <c r="C810" s="248"/>
      <c r="D810" s="67">
        <f t="shared" ref="D810:S810" si="911">D811</f>
        <v>851.54</v>
      </c>
      <c r="E810" s="67">
        <f t="shared" si="911"/>
        <v>3285</v>
      </c>
      <c r="F810" s="67">
        <f t="shared" si="911"/>
        <v>3285</v>
      </c>
      <c r="G810" s="67">
        <f t="shared" si="911"/>
        <v>3285</v>
      </c>
      <c r="H810" s="67">
        <f t="shared" si="911"/>
        <v>716.81999999999994</v>
      </c>
      <c r="I810" s="67">
        <f t="shared" si="911"/>
        <v>4032</v>
      </c>
      <c r="J810" s="67">
        <f t="shared" si="911"/>
        <v>4028</v>
      </c>
      <c r="K810" s="210">
        <f t="shared" si="911"/>
        <v>2016</v>
      </c>
      <c r="L810" s="67">
        <f t="shared" si="911"/>
        <v>2012</v>
      </c>
      <c r="M810" s="67">
        <f t="shared" si="911"/>
        <v>0</v>
      </c>
      <c r="N810" s="67">
        <f t="shared" si="911"/>
        <v>0</v>
      </c>
      <c r="O810" s="30">
        <f t="shared" si="889"/>
        <v>4028</v>
      </c>
      <c r="P810" s="100">
        <f t="shared" si="890"/>
        <v>0</v>
      </c>
      <c r="Q810" s="67">
        <f t="shared" si="911"/>
        <v>0</v>
      </c>
      <c r="R810" s="67">
        <f t="shared" si="911"/>
        <v>0</v>
      </c>
      <c r="S810" s="67">
        <f t="shared" si="911"/>
        <v>0</v>
      </c>
    </row>
    <row r="811" spans="1:19" ht="30" customHeight="1">
      <c r="A811" s="12"/>
      <c r="B811" s="35" t="s">
        <v>442</v>
      </c>
      <c r="C811" s="135">
        <v>58</v>
      </c>
      <c r="D811" s="114">
        <f t="shared" ref="D811:S811" si="912">D812+D813+D814</f>
        <v>851.54</v>
      </c>
      <c r="E811" s="114">
        <f t="shared" si="912"/>
        <v>3285</v>
      </c>
      <c r="F811" s="114">
        <f t="shared" si="912"/>
        <v>3285</v>
      </c>
      <c r="G811" s="114">
        <f t="shared" si="912"/>
        <v>3285</v>
      </c>
      <c r="H811" s="114">
        <f t="shared" ref="H811" si="913">H812+H813+H814</f>
        <v>716.81999999999994</v>
      </c>
      <c r="I811" s="114">
        <f t="shared" si="912"/>
        <v>4032</v>
      </c>
      <c r="J811" s="114">
        <f t="shared" si="912"/>
        <v>4028</v>
      </c>
      <c r="K811" s="202">
        <f t="shared" ref="K811:N811" si="914">K812+K813+K814</f>
        <v>2016</v>
      </c>
      <c r="L811" s="114">
        <f t="shared" si="914"/>
        <v>2012</v>
      </c>
      <c r="M811" s="114">
        <f t="shared" si="914"/>
        <v>0</v>
      </c>
      <c r="N811" s="114">
        <f t="shared" si="914"/>
        <v>0</v>
      </c>
      <c r="O811" s="30">
        <f t="shared" si="889"/>
        <v>4028</v>
      </c>
      <c r="P811" s="100">
        <f t="shared" si="890"/>
        <v>0</v>
      </c>
      <c r="Q811" s="114">
        <f t="shared" si="912"/>
        <v>0</v>
      </c>
      <c r="R811" s="114">
        <f t="shared" si="912"/>
        <v>0</v>
      </c>
      <c r="S811" s="114">
        <f t="shared" si="912"/>
        <v>0</v>
      </c>
    </row>
    <row r="812" spans="1:19" ht="15" customHeight="1">
      <c r="A812" s="12"/>
      <c r="B812" s="116" t="s">
        <v>472</v>
      </c>
      <c r="C812" s="135" t="s">
        <v>473</v>
      </c>
      <c r="D812" s="46">
        <v>89.97</v>
      </c>
      <c r="E812" s="30">
        <v>432</v>
      </c>
      <c r="F812" s="46">
        <v>432</v>
      </c>
      <c r="G812" s="30">
        <v>432</v>
      </c>
      <c r="H812" s="30">
        <v>90.76</v>
      </c>
      <c r="I812" s="30">
        <v>367</v>
      </c>
      <c r="J812" s="30">
        <v>367</v>
      </c>
      <c r="K812" s="64">
        <v>183</v>
      </c>
      <c r="L812" s="30">
        <v>184</v>
      </c>
      <c r="M812" s="30"/>
      <c r="N812" s="30"/>
      <c r="O812" s="30">
        <f t="shared" si="889"/>
        <v>367</v>
      </c>
      <c r="P812" s="100">
        <f t="shared" si="890"/>
        <v>0</v>
      </c>
      <c r="Q812" s="30">
        <v>0</v>
      </c>
      <c r="R812" s="30">
        <v>0</v>
      </c>
      <c r="S812" s="30">
        <v>0</v>
      </c>
    </row>
    <row r="813" spans="1:19" ht="17.25" customHeight="1">
      <c r="A813" s="12"/>
      <c r="B813" s="116" t="s">
        <v>474</v>
      </c>
      <c r="C813" s="135" t="s">
        <v>444</v>
      </c>
      <c r="D813" s="46">
        <v>588.28</v>
      </c>
      <c r="E813" s="30">
        <v>2823</v>
      </c>
      <c r="F813" s="46">
        <v>2823</v>
      </c>
      <c r="G813" s="30">
        <v>2823</v>
      </c>
      <c r="H813" s="30">
        <v>611.79999999999995</v>
      </c>
      <c r="I813" s="30">
        <v>2378</v>
      </c>
      <c r="J813" s="30">
        <v>2375</v>
      </c>
      <c r="K813" s="64">
        <v>1190</v>
      </c>
      <c r="L813" s="30">
        <v>1185</v>
      </c>
      <c r="M813" s="30"/>
      <c r="N813" s="30"/>
      <c r="O813" s="30">
        <f t="shared" si="889"/>
        <v>2375</v>
      </c>
      <c r="P813" s="100">
        <f t="shared" si="890"/>
        <v>0</v>
      </c>
      <c r="Q813" s="30">
        <v>0</v>
      </c>
      <c r="R813" s="30">
        <v>0</v>
      </c>
      <c r="S813" s="30"/>
    </row>
    <row r="814" spans="1:19" ht="18" customHeight="1">
      <c r="A814" s="12"/>
      <c r="B814" s="116" t="s">
        <v>475</v>
      </c>
      <c r="C814" s="135" t="s">
        <v>445</v>
      </c>
      <c r="D814" s="46">
        <v>173.29</v>
      </c>
      <c r="E814" s="30">
        <v>30</v>
      </c>
      <c r="F814" s="46">
        <v>30</v>
      </c>
      <c r="G814" s="30">
        <v>30</v>
      </c>
      <c r="H814" s="30">
        <v>14.26</v>
      </c>
      <c r="I814" s="30">
        <v>1287</v>
      </c>
      <c r="J814" s="30">
        <v>1286</v>
      </c>
      <c r="K814" s="64">
        <v>643</v>
      </c>
      <c r="L814" s="30">
        <v>643</v>
      </c>
      <c r="M814" s="30"/>
      <c r="N814" s="30"/>
      <c r="O814" s="30">
        <f t="shared" si="889"/>
        <v>1286</v>
      </c>
      <c r="P814" s="100">
        <f t="shared" si="890"/>
        <v>0</v>
      </c>
      <c r="Q814" s="30">
        <v>0</v>
      </c>
      <c r="R814" s="30">
        <v>0</v>
      </c>
      <c r="S814" s="30">
        <v>0</v>
      </c>
    </row>
    <row r="815" spans="1:19" ht="30" customHeight="1">
      <c r="A815" s="12"/>
      <c r="B815" s="247" t="s">
        <v>570</v>
      </c>
      <c r="C815" s="245"/>
      <c r="D815" s="67">
        <f t="shared" ref="D815:S816" si="915">D816</f>
        <v>290</v>
      </c>
      <c r="E815" s="67">
        <f>E816</f>
        <v>325</v>
      </c>
      <c r="F815" s="67">
        <f t="shared" si="915"/>
        <v>325</v>
      </c>
      <c r="G815" s="67">
        <f>G816</f>
        <v>325</v>
      </c>
      <c r="H815" s="67">
        <f>H816</f>
        <v>213.64000000000001</v>
      </c>
      <c r="I815" s="67">
        <f t="shared" si="915"/>
        <v>543</v>
      </c>
      <c r="J815" s="67">
        <f t="shared" si="915"/>
        <v>543</v>
      </c>
      <c r="K815" s="210">
        <f t="shared" si="915"/>
        <v>160</v>
      </c>
      <c r="L815" s="67">
        <f t="shared" si="915"/>
        <v>160</v>
      </c>
      <c r="M815" s="67">
        <f t="shared" si="915"/>
        <v>123</v>
      </c>
      <c r="N815" s="67">
        <f t="shared" si="915"/>
        <v>100</v>
      </c>
      <c r="O815" s="30">
        <f t="shared" si="889"/>
        <v>543</v>
      </c>
      <c r="P815" s="100">
        <f t="shared" si="890"/>
        <v>0</v>
      </c>
      <c r="Q815" s="67">
        <f t="shared" si="915"/>
        <v>55</v>
      </c>
      <c r="R815" s="67">
        <f t="shared" si="915"/>
        <v>0</v>
      </c>
      <c r="S815" s="67">
        <f t="shared" si="915"/>
        <v>0</v>
      </c>
    </row>
    <row r="816" spans="1:19" ht="21" customHeight="1">
      <c r="A816" s="12"/>
      <c r="B816" s="116" t="s">
        <v>164</v>
      </c>
      <c r="C816" s="135"/>
      <c r="D816" s="104">
        <f t="shared" si="915"/>
        <v>290</v>
      </c>
      <c r="E816" s="104">
        <f t="shared" si="915"/>
        <v>325</v>
      </c>
      <c r="F816" s="104">
        <f t="shared" si="915"/>
        <v>325</v>
      </c>
      <c r="G816" s="104">
        <f t="shared" si="915"/>
        <v>325</v>
      </c>
      <c r="H816" s="104">
        <f t="shared" si="915"/>
        <v>213.64000000000001</v>
      </c>
      <c r="I816" s="104">
        <f t="shared" si="915"/>
        <v>543</v>
      </c>
      <c r="J816" s="104">
        <f t="shared" si="915"/>
        <v>543</v>
      </c>
      <c r="K816" s="196">
        <f t="shared" si="915"/>
        <v>160</v>
      </c>
      <c r="L816" s="104">
        <f t="shared" si="915"/>
        <v>160</v>
      </c>
      <c r="M816" s="104">
        <f t="shared" si="915"/>
        <v>123</v>
      </c>
      <c r="N816" s="104">
        <f t="shared" si="915"/>
        <v>100</v>
      </c>
      <c r="O816" s="30">
        <f t="shared" si="889"/>
        <v>543</v>
      </c>
      <c r="P816" s="100">
        <f t="shared" si="890"/>
        <v>0</v>
      </c>
      <c r="Q816" s="104">
        <f t="shared" si="915"/>
        <v>55</v>
      </c>
      <c r="R816" s="104">
        <f t="shared" si="915"/>
        <v>0</v>
      </c>
      <c r="S816" s="104">
        <f t="shared" si="915"/>
        <v>0</v>
      </c>
    </row>
    <row r="817" spans="1:19" ht="29.25" customHeight="1">
      <c r="A817" s="12"/>
      <c r="B817" s="35" t="s">
        <v>442</v>
      </c>
      <c r="C817" s="135">
        <v>58</v>
      </c>
      <c r="D817" s="104">
        <f t="shared" ref="D817:S817" si="916">D818+D819+D820</f>
        <v>290</v>
      </c>
      <c r="E817" s="104">
        <f t="shared" si="916"/>
        <v>325</v>
      </c>
      <c r="F817" s="104">
        <f t="shared" si="916"/>
        <v>325</v>
      </c>
      <c r="G817" s="104">
        <f t="shared" si="916"/>
        <v>325</v>
      </c>
      <c r="H817" s="104">
        <f t="shared" ref="H817" si="917">H818+H819+H820</f>
        <v>213.64000000000001</v>
      </c>
      <c r="I817" s="104">
        <f t="shared" si="916"/>
        <v>543</v>
      </c>
      <c r="J817" s="104">
        <f t="shared" si="916"/>
        <v>543</v>
      </c>
      <c r="K817" s="196">
        <f t="shared" ref="K817:N817" si="918">K818+K819+K820</f>
        <v>160</v>
      </c>
      <c r="L817" s="104">
        <f t="shared" si="918"/>
        <v>160</v>
      </c>
      <c r="M817" s="104">
        <f t="shared" si="918"/>
        <v>123</v>
      </c>
      <c r="N817" s="104">
        <f t="shared" si="918"/>
        <v>100</v>
      </c>
      <c r="O817" s="30">
        <f t="shared" si="889"/>
        <v>543</v>
      </c>
      <c r="P817" s="100">
        <f t="shared" si="890"/>
        <v>0</v>
      </c>
      <c r="Q817" s="104">
        <f t="shared" si="916"/>
        <v>55</v>
      </c>
      <c r="R817" s="104">
        <f t="shared" si="916"/>
        <v>0</v>
      </c>
      <c r="S817" s="104">
        <f t="shared" si="916"/>
        <v>0</v>
      </c>
    </row>
    <row r="818" spans="1:19" ht="17.25" customHeight="1">
      <c r="A818" s="12"/>
      <c r="B818" s="116" t="s">
        <v>472</v>
      </c>
      <c r="C818" s="135" t="s">
        <v>484</v>
      </c>
      <c r="D818" s="46">
        <v>39</v>
      </c>
      <c r="E818" s="30">
        <v>44</v>
      </c>
      <c r="F818" s="46">
        <v>44</v>
      </c>
      <c r="G818" s="30">
        <v>44</v>
      </c>
      <c r="H818" s="30">
        <v>28.97</v>
      </c>
      <c r="I818" s="30">
        <v>73</v>
      </c>
      <c r="J818" s="30">
        <v>73</v>
      </c>
      <c r="K818" s="64">
        <v>22</v>
      </c>
      <c r="L818" s="30">
        <v>22</v>
      </c>
      <c r="M818" s="30">
        <v>16</v>
      </c>
      <c r="N818" s="30">
        <v>13</v>
      </c>
      <c r="O818" s="30">
        <f t="shared" si="889"/>
        <v>73</v>
      </c>
      <c r="P818" s="100">
        <f t="shared" si="890"/>
        <v>0</v>
      </c>
      <c r="Q818" s="30">
        <v>7</v>
      </c>
      <c r="R818" s="30">
        <v>0</v>
      </c>
      <c r="S818" s="30">
        <v>0</v>
      </c>
    </row>
    <row r="819" spans="1:19" ht="14.25" customHeight="1">
      <c r="A819" s="12"/>
      <c r="B819" s="116" t="s">
        <v>474</v>
      </c>
      <c r="C819" s="135" t="s">
        <v>485</v>
      </c>
      <c r="D819" s="46">
        <v>245</v>
      </c>
      <c r="E819" s="30">
        <v>274</v>
      </c>
      <c r="F819" s="46">
        <v>274</v>
      </c>
      <c r="G819" s="30">
        <v>274</v>
      </c>
      <c r="H819" s="30">
        <v>180.4</v>
      </c>
      <c r="I819" s="30">
        <v>459</v>
      </c>
      <c r="J819" s="30">
        <v>459</v>
      </c>
      <c r="K819" s="64">
        <v>135</v>
      </c>
      <c r="L819" s="30">
        <v>135</v>
      </c>
      <c r="M819" s="30">
        <v>105</v>
      </c>
      <c r="N819" s="30">
        <v>84</v>
      </c>
      <c r="O819" s="30">
        <f t="shared" si="889"/>
        <v>459</v>
      </c>
      <c r="P819" s="100">
        <f t="shared" si="890"/>
        <v>0</v>
      </c>
      <c r="Q819" s="30">
        <v>46</v>
      </c>
      <c r="R819" s="30">
        <v>0</v>
      </c>
      <c r="S819" s="30">
        <v>0</v>
      </c>
    </row>
    <row r="820" spans="1:19" ht="15" customHeight="1">
      <c r="A820" s="12"/>
      <c r="B820" s="116" t="s">
        <v>475</v>
      </c>
      <c r="C820" s="135" t="s">
        <v>486</v>
      </c>
      <c r="D820" s="46">
        <v>6</v>
      </c>
      <c r="E820" s="30">
        <v>7</v>
      </c>
      <c r="F820" s="46">
        <v>7</v>
      </c>
      <c r="G820" s="30">
        <v>7</v>
      </c>
      <c r="H820" s="30">
        <v>4.2699999999999996</v>
      </c>
      <c r="I820" s="30">
        <v>11</v>
      </c>
      <c r="J820" s="30">
        <v>11</v>
      </c>
      <c r="K820" s="64">
        <v>3</v>
      </c>
      <c r="L820" s="30">
        <v>3</v>
      </c>
      <c r="M820" s="30">
        <v>2</v>
      </c>
      <c r="N820" s="30">
        <v>3</v>
      </c>
      <c r="O820" s="30">
        <f t="shared" si="889"/>
        <v>11</v>
      </c>
      <c r="P820" s="100">
        <f t="shared" si="890"/>
        <v>0</v>
      </c>
      <c r="Q820" s="30">
        <v>2</v>
      </c>
      <c r="R820" s="30">
        <v>0</v>
      </c>
      <c r="S820" s="30"/>
    </row>
    <row r="821" spans="1:19" ht="39.75" customHeight="1">
      <c r="A821" s="12"/>
      <c r="B821" s="41" t="s">
        <v>606</v>
      </c>
      <c r="C821" s="248"/>
      <c r="D821" s="67">
        <f t="shared" ref="D821:S821" si="919">D823</f>
        <v>14.47</v>
      </c>
      <c r="E821" s="67">
        <f t="shared" si="919"/>
        <v>2050</v>
      </c>
      <c r="F821" s="67">
        <f t="shared" si="919"/>
        <v>2050</v>
      </c>
      <c r="G821" s="67">
        <f t="shared" si="919"/>
        <v>2050</v>
      </c>
      <c r="H821" s="67">
        <f t="shared" ref="H821" si="920">H823</f>
        <v>33.22</v>
      </c>
      <c r="I821" s="67">
        <f t="shared" si="919"/>
        <v>5142</v>
      </c>
      <c r="J821" s="67">
        <f t="shared" si="919"/>
        <v>4729</v>
      </c>
      <c r="K821" s="210">
        <f t="shared" ref="K821:N821" si="921">K823</f>
        <v>1427</v>
      </c>
      <c r="L821" s="67">
        <f t="shared" si="921"/>
        <v>1597</v>
      </c>
      <c r="M821" s="67">
        <f t="shared" si="921"/>
        <v>1265</v>
      </c>
      <c r="N821" s="67">
        <f t="shared" si="921"/>
        <v>440</v>
      </c>
      <c r="O821" s="30">
        <f t="shared" si="889"/>
        <v>4729</v>
      </c>
      <c r="P821" s="100">
        <f t="shared" si="890"/>
        <v>0</v>
      </c>
      <c r="Q821" s="67">
        <f t="shared" si="919"/>
        <v>530</v>
      </c>
      <c r="R821" s="67">
        <f t="shared" si="919"/>
        <v>0</v>
      </c>
      <c r="S821" s="67">
        <f t="shared" si="919"/>
        <v>0</v>
      </c>
    </row>
    <row r="822" spans="1:19" ht="18.75" customHeight="1">
      <c r="A822" s="12"/>
      <c r="B822" s="116" t="s">
        <v>164</v>
      </c>
      <c r="C822" s="256"/>
      <c r="D822" s="104">
        <f t="shared" ref="D822:S822" si="922">D823</f>
        <v>14.47</v>
      </c>
      <c r="E822" s="104">
        <f t="shared" si="922"/>
        <v>2050</v>
      </c>
      <c r="F822" s="104">
        <f t="shared" si="922"/>
        <v>2050</v>
      </c>
      <c r="G822" s="104">
        <f t="shared" si="922"/>
        <v>2050</v>
      </c>
      <c r="H822" s="104">
        <f t="shared" si="922"/>
        <v>33.22</v>
      </c>
      <c r="I822" s="104">
        <f t="shared" si="922"/>
        <v>5142</v>
      </c>
      <c r="J822" s="104">
        <f t="shared" si="922"/>
        <v>4729</v>
      </c>
      <c r="K822" s="196">
        <f t="shared" si="922"/>
        <v>1427</v>
      </c>
      <c r="L822" s="104">
        <f t="shared" si="922"/>
        <v>1597</v>
      </c>
      <c r="M822" s="104">
        <f t="shared" si="922"/>
        <v>1265</v>
      </c>
      <c r="N822" s="104">
        <f t="shared" si="922"/>
        <v>440</v>
      </c>
      <c r="O822" s="30">
        <f t="shared" si="889"/>
        <v>4729</v>
      </c>
      <c r="P822" s="100">
        <f t="shared" si="890"/>
        <v>0</v>
      </c>
      <c r="Q822" s="104">
        <f t="shared" si="922"/>
        <v>530</v>
      </c>
      <c r="R822" s="104">
        <f t="shared" si="922"/>
        <v>0</v>
      </c>
      <c r="S822" s="104">
        <f t="shared" si="922"/>
        <v>0</v>
      </c>
    </row>
    <row r="823" spans="1:19" ht="15" customHeight="1">
      <c r="A823" s="12"/>
      <c r="B823" s="148" t="s">
        <v>605</v>
      </c>
      <c r="C823" s="135">
        <v>58</v>
      </c>
      <c r="D823" s="114">
        <f t="shared" ref="D823:S823" si="923">D824+D825+D826</f>
        <v>14.47</v>
      </c>
      <c r="E823" s="114">
        <f t="shared" si="923"/>
        <v>2050</v>
      </c>
      <c r="F823" s="114">
        <f t="shared" si="923"/>
        <v>2050</v>
      </c>
      <c r="G823" s="114">
        <f t="shared" si="923"/>
        <v>2050</v>
      </c>
      <c r="H823" s="114">
        <f t="shared" ref="H823" si="924">H824+H825+H826</f>
        <v>33.22</v>
      </c>
      <c r="I823" s="114">
        <f t="shared" si="923"/>
        <v>5142</v>
      </c>
      <c r="J823" s="114">
        <f t="shared" si="923"/>
        <v>4729</v>
      </c>
      <c r="K823" s="202">
        <f t="shared" ref="K823:N823" si="925">K824+K825+K826</f>
        <v>1427</v>
      </c>
      <c r="L823" s="114">
        <f t="shared" si="925"/>
        <v>1597</v>
      </c>
      <c r="M823" s="114">
        <f t="shared" si="925"/>
        <v>1265</v>
      </c>
      <c r="N823" s="114">
        <f t="shared" si="925"/>
        <v>440</v>
      </c>
      <c r="O823" s="30">
        <f t="shared" si="889"/>
        <v>4729</v>
      </c>
      <c r="P823" s="100">
        <f t="shared" si="890"/>
        <v>0</v>
      </c>
      <c r="Q823" s="114">
        <f t="shared" si="923"/>
        <v>530</v>
      </c>
      <c r="R823" s="114">
        <f t="shared" si="923"/>
        <v>0</v>
      </c>
      <c r="S823" s="114">
        <f t="shared" si="923"/>
        <v>0</v>
      </c>
    </row>
    <row r="824" spans="1:19" ht="15" customHeight="1">
      <c r="A824" s="12"/>
      <c r="B824" s="116" t="s">
        <v>472</v>
      </c>
      <c r="C824" s="135" t="s">
        <v>473</v>
      </c>
      <c r="D824" s="46">
        <v>0.46</v>
      </c>
      <c r="E824" s="30">
        <v>550</v>
      </c>
      <c r="F824" s="46">
        <v>550</v>
      </c>
      <c r="G824" s="30">
        <v>550</v>
      </c>
      <c r="H824" s="30">
        <v>0</v>
      </c>
      <c r="I824" s="30">
        <v>1305</v>
      </c>
      <c r="J824" s="30">
        <v>1305</v>
      </c>
      <c r="K824" s="64">
        <v>420</v>
      </c>
      <c r="L824" s="30">
        <v>520</v>
      </c>
      <c r="M824" s="30">
        <v>285</v>
      </c>
      <c r="N824" s="30">
        <v>80</v>
      </c>
      <c r="O824" s="30">
        <f t="shared" si="889"/>
        <v>1305</v>
      </c>
      <c r="P824" s="100">
        <f t="shared" si="890"/>
        <v>0</v>
      </c>
      <c r="Q824" s="30">
        <v>0</v>
      </c>
      <c r="R824" s="30">
        <v>0</v>
      </c>
      <c r="S824" s="30">
        <v>0</v>
      </c>
    </row>
    <row r="825" spans="1:19" ht="15" customHeight="1">
      <c r="A825" s="12"/>
      <c r="B825" s="116" t="s">
        <v>474</v>
      </c>
      <c r="C825" s="135" t="s">
        <v>444</v>
      </c>
      <c r="D825" s="46">
        <v>1.1000000000000001</v>
      </c>
      <c r="E825" s="30">
        <v>1300</v>
      </c>
      <c r="F825" s="46">
        <v>1300</v>
      </c>
      <c r="G825" s="30">
        <v>1300</v>
      </c>
      <c r="H825" s="30">
        <v>0</v>
      </c>
      <c r="I825" s="30">
        <v>3263</v>
      </c>
      <c r="J825" s="30">
        <v>3263</v>
      </c>
      <c r="K825" s="64">
        <v>863</v>
      </c>
      <c r="L825" s="30">
        <v>1060</v>
      </c>
      <c r="M825" s="30">
        <v>980</v>
      </c>
      <c r="N825" s="30">
        <v>360</v>
      </c>
      <c r="O825" s="30">
        <f t="shared" si="889"/>
        <v>3263</v>
      </c>
      <c r="P825" s="100">
        <f t="shared" si="890"/>
        <v>0</v>
      </c>
      <c r="Q825" s="30">
        <v>0</v>
      </c>
      <c r="R825" s="30">
        <v>0</v>
      </c>
      <c r="S825" s="30">
        <v>0</v>
      </c>
    </row>
    <row r="826" spans="1:19" ht="15" customHeight="1">
      <c r="A826" s="12"/>
      <c r="B826" s="116" t="s">
        <v>475</v>
      </c>
      <c r="C826" s="135" t="s">
        <v>445</v>
      </c>
      <c r="D826" s="46">
        <v>12.91</v>
      </c>
      <c r="E826" s="30">
        <v>200</v>
      </c>
      <c r="F826" s="46">
        <v>200</v>
      </c>
      <c r="G826" s="30">
        <v>200</v>
      </c>
      <c r="H826" s="30">
        <v>33.22</v>
      </c>
      <c r="I826" s="30">
        <v>574</v>
      </c>
      <c r="J826" s="30">
        <v>161</v>
      </c>
      <c r="K826" s="64">
        <v>144</v>
      </c>
      <c r="L826" s="30">
        <v>17</v>
      </c>
      <c r="M826" s="30"/>
      <c r="N826" s="30"/>
      <c r="O826" s="30">
        <f t="shared" si="889"/>
        <v>161</v>
      </c>
      <c r="P826" s="100">
        <f t="shared" si="890"/>
        <v>0</v>
      </c>
      <c r="Q826" s="30">
        <v>530</v>
      </c>
      <c r="R826" s="30">
        <v>0</v>
      </c>
      <c r="S826" s="30">
        <v>0</v>
      </c>
    </row>
    <row r="827" spans="1:19" ht="35.25" customHeight="1">
      <c r="A827" s="12"/>
      <c r="B827" s="17" t="s">
        <v>664</v>
      </c>
      <c r="C827" s="248"/>
      <c r="D827" s="67">
        <f t="shared" ref="D827:S827" si="926">D829</f>
        <v>1.7200000000000002</v>
      </c>
      <c r="E827" s="67">
        <f t="shared" si="926"/>
        <v>2203</v>
      </c>
      <c r="F827" s="67">
        <f t="shared" si="926"/>
        <v>2203</v>
      </c>
      <c r="G827" s="67">
        <f t="shared" si="926"/>
        <v>2203</v>
      </c>
      <c r="H827" s="67">
        <f t="shared" ref="H827" si="927">H829</f>
        <v>39.299999999999997</v>
      </c>
      <c r="I827" s="67">
        <f t="shared" si="926"/>
        <v>5020</v>
      </c>
      <c r="J827" s="67">
        <f t="shared" si="926"/>
        <v>4702</v>
      </c>
      <c r="K827" s="210">
        <f t="shared" ref="K827:N827" si="928">K829</f>
        <v>502</v>
      </c>
      <c r="L827" s="67">
        <f t="shared" si="928"/>
        <v>390</v>
      </c>
      <c r="M827" s="67">
        <f t="shared" si="928"/>
        <v>1905</v>
      </c>
      <c r="N827" s="67">
        <f t="shared" si="928"/>
        <v>1905</v>
      </c>
      <c r="O827" s="30">
        <f t="shared" si="889"/>
        <v>4702</v>
      </c>
      <c r="P827" s="100">
        <f t="shared" si="890"/>
        <v>0</v>
      </c>
      <c r="Q827" s="67">
        <f t="shared" si="926"/>
        <v>463</v>
      </c>
      <c r="R827" s="67">
        <f t="shared" si="926"/>
        <v>0</v>
      </c>
      <c r="S827" s="67">
        <f t="shared" si="926"/>
        <v>0</v>
      </c>
    </row>
    <row r="828" spans="1:19" ht="23.25" customHeight="1">
      <c r="A828" s="12"/>
      <c r="B828" s="116" t="s">
        <v>164</v>
      </c>
      <c r="C828" s="256"/>
      <c r="D828" s="104">
        <f t="shared" ref="D828:S828" si="929">D829</f>
        <v>1.7200000000000002</v>
      </c>
      <c r="E828" s="104">
        <f t="shared" si="929"/>
        <v>2203</v>
      </c>
      <c r="F828" s="104">
        <f t="shared" si="929"/>
        <v>2203</v>
      </c>
      <c r="G828" s="104">
        <f t="shared" si="929"/>
        <v>2203</v>
      </c>
      <c r="H828" s="104">
        <f t="shared" si="929"/>
        <v>39.299999999999997</v>
      </c>
      <c r="I828" s="104">
        <f t="shared" si="929"/>
        <v>5020</v>
      </c>
      <c r="J828" s="104">
        <f t="shared" si="929"/>
        <v>4702</v>
      </c>
      <c r="K828" s="196">
        <f t="shared" si="929"/>
        <v>502</v>
      </c>
      <c r="L828" s="104">
        <f t="shared" si="929"/>
        <v>390</v>
      </c>
      <c r="M828" s="104">
        <f t="shared" si="929"/>
        <v>1905</v>
      </c>
      <c r="N828" s="104">
        <f t="shared" si="929"/>
        <v>1905</v>
      </c>
      <c r="O828" s="30">
        <f t="shared" si="889"/>
        <v>4702</v>
      </c>
      <c r="P828" s="100">
        <f t="shared" si="890"/>
        <v>0</v>
      </c>
      <c r="Q828" s="104">
        <f t="shared" si="929"/>
        <v>463</v>
      </c>
      <c r="R828" s="104">
        <f t="shared" si="929"/>
        <v>0</v>
      </c>
      <c r="S828" s="104">
        <f t="shared" si="929"/>
        <v>0</v>
      </c>
    </row>
    <row r="829" spans="1:19" ht="15" customHeight="1">
      <c r="A829" s="12"/>
      <c r="B829" s="148" t="s">
        <v>605</v>
      </c>
      <c r="C829" s="135">
        <v>58</v>
      </c>
      <c r="D829" s="114">
        <f t="shared" ref="D829:S829" si="930">D830+D831+D832</f>
        <v>1.7200000000000002</v>
      </c>
      <c r="E829" s="114">
        <f t="shared" si="930"/>
        <v>2203</v>
      </c>
      <c r="F829" s="114">
        <f t="shared" si="930"/>
        <v>2203</v>
      </c>
      <c r="G829" s="114">
        <f t="shared" si="930"/>
        <v>2203</v>
      </c>
      <c r="H829" s="114">
        <f t="shared" ref="H829" si="931">H830+H831+H832</f>
        <v>39.299999999999997</v>
      </c>
      <c r="I829" s="114">
        <f t="shared" si="930"/>
        <v>5020</v>
      </c>
      <c r="J829" s="114">
        <f t="shared" si="930"/>
        <v>4702</v>
      </c>
      <c r="K829" s="202">
        <f t="shared" ref="K829:N829" si="932">K830+K831+K832</f>
        <v>502</v>
      </c>
      <c r="L829" s="114">
        <f t="shared" si="932"/>
        <v>390</v>
      </c>
      <c r="M829" s="114">
        <f t="shared" si="932"/>
        <v>1905</v>
      </c>
      <c r="N829" s="114">
        <f t="shared" si="932"/>
        <v>1905</v>
      </c>
      <c r="O829" s="30">
        <f t="shared" si="889"/>
        <v>4702</v>
      </c>
      <c r="P829" s="100">
        <f t="shared" si="890"/>
        <v>0</v>
      </c>
      <c r="Q829" s="114">
        <f t="shared" si="930"/>
        <v>463</v>
      </c>
      <c r="R829" s="114">
        <f t="shared" si="930"/>
        <v>0</v>
      </c>
      <c r="S829" s="114">
        <f t="shared" si="930"/>
        <v>0</v>
      </c>
    </row>
    <row r="830" spans="1:19" ht="15" customHeight="1">
      <c r="A830" s="12"/>
      <c r="B830" s="116" t="s">
        <v>472</v>
      </c>
      <c r="C830" s="135" t="s">
        <v>473</v>
      </c>
      <c r="D830" s="46">
        <v>0.5</v>
      </c>
      <c r="E830" s="30">
        <v>536</v>
      </c>
      <c r="F830" s="46">
        <v>536</v>
      </c>
      <c r="G830" s="30">
        <v>536</v>
      </c>
      <c r="H830" s="30">
        <v>0.39</v>
      </c>
      <c r="I830" s="30">
        <v>1303</v>
      </c>
      <c r="J830" s="30">
        <v>1303</v>
      </c>
      <c r="K830" s="64">
        <v>73</v>
      </c>
      <c r="L830" s="30">
        <v>80</v>
      </c>
      <c r="M830" s="30">
        <v>575</v>
      </c>
      <c r="N830" s="30">
        <v>575</v>
      </c>
      <c r="O830" s="30">
        <f t="shared" si="889"/>
        <v>1303</v>
      </c>
      <c r="P830" s="100">
        <f t="shared" si="890"/>
        <v>0</v>
      </c>
      <c r="Q830" s="30">
        <v>0</v>
      </c>
      <c r="R830" s="30">
        <v>0</v>
      </c>
      <c r="S830" s="30">
        <v>0</v>
      </c>
    </row>
    <row r="831" spans="1:19" ht="15" customHeight="1">
      <c r="A831" s="12"/>
      <c r="B831" s="116" t="s">
        <v>474</v>
      </c>
      <c r="C831" s="135" t="s">
        <v>444</v>
      </c>
      <c r="D831" s="46">
        <v>1.1200000000000001</v>
      </c>
      <c r="E831" s="30">
        <v>1467</v>
      </c>
      <c r="F831" s="46">
        <v>1467</v>
      </c>
      <c r="G831" s="30">
        <v>1467</v>
      </c>
      <c r="H831" s="30">
        <v>2.5499999999999998</v>
      </c>
      <c r="I831" s="30">
        <v>3255</v>
      </c>
      <c r="J831" s="30">
        <v>3255</v>
      </c>
      <c r="K831" s="64">
        <v>285</v>
      </c>
      <c r="L831" s="30">
        <v>310</v>
      </c>
      <c r="M831" s="30">
        <v>1330</v>
      </c>
      <c r="N831" s="30">
        <v>1330</v>
      </c>
      <c r="O831" s="30">
        <f t="shared" si="889"/>
        <v>3255</v>
      </c>
      <c r="P831" s="100">
        <f t="shared" si="890"/>
        <v>0</v>
      </c>
      <c r="Q831" s="30">
        <v>0</v>
      </c>
      <c r="R831" s="30">
        <v>0</v>
      </c>
      <c r="S831" s="30">
        <v>0</v>
      </c>
    </row>
    <row r="832" spans="1:19" ht="15.75" customHeight="1">
      <c r="A832" s="12"/>
      <c r="B832" s="116" t="s">
        <v>475</v>
      </c>
      <c r="C832" s="135" t="s">
        <v>445</v>
      </c>
      <c r="D832" s="46">
        <v>0.1</v>
      </c>
      <c r="E832" s="30">
        <v>200</v>
      </c>
      <c r="F832" s="46">
        <v>200</v>
      </c>
      <c r="G832" s="30">
        <v>200</v>
      </c>
      <c r="H832" s="30">
        <v>36.36</v>
      </c>
      <c r="I832" s="30">
        <v>462</v>
      </c>
      <c r="J832" s="30">
        <v>144</v>
      </c>
      <c r="K832" s="64">
        <v>144</v>
      </c>
      <c r="L832" s="30"/>
      <c r="M832" s="30"/>
      <c r="N832" s="30"/>
      <c r="O832" s="30">
        <f t="shared" si="889"/>
        <v>144</v>
      </c>
      <c r="P832" s="100">
        <f t="shared" si="890"/>
        <v>0</v>
      </c>
      <c r="Q832" s="30">
        <v>463</v>
      </c>
      <c r="R832" s="30">
        <v>0</v>
      </c>
      <c r="S832" s="30">
        <v>0</v>
      </c>
    </row>
    <row r="833" spans="1:19" ht="30.75" customHeight="1">
      <c r="A833" s="12"/>
      <c r="B833" s="17" t="s">
        <v>607</v>
      </c>
      <c r="C833" s="248"/>
      <c r="D833" s="67">
        <f t="shared" ref="D833:S834" si="933">D834</f>
        <v>1.6</v>
      </c>
      <c r="E833" s="67">
        <f t="shared" si="933"/>
        <v>1625</v>
      </c>
      <c r="F833" s="67">
        <f t="shared" si="933"/>
        <v>1625</v>
      </c>
      <c r="G833" s="67">
        <f t="shared" si="933"/>
        <v>1625</v>
      </c>
      <c r="H833" s="67">
        <f t="shared" si="933"/>
        <v>198.35999999999999</v>
      </c>
      <c r="I833" s="67">
        <f t="shared" si="933"/>
        <v>5440</v>
      </c>
      <c r="J833" s="67">
        <f t="shared" si="933"/>
        <v>4609</v>
      </c>
      <c r="K833" s="210">
        <f t="shared" si="933"/>
        <v>500</v>
      </c>
      <c r="L833" s="67">
        <f t="shared" si="933"/>
        <v>141</v>
      </c>
      <c r="M833" s="67">
        <f t="shared" si="933"/>
        <v>3968</v>
      </c>
      <c r="N833" s="67">
        <f t="shared" si="933"/>
        <v>0</v>
      </c>
      <c r="O833" s="30">
        <f t="shared" si="889"/>
        <v>4609</v>
      </c>
      <c r="P833" s="100">
        <f t="shared" si="890"/>
        <v>0</v>
      </c>
      <c r="Q833" s="67">
        <f t="shared" si="933"/>
        <v>1813</v>
      </c>
      <c r="R833" s="67">
        <f t="shared" si="933"/>
        <v>0</v>
      </c>
      <c r="S833" s="67">
        <f t="shared" si="933"/>
        <v>0</v>
      </c>
    </row>
    <row r="834" spans="1:19" ht="15.75" customHeight="1">
      <c r="A834" s="12"/>
      <c r="B834" s="116" t="s">
        <v>164</v>
      </c>
      <c r="C834" s="256"/>
      <c r="D834" s="114">
        <f t="shared" si="933"/>
        <v>1.6</v>
      </c>
      <c r="E834" s="114">
        <f t="shared" si="933"/>
        <v>1625</v>
      </c>
      <c r="F834" s="114">
        <f t="shared" si="933"/>
        <v>1625</v>
      </c>
      <c r="G834" s="114">
        <f t="shared" si="933"/>
        <v>1625</v>
      </c>
      <c r="H834" s="114">
        <f t="shared" si="933"/>
        <v>198.35999999999999</v>
      </c>
      <c r="I834" s="114">
        <f t="shared" si="933"/>
        <v>5440</v>
      </c>
      <c r="J834" s="114">
        <f t="shared" si="933"/>
        <v>4609</v>
      </c>
      <c r="K834" s="202">
        <f t="shared" si="933"/>
        <v>500</v>
      </c>
      <c r="L834" s="114">
        <f t="shared" si="933"/>
        <v>141</v>
      </c>
      <c r="M834" s="114">
        <f t="shared" si="933"/>
        <v>3968</v>
      </c>
      <c r="N834" s="114">
        <f t="shared" si="933"/>
        <v>0</v>
      </c>
      <c r="O834" s="30">
        <f t="shared" si="889"/>
        <v>4609</v>
      </c>
      <c r="P834" s="100">
        <f t="shared" si="890"/>
        <v>0</v>
      </c>
      <c r="Q834" s="114">
        <f t="shared" si="933"/>
        <v>1813</v>
      </c>
      <c r="R834" s="114">
        <f t="shared" si="933"/>
        <v>0</v>
      </c>
      <c r="S834" s="114">
        <f t="shared" si="933"/>
        <v>0</v>
      </c>
    </row>
    <row r="835" spans="1:19" ht="15.75" customHeight="1">
      <c r="A835" s="12"/>
      <c r="B835" s="148" t="s">
        <v>605</v>
      </c>
      <c r="C835" s="135">
        <v>58</v>
      </c>
      <c r="D835" s="114">
        <f t="shared" ref="D835:S835" si="934">D836+D837+D838</f>
        <v>1.6</v>
      </c>
      <c r="E835" s="114">
        <f t="shared" si="934"/>
        <v>1625</v>
      </c>
      <c r="F835" s="114">
        <f t="shared" si="934"/>
        <v>1625</v>
      </c>
      <c r="G835" s="114">
        <f t="shared" si="934"/>
        <v>1625</v>
      </c>
      <c r="H835" s="114">
        <f t="shared" ref="H835" si="935">H836+H837+H838</f>
        <v>198.35999999999999</v>
      </c>
      <c r="I835" s="114">
        <f t="shared" si="934"/>
        <v>5440</v>
      </c>
      <c r="J835" s="114">
        <f t="shared" si="934"/>
        <v>4609</v>
      </c>
      <c r="K835" s="202">
        <f t="shared" ref="K835:N835" si="936">K836+K837+K838</f>
        <v>500</v>
      </c>
      <c r="L835" s="114">
        <f t="shared" si="936"/>
        <v>141</v>
      </c>
      <c r="M835" s="114">
        <f t="shared" si="936"/>
        <v>3968</v>
      </c>
      <c r="N835" s="114">
        <f t="shared" si="936"/>
        <v>0</v>
      </c>
      <c r="O835" s="30">
        <f t="shared" si="889"/>
        <v>4609</v>
      </c>
      <c r="P835" s="100">
        <f t="shared" si="890"/>
        <v>0</v>
      </c>
      <c r="Q835" s="114">
        <f t="shared" si="934"/>
        <v>1813</v>
      </c>
      <c r="R835" s="114">
        <f t="shared" si="934"/>
        <v>0</v>
      </c>
      <c r="S835" s="114">
        <f t="shared" si="934"/>
        <v>0</v>
      </c>
    </row>
    <row r="836" spans="1:19" ht="15.75" customHeight="1">
      <c r="A836" s="12"/>
      <c r="B836" s="116" t="s">
        <v>472</v>
      </c>
      <c r="C836" s="135" t="s">
        <v>473</v>
      </c>
      <c r="D836" s="46">
        <v>0.45</v>
      </c>
      <c r="E836" s="30">
        <v>407</v>
      </c>
      <c r="F836" s="46">
        <v>407</v>
      </c>
      <c r="G836" s="30">
        <v>407</v>
      </c>
      <c r="H836" s="30">
        <v>0.84</v>
      </c>
      <c r="I836" s="30">
        <v>1304</v>
      </c>
      <c r="J836" s="30">
        <v>1304</v>
      </c>
      <c r="K836" s="64">
        <v>100</v>
      </c>
      <c r="L836" s="30">
        <v>28</v>
      </c>
      <c r="M836" s="30">
        <v>1176</v>
      </c>
      <c r="N836" s="30"/>
      <c r="O836" s="30">
        <f t="shared" si="889"/>
        <v>1304</v>
      </c>
      <c r="P836" s="100">
        <f t="shared" si="890"/>
        <v>0</v>
      </c>
      <c r="Q836" s="30">
        <v>0</v>
      </c>
      <c r="R836" s="30">
        <v>0</v>
      </c>
      <c r="S836" s="30">
        <v>0</v>
      </c>
    </row>
    <row r="837" spans="1:19" ht="15" customHeight="1">
      <c r="A837" s="12"/>
      <c r="B837" s="116" t="s">
        <v>474</v>
      </c>
      <c r="C837" s="135" t="s">
        <v>444</v>
      </c>
      <c r="D837" s="46">
        <v>1.1200000000000001</v>
      </c>
      <c r="E837" s="30">
        <v>1018</v>
      </c>
      <c r="F837" s="46">
        <v>1018</v>
      </c>
      <c r="G837" s="30">
        <v>1018</v>
      </c>
      <c r="H837" s="30">
        <v>2.1</v>
      </c>
      <c r="I837" s="30">
        <v>3261</v>
      </c>
      <c r="J837" s="30">
        <v>3261</v>
      </c>
      <c r="K837" s="64">
        <v>390</v>
      </c>
      <c r="L837" s="30">
        <v>110</v>
      </c>
      <c r="M837" s="30">
        <v>2761</v>
      </c>
      <c r="N837" s="30"/>
      <c r="O837" s="30">
        <f t="shared" si="889"/>
        <v>3261</v>
      </c>
      <c r="P837" s="100">
        <f t="shared" si="890"/>
        <v>0</v>
      </c>
      <c r="Q837" s="30">
        <v>0</v>
      </c>
      <c r="R837" s="30">
        <v>0</v>
      </c>
      <c r="S837" s="30">
        <v>0</v>
      </c>
    </row>
    <row r="838" spans="1:19" ht="15" customHeight="1">
      <c r="A838" s="12"/>
      <c r="B838" s="116" t="s">
        <v>475</v>
      </c>
      <c r="C838" s="135" t="s">
        <v>445</v>
      </c>
      <c r="D838" s="46">
        <v>0.03</v>
      </c>
      <c r="E838" s="30">
        <v>200</v>
      </c>
      <c r="F838" s="46">
        <v>200</v>
      </c>
      <c r="G838" s="30">
        <v>200</v>
      </c>
      <c r="H838" s="30">
        <v>195.42</v>
      </c>
      <c r="I838" s="30">
        <v>875</v>
      </c>
      <c r="J838" s="30">
        <v>44</v>
      </c>
      <c r="K838" s="64">
        <v>10</v>
      </c>
      <c r="L838" s="30">
        <v>3</v>
      </c>
      <c r="M838" s="30">
        <v>31</v>
      </c>
      <c r="N838" s="30"/>
      <c r="O838" s="30">
        <f t="shared" si="889"/>
        <v>44</v>
      </c>
      <c r="P838" s="100">
        <f t="shared" si="890"/>
        <v>0</v>
      </c>
      <c r="Q838" s="30">
        <v>1813</v>
      </c>
      <c r="R838" s="30">
        <v>0</v>
      </c>
      <c r="S838" s="30">
        <v>0</v>
      </c>
    </row>
    <row r="839" spans="1:19" ht="22.5" customHeight="1">
      <c r="A839" s="192" t="s">
        <v>340</v>
      </c>
      <c r="B839" s="269" t="s">
        <v>573</v>
      </c>
      <c r="C839" s="243" t="s">
        <v>341</v>
      </c>
      <c r="D839" s="271">
        <f t="shared" ref="D839:G840" si="937">D847+D855+D863+D887+D916+D895+D871+D879+D900</f>
        <v>44451.509999999995</v>
      </c>
      <c r="E839" s="271">
        <f t="shared" si="937"/>
        <v>43585.5</v>
      </c>
      <c r="F839" s="271">
        <f t="shared" si="937"/>
        <v>37550</v>
      </c>
      <c r="G839" s="271">
        <f t="shared" si="937"/>
        <v>43585.38</v>
      </c>
      <c r="H839" s="271">
        <f t="shared" ref="H839" si="938">H847+H855+H863+H887+H916+H895+H871+H879+H900</f>
        <v>41883.4</v>
      </c>
      <c r="I839" s="271">
        <f t="shared" ref="I839:S839" si="939">I847+I855+I863+I887+I916+I895+I871+I879+I900+I908</f>
        <v>52228</v>
      </c>
      <c r="J839" s="271">
        <f t="shared" si="939"/>
        <v>47786</v>
      </c>
      <c r="K839" s="272">
        <f t="shared" si="939"/>
        <v>11980</v>
      </c>
      <c r="L839" s="271">
        <f t="shared" si="939"/>
        <v>11936</v>
      </c>
      <c r="M839" s="271">
        <f t="shared" si="939"/>
        <v>12520</v>
      </c>
      <c r="N839" s="271">
        <f t="shared" si="939"/>
        <v>11350</v>
      </c>
      <c r="O839" s="273">
        <f t="shared" si="889"/>
        <v>47786</v>
      </c>
      <c r="P839" s="271">
        <f t="shared" si="890"/>
        <v>0</v>
      </c>
      <c r="Q839" s="271">
        <f t="shared" si="939"/>
        <v>47775</v>
      </c>
      <c r="R839" s="271">
        <f t="shared" si="939"/>
        <v>47775</v>
      </c>
      <c r="S839" s="271">
        <f t="shared" si="939"/>
        <v>47775</v>
      </c>
    </row>
    <row r="840" spans="1:19" ht="14.25">
      <c r="A840" s="192"/>
      <c r="B840" s="258" t="s">
        <v>152</v>
      </c>
      <c r="C840" s="257"/>
      <c r="D840" s="138">
        <f t="shared" si="937"/>
        <v>43909.22</v>
      </c>
      <c r="E840" s="138">
        <f t="shared" si="937"/>
        <v>43517</v>
      </c>
      <c r="F840" s="138">
        <f t="shared" ref="F840:H840" si="940">F848+F856+F864+F888+F917+F896+F872+F880+F901+F909</f>
        <v>37550</v>
      </c>
      <c r="G840" s="138">
        <f t="shared" si="940"/>
        <v>43516.88</v>
      </c>
      <c r="H840" s="138">
        <f t="shared" si="940"/>
        <v>41818.400000000001</v>
      </c>
      <c r="I840" s="138">
        <f>I848+I856+I864+I888+I917+I896+I872+I880+I901+I909</f>
        <v>52187</v>
      </c>
      <c r="J840" s="138">
        <f t="shared" ref="J840:S840" si="941">J848+J856+J864+J888+J917+J896+J872+J880+J901+J909</f>
        <v>47775</v>
      </c>
      <c r="K840" s="206">
        <f t="shared" ref="K840:N840" si="942">K848+K856+K864+K888+K917+K896+K872+K880+K901+K909</f>
        <v>11980</v>
      </c>
      <c r="L840" s="138">
        <f t="shared" si="942"/>
        <v>11925</v>
      </c>
      <c r="M840" s="138">
        <f t="shared" si="942"/>
        <v>12520</v>
      </c>
      <c r="N840" s="138">
        <f t="shared" si="942"/>
        <v>11350</v>
      </c>
      <c r="O840" s="30">
        <f t="shared" si="889"/>
        <v>47775</v>
      </c>
      <c r="P840" s="100">
        <f t="shared" si="890"/>
        <v>0</v>
      </c>
      <c r="Q840" s="138">
        <f t="shared" si="941"/>
        <v>47775</v>
      </c>
      <c r="R840" s="138">
        <f t="shared" si="941"/>
        <v>47775</v>
      </c>
      <c r="S840" s="138">
        <f t="shared" si="941"/>
        <v>47775</v>
      </c>
    </row>
    <row r="841" spans="1:19" ht="14.25">
      <c r="A841" s="192"/>
      <c r="B841" s="258" t="s">
        <v>153</v>
      </c>
      <c r="C841" s="259">
        <v>1</v>
      </c>
      <c r="D841" s="138">
        <f t="shared" ref="D841:G843" si="943">D849+D857+D865+D889+D918+D897+D873+D881+D902+D910</f>
        <v>43909.22</v>
      </c>
      <c r="E841" s="138">
        <f t="shared" si="943"/>
        <v>43745.75</v>
      </c>
      <c r="F841" s="138">
        <f t="shared" si="943"/>
        <v>37550</v>
      </c>
      <c r="G841" s="138">
        <f t="shared" si="943"/>
        <v>43746.11</v>
      </c>
      <c r="H841" s="138">
        <f t="shared" ref="H841" si="944">H849+H857+H865+H889+H918+H897+H873+H881+H902+H910</f>
        <v>42103</v>
      </c>
      <c r="I841" s="138">
        <f>I849+I857+I865+I889+I918+I897+I873+I881+I902+I910</f>
        <v>52187</v>
      </c>
      <c r="J841" s="138">
        <f t="shared" ref="J841:S843" si="945">J849+J857+J865+J889+J918+J897+J873+J881+J902+J910</f>
        <v>47775</v>
      </c>
      <c r="K841" s="206">
        <f t="shared" ref="K841:N841" si="946">K849+K857+K865+K889+K918+K897+K873+K881+K902+K910</f>
        <v>11980</v>
      </c>
      <c r="L841" s="138">
        <f t="shared" si="946"/>
        <v>11925</v>
      </c>
      <c r="M841" s="138">
        <f t="shared" si="946"/>
        <v>12520</v>
      </c>
      <c r="N841" s="138">
        <f t="shared" si="946"/>
        <v>11350</v>
      </c>
      <c r="O841" s="30">
        <f t="shared" ref="O841:O843" si="947">K841+L841+M841+N841</f>
        <v>47775</v>
      </c>
      <c r="P841" s="100">
        <f t="shared" ref="P841:P844" si="948">J841-O841</f>
        <v>0</v>
      </c>
      <c r="Q841" s="138">
        <f t="shared" si="945"/>
        <v>47775</v>
      </c>
      <c r="R841" s="138">
        <f t="shared" si="945"/>
        <v>47775</v>
      </c>
      <c r="S841" s="138">
        <f t="shared" si="945"/>
        <v>47775</v>
      </c>
    </row>
    <row r="842" spans="1:19" ht="14.25">
      <c r="A842" s="192"/>
      <c r="B842" s="258" t="s">
        <v>154</v>
      </c>
      <c r="C842" s="259">
        <v>10</v>
      </c>
      <c r="D842" s="138">
        <f t="shared" si="943"/>
        <v>35968.04</v>
      </c>
      <c r="E842" s="138">
        <f t="shared" si="943"/>
        <v>35260</v>
      </c>
      <c r="F842" s="138">
        <f t="shared" si="943"/>
        <v>31450</v>
      </c>
      <c r="G842" s="138">
        <f t="shared" si="943"/>
        <v>35260</v>
      </c>
      <c r="H842" s="138">
        <f t="shared" ref="H842" si="949">H850+H858+H866+H890+H919+H898+H874+H882+H903+H911</f>
        <v>34373</v>
      </c>
      <c r="I842" s="138">
        <f>I850+I858+I866+I890+I919+I898+I874+I882+I903+I911</f>
        <v>41662</v>
      </c>
      <c r="J842" s="138">
        <f t="shared" si="945"/>
        <v>40140</v>
      </c>
      <c r="K842" s="206">
        <f t="shared" ref="K842:N842" si="950">K850+K858+K866+K890+K919+K898+K874+K882+K903+K911</f>
        <v>10100</v>
      </c>
      <c r="L842" s="138">
        <f t="shared" si="950"/>
        <v>10050</v>
      </c>
      <c r="M842" s="138">
        <f t="shared" si="950"/>
        <v>10555</v>
      </c>
      <c r="N842" s="138">
        <f t="shared" si="950"/>
        <v>9435</v>
      </c>
      <c r="O842" s="30">
        <f t="shared" si="947"/>
        <v>40140</v>
      </c>
      <c r="P842" s="100">
        <f t="shared" si="948"/>
        <v>0</v>
      </c>
      <c r="Q842" s="138">
        <f t="shared" si="945"/>
        <v>40140</v>
      </c>
      <c r="R842" s="138">
        <f t="shared" si="945"/>
        <v>40140</v>
      </c>
      <c r="S842" s="138">
        <f t="shared" si="945"/>
        <v>40140</v>
      </c>
    </row>
    <row r="843" spans="1:19" ht="14.25">
      <c r="A843" s="192"/>
      <c r="B843" s="258" t="s">
        <v>581</v>
      </c>
      <c r="C843" s="259">
        <v>20</v>
      </c>
      <c r="D843" s="138">
        <f t="shared" si="943"/>
        <v>7941.1799999999994</v>
      </c>
      <c r="E843" s="138">
        <f t="shared" si="943"/>
        <v>8485.75</v>
      </c>
      <c r="F843" s="138">
        <f t="shared" si="943"/>
        <v>6100</v>
      </c>
      <c r="G843" s="138">
        <f t="shared" si="943"/>
        <v>8486.11</v>
      </c>
      <c r="H843" s="138">
        <f t="shared" ref="H843" si="951">H851+H859+H867+H891+H920+H899+H875+H883+H904+H912</f>
        <v>7730</v>
      </c>
      <c r="I843" s="138">
        <f>I851+I859+I867+I891+I920+I899+I875+I883+I904+I912</f>
        <v>10525</v>
      </c>
      <c r="J843" s="138">
        <f t="shared" si="945"/>
        <v>7635</v>
      </c>
      <c r="K843" s="206">
        <f t="shared" ref="K843:N843" si="952">K851+K859+K867+K891+K920+K899+K875+K883+K904+K912</f>
        <v>1880</v>
      </c>
      <c r="L843" s="138">
        <f t="shared" si="952"/>
        <v>1875</v>
      </c>
      <c r="M843" s="138">
        <f t="shared" si="952"/>
        <v>1965</v>
      </c>
      <c r="N843" s="138">
        <f t="shared" si="952"/>
        <v>1915</v>
      </c>
      <c r="O843" s="30">
        <f t="shared" si="947"/>
        <v>7635</v>
      </c>
      <c r="P843" s="100">
        <f t="shared" si="948"/>
        <v>0</v>
      </c>
      <c r="Q843" s="138">
        <f t="shared" si="945"/>
        <v>7635</v>
      </c>
      <c r="R843" s="138">
        <f t="shared" si="945"/>
        <v>7635</v>
      </c>
      <c r="S843" s="138">
        <f t="shared" si="945"/>
        <v>7635</v>
      </c>
    </row>
    <row r="844" spans="1:19" ht="18" customHeight="1">
      <c r="A844" s="192"/>
      <c r="B844" s="260" t="s">
        <v>163</v>
      </c>
      <c r="C844" s="257" t="s">
        <v>251</v>
      </c>
      <c r="D844" s="138">
        <f t="shared" ref="D844:G844" si="953">D852+D860+D868+D876+D884+D892+D905+D921+D913</f>
        <v>0</v>
      </c>
      <c r="E844" s="138">
        <f t="shared" si="953"/>
        <v>-228.75</v>
      </c>
      <c r="F844" s="138">
        <f t="shared" si="953"/>
        <v>0</v>
      </c>
      <c r="G844" s="138">
        <f t="shared" si="953"/>
        <v>-229.22999999999996</v>
      </c>
      <c r="H844" s="138">
        <f t="shared" ref="H844" si="954">H852+H860+H868+H876+H884+H892+H905+H921+H913</f>
        <v>-284.60000000000002</v>
      </c>
      <c r="I844" s="138">
        <f>I852+I860+I868+I876+I884+I892+I905+I921+I913</f>
        <v>0</v>
      </c>
      <c r="J844" s="138">
        <f t="shared" ref="J844:S844" si="955">J852+J860+J868+J876+J884+J892+J905+J921+J913</f>
        <v>0</v>
      </c>
      <c r="K844" s="206">
        <f t="shared" ref="K844:N844" si="956">K852+K860+K868+K876+K884+K892+K905+K921+K913</f>
        <v>0</v>
      </c>
      <c r="L844" s="138">
        <f t="shared" si="956"/>
        <v>0</v>
      </c>
      <c r="M844" s="138">
        <f t="shared" si="956"/>
        <v>0</v>
      </c>
      <c r="N844" s="138">
        <f t="shared" si="956"/>
        <v>0</v>
      </c>
      <c r="O844" s="30">
        <f t="shared" ref="O844:O907" si="957">K844+L844+M844+N844</f>
        <v>0</v>
      </c>
      <c r="P844" s="100">
        <f t="shared" si="948"/>
        <v>0</v>
      </c>
      <c r="Q844" s="138">
        <f t="shared" si="955"/>
        <v>0</v>
      </c>
      <c r="R844" s="138">
        <f t="shared" si="955"/>
        <v>0</v>
      </c>
      <c r="S844" s="138">
        <f t="shared" si="955"/>
        <v>0</v>
      </c>
    </row>
    <row r="845" spans="1:19" ht="14.25">
      <c r="A845" s="192"/>
      <c r="B845" s="258" t="s">
        <v>164</v>
      </c>
      <c r="C845" s="259"/>
      <c r="D845" s="138">
        <f t="shared" ref="D845:G846" si="958">D853+D861+D869+D893+D922+D885+D906+D877</f>
        <v>542.29</v>
      </c>
      <c r="E845" s="138">
        <f t="shared" si="958"/>
        <v>68.5</v>
      </c>
      <c r="F845" s="138">
        <f t="shared" si="958"/>
        <v>0</v>
      </c>
      <c r="G845" s="138">
        <f t="shared" si="958"/>
        <v>68.5</v>
      </c>
      <c r="H845" s="138">
        <f t="shared" ref="H845" si="959">H853+H861+H869+H893+H922+H885+H906+H877</f>
        <v>65</v>
      </c>
      <c r="I845" s="138">
        <f>I853+I861+I869+I893+I922+I885+I906+I877+I914</f>
        <v>41</v>
      </c>
      <c r="J845" s="138">
        <f t="shared" ref="J845:S846" si="960">J853+J861+J869+J893+J922+J885+J906+J877+J914</f>
        <v>11</v>
      </c>
      <c r="K845" s="206">
        <f t="shared" ref="K845:N845" si="961">K853+K861+K869+K893+K922+K885+K906+K877+K914</f>
        <v>0</v>
      </c>
      <c r="L845" s="138">
        <f t="shared" si="961"/>
        <v>11</v>
      </c>
      <c r="M845" s="138">
        <f t="shared" si="961"/>
        <v>0</v>
      </c>
      <c r="N845" s="138">
        <f t="shared" si="961"/>
        <v>0</v>
      </c>
      <c r="O845" s="30">
        <f t="shared" si="957"/>
        <v>11</v>
      </c>
      <c r="P845" s="100">
        <f t="shared" ref="P845:P908" si="962">J845-O845</f>
        <v>0</v>
      </c>
      <c r="Q845" s="138">
        <f t="shared" si="960"/>
        <v>0</v>
      </c>
      <c r="R845" s="138">
        <f t="shared" si="960"/>
        <v>0</v>
      </c>
      <c r="S845" s="138">
        <f t="shared" si="960"/>
        <v>0</v>
      </c>
    </row>
    <row r="846" spans="1:19" ht="14.25">
      <c r="A846" s="192"/>
      <c r="B846" s="258" t="s">
        <v>193</v>
      </c>
      <c r="C846" s="259">
        <v>70</v>
      </c>
      <c r="D846" s="138">
        <f t="shared" si="958"/>
        <v>542.29</v>
      </c>
      <c r="E846" s="138">
        <f t="shared" si="958"/>
        <v>68.5</v>
      </c>
      <c r="F846" s="138">
        <f t="shared" si="958"/>
        <v>0</v>
      </c>
      <c r="G846" s="138">
        <f t="shared" si="958"/>
        <v>68.5</v>
      </c>
      <c r="H846" s="138">
        <f t="shared" ref="H846" si="963">H854+H862+H870+H894+H923+H886+H907+H878</f>
        <v>65</v>
      </c>
      <c r="I846" s="138">
        <f>I854+I862+I870+I894+I923+I886+I907+I878+I915</f>
        <v>41</v>
      </c>
      <c r="J846" s="138">
        <f t="shared" si="960"/>
        <v>11</v>
      </c>
      <c r="K846" s="206">
        <f t="shared" ref="K846:N846" si="964">K854+K862+K870+K894+K923+K886+K907+K878+K915</f>
        <v>0</v>
      </c>
      <c r="L846" s="138">
        <f t="shared" si="964"/>
        <v>11</v>
      </c>
      <c r="M846" s="138">
        <f t="shared" si="964"/>
        <v>0</v>
      </c>
      <c r="N846" s="138">
        <f t="shared" si="964"/>
        <v>0</v>
      </c>
      <c r="O846" s="30">
        <f t="shared" si="957"/>
        <v>11</v>
      </c>
      <c r="P846" s="100">
        <f t="shared" si="962"/>
        <v>0</v>
      </c>
      <c r="Q846" s="138">
        <f t="shared" si="960"/>
        <v>0</v>
      </c>
      <c r="R846" s="138">
        <f t="shared" si="960"/>
        <v>0</v>
      </c>
      <c r="S846" s="138">
        <f t="shared" si="960"/>
        <v>0</v>
      </c>
    </row>
    <row r="847" spans="1:19" ht="26.25" customHeight="1">
      <c r="A847" s="12" t="s">
        <v>342</v>
      </c>
      <c r="B847" s="269" t="s">
        <v>343</v>
      </c>
      <c r="C847" s="270" t="s">
        <v>344</v>
      </c>
      <c r="D847" s="271">
        <f t="shared" ref="D847:S847" si="965">D848+D853</f>
        <v>12154</v>
      </c>
      <c r="E847" s="271">
        <f t="shared" si="965"/>
        <v>11308</v>
      </c>
      <c r="F847" s="271">
        <f t="shared" si="965"/>
        <v>9500</v>
      </c>
      <c r="G847" s="271">
        <f t="shared" si="965"/>
        <v>11308</v>
      </c>
      <c r="H847" s="271">
        <f t="shared" ref="H847" si="966">H848+H853</f>
        <v>11095</v>
      </c>
      <c r="I847" s="271">
        <f t="shared" si="965"/>
        <v>13420</v>
      </c>
      <c r="J847" s="271">
        <f t="shared" si="965"/>
        <v>12300</v>
      </c>
      <c r="K847" s="272">
        <f t="shared" ref="K847:N847" si="967">K848+K853</f>
        <v>3050</v>
      </c>
      <c r="L847" s="271">
        <f t="shared" si="967"/>
        <v>3050</v>
      </c>
      <c r="M847" s="271">
        <f t="shared" si="967"/>
        <v>3250</v>
      </c>
      <c r="N847" s="271">
        <f t="shared" si="967"/>
        <v>2950</v>
      </c>
      <c r="O847" s="273">
        <f t="shared" si="957"/>
        <v>12300</v>
      </c>
      <c r="P847" s="271">
        <f t="shared" si="962"/>
        <v>0</v>
      </c>
      <c r="Q847" s="271">
        <f t="shared" si="965"/>
        <v>12300</v>
      </c>
      <c r="R847" s="271">
        <f t="shared" si="965"/>
        <v>12300</v>
      </c>
      <c r="S847" s="271">
        <f t="shared" si="965"/>
        <v>12300</v>
      </c>
    </row>
    <row r="848" spans="1:19" ht="14.25">
      <c r="A848" s="12"/>
      <c r="B848" s="129" t="s">
        <v>152</v>
      </c>
      <c r="C848" s="135"/>
      <c r="D848" s="138">
        <f>D849+D852</f>
        <v>12154</v>
      </c>
      <c r="E848" s="138">
        <f t="shared" ref="E848:S848" si="968">E849+E852</f>
        <v>11308</v>
      </c>
      <c r="F848" s="138">
        <f>F849+F852</f>
        <v>9500</v>
      </c>
      <c r="G848" s="138">
        <f t="shared" si="968"/>
        <v>11308</v>
      </c>
      <c r="H848" s="138">
        <f t="shared" ref="H848" si="969">H849+H852</f>
        <v>11095</v>
      </c>
      <c r="I848" s="138">
        <f t="shared" si="968"/>
        <v>13420</v>
      </c>
      <c r="J848" s="138">
        <f t="shared" si="968"/>
        <v>12300</v>
      </c>
      <c r="K848" s="206">
        <f t="shared" ref="K848:N848" si="970">K849+K852</f>
        <v>3050</v>
      </c>
      <c r="L848" s="138">
        <f t="shared" si="970"/>
        <v>3050</v>
      </c>
      <c r="M848" s="138">
        <f t="shared" si="970"/>
        <v>3250</v>
      </c>
      <c r="N848" s="138">
        <f t="shared" si="970"/>
        <v>2950</v>
      </c>
      <c r="O848" s="30">
        <f t="shared" si="957"/>
        <v>12300</v>
      </c>
      <c r="P848" s="100">
        <f t="shared" si="962"/>
        <v>0</v>
      </c>
      <c r="Q848" s="138">
        <f t="shared" si="968"/>
        <v>12300</v>
      </c>
      <c r="R848" s="138">
        <f t="shared" si="968"/>
        <v>12300</v>
      </c>
      <c r="S848" s="138">
        <f t="shared" si="968"/>
        <v>12300</v>
      </c>
    </row>
    <row r="849" spans="1:19" ht="14.25">
      <c r="A849" s="12"/>
      <c r="B849" s="116" t="s">
        <v>153</v>
      </c>
      <c r="C849" s="135">
        <v>1</v>
      </c>
      <c r="D849" s="102">
        <f t="shared" ref="D849:S849" si="971">D850+D851</f>
        <v>12154</v>
      </c>
      <c r="E849" s="102">
        <f t="shared" si="971"/>
        <v>11374.56</v>
      </c>
      <c r="F849" s="102">
        <f t="shared" si="971"/>
        <v>9500</v>
      </c>
      <c r="G849" s="102">
        <f t="shared" si="971"/>
        <v>11375</v>
      </c>
      <c r="H849" s="102">
        <f t="shared" ref="H849" si="972">H850+H851</f>
        <v>11185</v>
      </c>
      <c r="I849" s="102">
        <f t="shared" si="971"/>
        <v>13420</v>
      </c>
      <c r="J849" s="102">
        <f t="shared" si="971"/>
        <v>12300</v>
      </c>
      <c r="K849" s="208">
        <f t="shared" ref="K849:N849" si="973">K850+K851</f>
        <v>3050</v>
      </c>
      <c r="L849" s="102">
        <f t="shared" si="973"/>
        <v>3050</v>
      </c>
      <c r="M849" s="102">
        <f t="shared" si="973"/>
        <v>3250</v>
      </c>
      <c r="N849" s="102">
        <f t="shared" si="973"/>
        <v>2950</v>
      </c>
      <c r="O849" s="30">
        <f t="shared" si="957"/>
        <v>12300</v>
      </c>
      <c r="P849" s="100">
        <f t="shared" si="962"/>
        <v>0</v>
      </c>
      <c r="Q849" s="102">
        <f t="shared" si="971"/>
        <v>12300</v>
      </c>
      <c r="R849" s="102">
        <f t="shared" si="971"/>
        <v>12300</v>
      </c>
      <c r="S849" s="102">
        <f t="shared" si="971"/>
        <v>12300</v>
      </c>
    </row>
    <row r="850" spans="1:19" ht="14.25">
      <c r="A850" s="12"/>
      <c r="B850" s="116" t="s">
        <v>154</v>
      </c>
      <c r="C850" s="135">
        <v>10</v>
      </c>
      <c r="D850" s="46">
        <v>10215</v>
      </c>
      <c r="E850" s="30">
        <v>9630</v>
      </c>
      <c r="F850" s="46">
        <v>8000</v>
      </c>
      <c r="G850" s="30">
        <v>9630</v>
      </c>
      <c r="H850" s="30">
        <v>9475</v>
      </c>
      <c r="I850" s="30">
        <f>9370+1770</f>
        <v>11140</v>
      </c>
      <c r="J850" s="30">
        <v>10600</v>
      </c>
      <c r="K850" s="64">
        <v>2650</v>
      </c>
      <c r="L850" s="30">
        <v>2650</v>
      </c>
      <c r="M850" s="30">
        <v>2800</v>
      </c>
      <c r="N850" s="30">
        <v>2500</v>
      </c>
      <c r="O850" s="30">
        <f t="shared" si="957"/>
        <v>10600</v>
      </c>
      <c r="P850" s="100">
        <f t="shared" si="962"/>
        <v>0</v>
      </c>
      <c r="Q850" s="30">
        <v>10600</v>
      </c>
      <c r="R850" s="30">
        <v>10600</v>
      </c>
      <c r="S850" s="30">
        <v>10600</v>
      </c>
    </row>
    <row r="851" spans="1:19" ht="12.75" customHeight="1">
      <c r="A851" s="12"/>
      <c r="B851" s="116" t="s">
        <v>581</v>
      </c>
      <c r="C851" s="135">
        <v>20</v>
      </c>
      <c r="D851" s="46">
        <v>1939</v>
      </c>
      <c r="E851" s="30">
        <v>1744.56</v>
      </c>
      <c r="F851" s="46">
        <v>1500</v>
      </c>
      <c r="G851" s="30">
        <v>1745</v>
      </c>
      <c r="H851" s="30">
        <v>1710</v>
      </c>
      <c r="I851" s="30">
        <f>1770+510</f>
        <v>2280</v>
      </c>
      <c r="J851" s="30">
        <v>1700</v>
      </c>
      <c r="K851" s="64">
        <v>400</v>
      </c>
      <c r="L851" s="30">
        <v>400</v>
      </c>
      <c r="M851" s="30">
        <v>450</v>
      </c>
      <c r="N851" s="30">
        <v>450</v>
      </c>
      <c r="O851" s="30">
        <f t="shared" si="957"/>
        <v>1700</v>
      </c>
      <c r="P851" s="100">
        <f t="shared" si="962"/>
        <v>0</v>
      </c>
      <c r="Q851" s="30">
        <v>1700</v>
      </c>
      <c r="R851" s="30">
        <v>1700</v>
      </c>
      <c r="S851" s="30">
        <v>1700</v>
      </c>
    </row>
    <row r="852" spans="1:19" ht="27.75" hidden="1" customHeight="1">
      <c r="A852" s="12"/>
      <c r="B852" s="35" t="s">
        <v>163</v>
      </c>
      <c r="C852" s="135" t="s">
        <v>251</v>
      </c>
      <c r="D852" s="46"/>
      <c r="E852" s="30">
        <v>-66.56</v>
      </c>
      <c r="F852" s="46"/>
      <c r="G852" s="30">
        <v>-67</v>
      </c>
      <c r="H852" s="30">
        <v>-90</v>
      </c>
      <c r="I852" s="30"/>
      <c r="J852" s="30"/>
      <c r="K852" s="64"/>
      <c r="L852" s="30"/>
      <c r="M852" s="30"/>
      <c r="N852" s="30"/>
      <c r="O852" s="30">
        <f t="shared" si="957"/>
        <v>0</v>
      </c>
      <c r="P852" s="100">
        <f t="shared" si="962"/>
        <v>0</v>
      </c>
      <c r="Q852" s="30"/>
      <c r="R852" s="30"/>
      <c r="S852" s="30"/>
    </row>
    <row r="853" spans="1:19" ht="15" hidden="1" customHeight="1">
      <c r="A853" s="12"/>
      <c r="B853" s="129" t="s">
        <v>164</v>
      </c>
      <c r="C853" s="135"/>
      <c r="D853" s="46"/>
      <c r="E853" s="30"/>
      <c r="F853" s="46"/>
      <c r="G853" s="30"/>
      <c r="H853" s="31"/>
      <c r="I853" s="30"/>
      <c r="J853" s="30"/>
      <c r="K853" s="64"/>
      <c r="L853" s="30"/>
      <c r="M853" s="30"/>
      <c r="N853" s="30"/>
      <c r="O853" s="30">
        <f t="shared" si="957"/>
        <v>0</v>
      </c>
      <c r="P853" s="100">
        <f t="shared" si="962"/>
        <v>0</v>
      </c>
      <c r="Q853" s="30"/>
      <c r="R853" s="30"/>
      <c r="S853" s="30"/>
    </row>
    <row r="854" spans="1:19" ht="12" hidden="1" customHeight="1">
      <c r="A854" s="12"/>
      <c r="B854" s="116" t="s">
        <v>193</v>
      </c>
      <c r="C854" s="135">
        <v>70</v>
      </c>
      <c r="D854" s="46"/>
      <c r="E854" s="30"/>
      <c r="F854" s="46"/>
      <c r="G854" s="30"/>
      <c r="H854" s="31"/>
      <c r="I854" s="30"/>
      <c r="J854" s="30"/>
      <c r="K854" s="64"/>
      <c r="L854" s="30"/>
      <c r="M854" s="30"/>
      <c r="N854" s="30"/>
      <c r="O854" s="30">
        <f t="shared" si="957"/>
        <v>0</v>
      </c>
      <c r="P854" s="100">
        <f t="shared" si="962"/>
        <v>0</v>
      </c>
      <c r="Q854" s="30"/>
      <c r="R854" s="30"/>
      <c r="S854" s="30"/>
    </row>
    <row r="855" spans="1:19" ht="28.5" customHeight="1">
      <c r="A855" s="12" t="s">
        <v>345</v>
      </c>
      <c r="B855" s="269" t="s">
        <v>346</v>
      </c>
      <c r="C855" s="270" t="s">
        <v>347</v>
      </c>
      <c r="D855" s="271">
        <f t="shared" ref="D855:S855" si="974">D856+D861</f>
        <v>6876</v>
      </c>
      <c r="E855" s="271">
        <f t="shared" si="974"/>
        <v>6595.5</v>
      </c>
      <c r="F855" s="271">
        <f t="shared" si="974"/>
        <v>5650</v>
      </c>
      <c r="G855" s="271">
        <f t="shared" si="974"/>
        <v>6596</v>
      </c>
      <c r="H855" s="271">
        <f t="shared" ref="H855" si="975">H856+H861</f>
        <v>6453</v>
      </c>
      <c r="I855" s="271">
        <f t="shared" si="974"/>
        <v>7354</v>
      </c>
      <c r="J855" s="271">
        <f t="shared" si="974"/>
        <v>6600</v>
      </c>
      <c r="K855" s="272">
        <f t="shared" ref="K855:N855" si="976">K856+K861</f>
        <v>1675</v>
      </c>
      <c r="L855" s="271">
        <f t="shared" si="976"/>
        <v>1675</v>
      </c>
      <c r="M855" s="271">
        <f t="shared" si="976"/>
        <v>1675</v>
      </c>
      <c r="N855" s="271">
        <f t="shared" si="976"/>
        <v>1575</v>
      </c>
      <c r="O855" s="273">
        <f t="shared" si="957"/>
        <v>6600</v>
      </c>
      <c r="P855" s="271">
        <f t="shared" si="962"/>
        <v>0</v>
      </c>
      <c r="Q855" s="271">
        <f t="shared" si="974"/>
        <v>6600</v>
      </c>
      <c r="R855" s="271">
        <f t="shared" si="974"/>
        <v>6600</v>
      </c>
      <c r="S855" s="271">
        <f t="shared" si="974"/>
        <v>6600</v>
      </c>
    </row>
    <row r="856" spans="1:19" ht="14.25">
      <c r="A856" s="12"/>
      <c r="B856" s="129" t="s">
        <v>152</v>
      </c>
      <c r="C856" s="135"/>
      <c r="D856" s="138">
        <f>D857+D860</f>
        <v>6379</v>
      </c>
      <c r="E856" s="138">
        <f t="shared" ref="E856:S856" si="977">E857+E860</f>
        <v>6595.5</v>
      </c>
      <c r="F856" s="138">
        <f>F857+F860</f>
        <v>5650</v>
      </c>
      <c r="G856" s="138">
        <f t="shared" si="977"/>
        <v>6596</v>
      </c>
      <c r="H856" s="138">
        <f t="shared" ref="H856" si="978">H857+H860</f>
        <v>6453</v>
      </c>
      <c r="I856" s="138">
        <f t="shared" si="977"/>
        <v>7324</v>
      </c>
      <c r="J856" s="138">
        <f t="shared" si="977"/>
        <v>6600</v>
      </c>
      <c r="K856" s="206">
        <f t="shared" ref="K856:N856" si="979">K857+K860</f>
        <v>1675</v>
      </c>
      <c r="L856" s="138">
        <f t="shared" si="979"/>
        <v>1675</v>
      </c>
      <c r="M856" s="138">
        <f t="shared" si="979"/>
        <v>1675</v>
      </c>
      <c r="N856" s="138">
        <f t="shared" si="979"/>
        <v>1575</v>
      </c>
      <c r="O856" s="30">
        <f t="shared" si="957"/>
        <v>6600</v>
      </c>
      <c r="P856" s="100">
        <f t="shared" si="962"/>
        <v>0</v>
      </c>
      <c r="Q856" s="138">
        <f t="shared" si="977"/>
        <v>6600</v>
      </c>
      <c r="R856" s="138">
        <f t="shared" si="977"/>
        <v>6600</v>
      </c>
      <c r="S856" s="138">
        <f t="shared" si="977"/>
        <v>6600</v>
      </c>
    </row>
    <row r="857" spans="1:19" ht="14.25">
      <c r="A857" s="12"/>
      <c r="B857" s="116" t="s">
        <v>153</v>
      </c>
      <c r="C857" s="135">
        <v>1</v>
      </c>
      <c r="D857" s="102">
        <f t="shared" ref="D857:S857" si="980">D858+D859</f>
        <v>6379</v>
      </c>
      <c r="E857" s="102">
        <f t="shared" si="980"/>
        <v>6610.71</v>
      </c>
      <c r="F857" s="102">
        <f t="shared" si="980"/>
        <v>5650</v>
      </c>
      <c r="G857" s="102">
        <f t="shared" si="980"/>
        <v>6611</v>
      </c>
      <c r="H857" s="102">
        <f t="shared" ref="H857" si="981">H858+H859</f>
        <v>6468</v>
      </c>
      <c r="I857" s="102">
        <f t="shared" si="980"/>
        <v>7324</v>
      </c>
      <c r="J857" s="102">
        <f t="shared" si="980"/>
        <v>6600</v>
      </c>
      <c r="K857" s="208">
        <f t="shared" ref="K857:N857" si="982">K858+K859</f>
        <v>1675</v>
      </c>
      <c r="L857" s="102">
        <f t="shared" si="982"/>
        <v>1675</v>
      </c>
      <c r="M857" s="102">
        <f t="shared" si="982"/>
        <v>1675</v>
      </c>
      <c r="N857" s="102">
        <f t="shared" si="982"/>
        <v>1575</v>
      </c>
      <c r="O857" s="30">
        <f t="shared" si="957"/>
        <v>6600</v>
      </c>
      <c r="P857" s="100">
        <f t="shared" si="962"/>
        <v>0</v>
      </c>
      <c r="Q857" s="102">
        <f t="shared" si="980"/>
        <v>6600</v>
      </c>
      <c r="R857" s="102">
        <f t="shared" si="980"/>
        <v>6600</v>
      </c>
      <c r="S857" s="102">
        <f t="shared" si="980"/>
        <v>6600</v>
      </c>
    </row>
    <row r="858" spans="1:19" ht="14.25">
      <c r="A858" s="12"/>
      <c r="B858" s="116" t="s">
        <v>154</v>
      </c>
      <c r="C858" s="135">
        <v>10</v>
      </c>
      <c r="D858" s="46">
        <v>5200</v>
      </c>
      <c r="E858" s="30">
        <v>5150</v>
      </c>
      <c r="F858" s="46">
        <v>4750</v>
      </c>
      <c r="G858" s="30">
        <v>5150</v>
      </c>
      <c r="H858" s="30">
        <v>5097</v>
      </c>
      <c r="I858" s="30">
        <v>5700</v>
      </c>
      <c r="J858" s="30">
        <v>5500</v>
      </c>
      <c r="K858" s="64">
        <v>1400</v>
      </c>
      <c r="L858" s="30">
        <v>1400</v>
      </c>
      <c r="M858" s="30">
        <v>1400</v>
      </c>
      <c r="N858" s="30">
        <v>1300</v>
      </c>
      <c r="O858" s="30">
        <f t="shared" si="957"/>
        <v>5500</v>
      </c>
      <c r="P858" s="100">
        <f t="shared" si="962"/>
        <v>0</v>
      </c>
      <c r="Q858" s="30">
        <v>5500</v>
      </c>
      <c r="R858" s="30">
        <v>5500</v>
      </c>
      <c r="S858" s="30">
        <v>5500</v>
      </c>
    </row>
    <row r="859" spans="1:19" ht="14.25" customHeight="1">
      <c r="A859" s="12"/>
      <c r="B859" s="116" t="s">
        <v>581</v>
      </c>
      <c r="C859" s="135">
        <v>20</v>
      </c>
      <c r="D859" s="46">
        <v>1179</v>
      </c>
      <c r="E859" s="30">
        <v>1460.71</v>
      </c>
      <c r="F859" s="46">
        <v>900</v>
      </c>
      <c r="G859" s="30">
        <v>1461</v>
      </c>
      <c r="H859" s="30">
        <v>1371</v>
      </c>
      <c r="I859" s="30">
        <v>1624</v>
      </c>
      <c r="J859" s="30">
        <v>1100</v>
      </c>
      <c r="K859" s="64">
        <v>275</v>
      </c>
      <c r="L859" s="30">
        <v>275</v>
      </c>
      <c r="M859" s="30">
        <v>275</v>
      </c>
      <c r="N859" s="30">
        <v>275</v>
      </c>
      <c r="O859" s="30">
        <f t="shared" si="957"/>
        <v>1100</v>
      </c>
      <c r="P859" s="100">
        <f t="shared" si="962"/>
        <v>0</v>
      </c>
      <c r="Q859" s="30">
        <v>1100</v>
      </c>
      <c r="R859" s="30">
        <v>1100</v>
      </c>
      <c r="S859" s="30">
        <v>1100</v>
      </c>
    </row>
    <row r="860" spans="1:19" ht="29.25" hidden="1" customHeight="1">
      <c r="A860" s="12"/>
      <c r="B860" s="35" t="s">
        <v>163</v>
      </c>
      <c r="C860" s="135" t="s">
        <v>251</v>
      </c>
      <c r="D860" s="46"/>
      <c r="E860" s="30">
        <v>-15.21</v>
      </c>
      <c r="F860" s="46"/>
      <c r="G860" s="30">
        <v>-15</v>
      </c>
      <c r="H860" s="30">
        <v>-15</v>
      </c>
      <c r="I860" s="30"/>
      <c r="J860" s="30"/>
      <c r="K860" s="64"/>
      <c r="L860" s="30"/>
      <c r="M860" s="30"/>
      <c r="N860" s="30"/>
      <c r="O860" s="30">
        <f t="shared" si="957"/>
        <v>0</v>
      </c>
      <c r="P860" s="100">
        <f t="shared" si="962"/>
        <v>0</v>
      </c>
      <c r="Q860" s="30"/>
      <c r="R860" s="30"/>
      <c r="S860" s="30"/>
    </row>
    <row r="861" spans="1:19" ht="17.25" hidden="1" customHeight="1">
      <c r="A861" s="12"/>
      <c r="B861" s="129" t="s">
        <v>164</v>
      </c>
      <c r="C861" s="135"/>
      <c r="D861" s="102">
        <f t="shared" ref="D861:S861" si="983">D862</f>
        <v>497</v>
      </c>
      <c r="E861" s="102">
        <f t="shared" si="983"/>
        <v>0</v>
      </c>
      <c r="F861" s="102">
        <f t="shared" si="983"/>
        <v>0</v>
      </c>
      <c r="G861" s="102">
        <f t="shared" si="983"/>
        <v>0</v>
      </c>
      <c r="H861" s="102">
        <f t="shared" si="983"/>
        <v>0</v>
      </c>
      <c r="I861" s="102">
        <f t="shared" si="983"/>
        <v>30</v>
      </c>
      <c r="J861" s="102">
        <f t="shared" si="983"/>
        <v>0</v>
      </c>
      <c r="K861" s="208">
        <f t="shared" si="983"/>
        <v>0</v>
      </c>
      <c r="L861" s="102">
        <f t="shared" si="983"/>
        <v>0</v>
      </c>
      <c r="M861" s="102">
        <f t="shared" si="983"/>
        <v>0</v>
      </c>
      <c r="N861" s="102">
        <f t="shared" si="983"/>
        <v>0</v>
      </c>
      <c r="O861" s="30">
        <f t="shared" si="957"/>
        <v>0</v>
      </c>
      <c r="P861" s="100">
        <f t="shared" si="962"/>
        <v>0</v>
      </c>
      <c r="Q861" s="102">
        <f t="shared" si="983"/>
        <v>0</v>
      </c>
      <c r="R861" s="102">
        <f t="shared" si="983"/>
        <v>0</v>
      </c>
      <c r="S861" s="102">
        <f t="shared" si="983"/>
        <v>0</v>
      </c>
    </row>
    <row r="862" spans="1:19" ht="18" hidden="1" customHeight="1">
      <c r="A862" s="12"/>
      <c r="B862" s="116" t="s">
        <v>193</v>
      </c>
      <c r="C862" s="135">
        <v>70</v>
      </c>
      <c r="D862" s="46">
        <v>497</v>
      </c>
      <c r="E862" s="30"/>
      <c r="F862" s="46">
        <v>0</v>
      </c>
      <c r="G862" s="30"/>
      <c r="H862" s="30"/>
      <c r="I862" s="30">
        <v>30</v>
      </c>
      <c r="J862" s="30">
        <v>0</v>
      </c>
      <c r="K862" s="64">
        <v>0</v>
      </c>
      <c r="L862" s="30">
        <v>0</v>
      </c>
      <c r="M862" s="30">
        <v>0</v>
      </c>
      <c r="N862" s="30">
        <v>0</v>
      </c>
      <c r="O862" s="30">
        <f t="shared" si="957"/>
        <v>0</v>
      </c>
      <c r="P862" s="100">
        <f t="shared" si="962"/>
        <v>0</v>
      </c>
      <c r="Q862" s="30"/>
      <c r="R862" s="30"/>
      <c r="S862" s="30"/>
    </row>
    <row r="863" spans="1:19" ht="25.5">
      <c r="A863" s="12" t="s">
        <v>348</v>
      </c>
      <c r="B863" s="269" t="s">
        <v>349</v>
      </c>
      <c r="C863" s="270" t="s">
        <v>350</v>
      </c>
      <c r="D863" s="271">
        <f t="shared" ref="D863:S863" si="984">D864+D869</f>
        <v>11909.34</v>
      </c>
      <c r="E863" s="271">
        <f t="shared" si="984"/>
        <v>11762.5</v>
      </c>
      <c r="F863" s="271">
        <f t="shared" si="984"/>
        <v>9700</v>
      </c>
      <c r="G863" s="271">
        <f t="shared" si="984"/>
        <v>11761.98</v>
      </c>
      <c r="H863" s="271">
        <f t="shared" ref="H863" si="985">H864+H869</f>
        <v>11149</v>
      </c>
      <c r="I863" s="271">
        <f t="shared" si="984"/>
        <v>13545</v>
      </c>
      <c r="J863" s="271">
        <f t="shared" si="984"/>
        <v>12450</v>
      </c>
      <c r="K863" s="272">
        <f t="shared" ref="K863:N863" si="986">K864+K869</f>
        <v>3050</v>
      </c>
      <c r="L863" s="271">
        <f t="shared" si="986"/>
        <v>3050</v>
      </c>
      <c r="M863" s="271">
        <f t="shared" si="986"/>
        <v>3300</v>
      </c>
      <c r="N863" s="271">
        <f t="shared" si="986"/>
        <v>3050</v>
      </c>
      <c r="O863" s="273">
        <f t="shared" si="957"/>
        <v>12450</v>
      </c>
      <c r="P863" s="271">
        <f t="shared" si="962"/>
        <v>0</v>
      </c>
      <c r="Q863" s="271">
        <f t="shared" si="984"/>
        <v>12450</v>
      </c>
      <c r="R863" s="271">
        <f t="shared" si="984"/>
        <v>12450</v>
      </c>
      <c r="S863" s="271">
        <f t="shared" si="984"/>
        <v>12450</v>
      </c>
    </row>
    <row r="864" spans="1:19" ht="14.25">
      <c r="A864" s="12"/>
      <c r="B864" s="129" t="s">
        <v>152</v>
      </c>
      <c r="C864" s="135"/>
      <c r="D864" s="138">
        <f t="shared" ref="D864:S864" si="987">D865+D868</f>
        <v>11905.05</v>
      </c>
      <c r="E864" s="138">
        <f t="shared" si="987"/>
        <v>11715</v>
      </c>
      <c r="F864" s="138">
        <f t="shared" si="987"/>
        <v>9700</v>
      </c>
      <c r="G864" s="138">
        <f t="shared" si="987"/>
        <v>11714.48</v>
      </c>
      <c r="H864" s="138">
        <f t="shared" ref="H864" si="988">H865+H868</f>
        <v>11102</v>
      </c>
      <c r="I864" s="138">
        <f t="shared" si="987"/>
        <v>13545</v>
      </c>
      <c r="J864" s="138">
        <f t="shared" si="987"/>
        <v>12450</v>
      </c>
      <c r="K864" s="206">
        <f t="shared" ref="K864:N864" si="989">K865+K868</f>
        <v>3050</v>
      </c>
      <c r="L864" s="138">
        <f t="shared" si="989"/>
        <v>3050</v>
      </c>
      <c r="M864" s="138">
        <f t="shared" si="989"/>
        <v>3300</v>
      </c>
      <c r="N864" s="138">
        <f t="shared" si="989"/>
        <v>3050</v>
      </c>
      <c r="O864" s="30">
        <f t="shared" si="957"/>
        <v>12450</v>
      </c>
      <c r="P864" s="100">
        <f t="shared" si="962"/>
        <v>0</v>
      </c>
      <c r="Q864" s="138">
        <f t="shared" si="987"/>
        <v>12450</v>
      </c>
      <c r="R864" s="138">
        <f t="shared" si="987"/>
        <v>12450</v>
      </c>
      <c r="S864" s="138">
        <f t="shared" si="987"/>
        <v>12450</v>
      </c>
    </row>
    <row r="865" spans="1:19" ht="14.25">
      <c r="A865" s="12"/>
      <c r="B865" s="116" t="s">
        <v>153</v>
      </c>
      <c r="C865" s="135">
        <v>1</v>
      </c>
      <c r="D865" s="102">
        <f t="shared" ref="D865:S865" si="990">D866+D867</f>
        <v>11905.05</v>
      </c>
      <c r="E865" s="102">
        <f t="shared" si="990"/>
        <v>11841.52</v>
      </c>
      <c r="F865" s="102">
        <f t="shared" si="990"/>
        <v>9700</v>
      </c>
      <c r="G865" s="102">
        <f t="shared" si="990"/>
        <v>11841</v>
      </c>
      <c r="H865" s="102">
        <f t="shared" ref="H865" si="991">H866+H867</f>
        <v>11259</v>
      </c>
      <c r="I865" s="102">
        <f t="shared" si="990"/>
        <v>13545</v>
      </c>
      <c r="J865" s="102">
        <f t="shared" si="990"/>
        <v>12450</v>
      </c>
      <c r="K865" s="208">
        <f t="shared" ref="K865:N865" si="992">K866+K867</f>
        <v>3050</v>
      </c>
      <c r="L865" s="102">
        <f t="shared" si="992"/>
        <v>3050</v>
      </c>
      <c r="M865" s="102">
        <f t="shared" si="992"/>
        <v>3300</v>
      </c>
      <c r="N865" s="102">
        <f t="shared" si="992"/>
        <v>3050</v>
      </c>
      <c r="O865" s="30">
        <f t="shared" si="957"/>
        <v>12450</v>
      </c>
      <c r="P865" s="100">
        <f t="shared" si="962"/>
        <v>0</v>
      </c>
      <c r="Q865" s="102">
        <f t="shared" si="990"/>
        <v>12450</v>
      </c>
      <c r="R865" s="102">
        <f t="shared" si="990"/>
        <v>12450</v>
      </c>
      <c r="S865" s="102">
        <f t="shared" si="990"/>
        <v>12450</v>
      </c>
    </row>
    <row r="866" spans="1:19" ht="14.25">
      <c r="A866" s="12"/>
      <c r="B866" s="116" t="s">
        <v>154</v>
      </c>
      <c r="C866" s="135">
        <v>10</v>
      </c>
      <c r="D866" s="46">
        <v>9600.15</v>
      </c>
      <c r="E866" s="30">
        <v>9300</v>
      </c>
      <c r="F866" s="46">
        <v>8000</v>
      </c>
      <c r="G866" s="30">
        <v>9300</v>
      </c>
      <c r="H866" s="30">
        <v>9043</v>
      </c>
      <c r="I866" s="30">
        <v>10533</v>
      </c>
      <c r="J866" s="30">
        <v>10250</v>
      </c>
      <c r="K866" s="64">
        <v>2550</v>
      </c>
      <c r="L866" s="30">
        <v>2550</v>
      </c>
      <c r="M866" s="30">
        <v>2700</v>
      </c>
      <c r="N866" s="30">
        <v>2450</v>
      </c>
      <c r="O866" s="30">
        <f t="shared" si="957"/>
        <v>10250</v>
      </c>
      <c r="P866" s="100">
        <f t="shared" si="962"/>
        <v>0</v>
      </c>
      <c r="Q866" s="30">
        <v>10250</v>
      </c>
      <c r="R866" s="30">
        <v>10250</v>
      </c>
      <c r="S866" s="30">
        <v>10250</v>
      </c>
    </row>
    <row r="867" spans="1:19" ht="21" customHeight="1">
      <c r="A867" s="12"/>
      <c r="B867" s="116" t="s">
        <v>581</v>
      </c>
      <c r="C867" s="135">
        <v>20</v>
      </c>
      <c r="D867" s="46">
        <v>2304.9</v>
      </c>
      <c r="E867" s="30">
        <v>2541.52</v>
      </c>
      <c r="F867" s="46">
        <v>1700</v>
      </c>
      <c r="G867" s="30">
        <v>2541</v>
      </c>
      <c r="H867" s="30">
        <v>2216</v>
      </c>
      <c r="I867" s="30">
        <v>3012</v>
      </c>
      <c r="J867" s="30">
        <v>2200</v>
      </c>
      <c r="K867" s="64">
        <v>500</v>
      </c>
      <c r="L867" s="30">
        <v>500</v>
      </c>
      <c r="M867" s="30">
        <v>600</v>
      </c>
      <c r="N867" s="30">
        <v>600</v>
      </c>
      <c r="O867" s="30">
        <f t="shared" si="957"/>
        <v>2200</v>
      </c>
      <c r="P867" s="100">
        <f t="shared" si="962"/>
        <v>0</v>
      </c>
      <c r="Q867" s="30">
        <v>2200</v>
      </c>
      <c r="R867" s="30">
        <v>2200</v>
      </c>
      <c r="S867" s="30">
        <v>2200</v>
      </c>
    </row>
    <row r="868" spans="1:19" ht="31.5" hidden="1" customHeight="1">
      <c r="A868" s="12"/>
      <c r="B868" s="35" t="s">
        <v>163</v>
      </c>
      <c r="C868" s="135" t="s">
        <v>251</v>
      </c>
      <c r="D868" s="46"/>
      <c r="E868" s="30">
        <v>-126.52</v>
      </c>
      <c r="F868" s="46"/>
      <c r="G868" s="30">
        <v>-126.52</v>
      </c>
      <c r="H868" s="30">
        <v>-157</v>
      </c>
      <c r="I868" s="30"/>
      <c r="J868" s="30"/>
      <c r="K868" s="64"/>
      <c r="L868" s="30"/>
      <c r="M868" s="30"/>
      <c r="N868" s="30"/>
      <c r="O868" s="30">
        <f t="shared" si="957"/>
        <v>0</v>
      </c>
      <c r="P868" s="100">
        <f t="shared" si="962"/>
        <v>0</v>
      </c>
      <c r="Q868" s="30"/>
      <c r="R868" s="30"/>
      <c r="S868" s="30"/>
    </row>
    <row r="869" spans="1:19" ht="21" hidden="1" customHeight="1">
      <c r="A869" s="12"/>
      <c r="B869" s="129" t="s">
        <v>164</v>
      </c>
      <c r="C869" s="135"/>
      <c r="D869" s="102">
        <f t="shared" ref="D869:S869" si="993">D870</f>
        <v>4.29</v>
      </c>
      <c r="E869" s="102">
        <f t="shared" si="993"/>
        <v>47.5</v>
      </c>
      <c r="F869" s="102">
        <f t="shared" si="993"/>
        <v>0</v>
      </c>
      <c r="G869" s="102">
        <f t="shared" si="993"/>
        <v>47.5</v>
      </c>
      <c r="H869" s="102">
        <f t="shared" si="993"/>
        <v>47</v>
      </c>
      <c r="I869" s="102">
        <f t="shared" si="993"/>
        <v>0</v>
      </c>
      <c r="J869" s="102">
        <f t="shared" si="993"/>
        <v>0</v>
      </c>
      <c r="K869" s="208">
        <f t="shared" si="993"/>
        <v>0</v>
      </c>
      <c r="L869" s="102">
        <f t="shared" si="993"/>
        <v>0</v>
      </c>
      <c r="M869" s="102">
        <f t="shared" si="993"/>
        <v>0</v>
      </c>
      <c r="N869" s="102">
        <f t="shared" si="993"/>
        <v>0</v>
      </c>
      <c r="O869" s="30">
        <f t="shared" si="957"/>
        <v>0</v>
      </c>
      <c r="P869" s="100">
        <f t="shared" si="962"/>
        <v>0</v>
      </c>
      <c r="Q869" s="102">
        <f t="shared" si="993"/>
        <v>0</v>
      </c>
      <c r="R869" s="102">
        <f t="shared" si="993"/>
        <v>0</v>
      </c>
      <c r="S869" s="102">
        <f t="shared" si="993"/>
        <v>0</v>
      </c>
    </row>
    <row r="870" spans="1:19" ht="21" hidden="1" customHeight="1">
      <c r="A870" s="12"/>
      <c r="B870" s="116" t="s">
        <v>193</v>
      </c>
      <c r="C870" s="135">
        <v>70</v>
      </c>
      <c r="D870" s="46">
        <v>4.29</v>
      </c>
      <c r="E870" s="30">
        <v>47.5</v>
      </c>
      <c r="F870" s="46">
        <v>0</v>
      </c>
      <c r="G870" s="30">
        <v>47.5</v>
      </c>
      <c r="H870" s="30">
        <v>47</v>
      </c>
      <c r="I870" s="30"/>
      <c r="J870" s="30">
        <v>0</v>
      </c>
      <c r="K870" s="64">
        <v>0</v>
      </c>
      <c r="L870" s="30">
        <v>0</v>
      </c>
      <c r="M870" s="30">
        <v>0</v>
      </c>
      <c r="N870" s="30">
        <v>0</v>
      </c>
      <c r="O870" s="30">
        <f t="shared" si="957"/>
        <v>0</v>
      </c>
      <c r="P870" s="100">
        <f t="shared" si="962"/>
        <v>0</v>
      </c>
      <c r="Q870" s="30"/>
      <c r="R870" s="30"/>
      <c r="S870" s="30"/>
    </row>
    <row r="871" spans="1:19" ht="27" customHeight="1">
      <c r="A871" s="12" t="s">
        <v>432</v>
      </c>
      <c r="B871" s="269" t="s">
        <v>351</v>
      </c>
      <c r="C871" s="270" t="s">
        <v>350</v>
      </c>
      <c r="D871" s="271">
        <f t="shared" ref="D871:S871" si="994">D872+D877</f>
        <v>614</v>
      </c>
      <c r="E871" s="271">
        <f t="shared" si="994"/>
        <v>618.5</v>
      </c>
      <c r="F871" s="271">
        <f t="shared" si="994"/>
        <v>600</v>
      </c>
      <c r="G871" s="271">
        <f t="shared" si="994"/>
        <v>618.4</v>
      </c>
      <c r="H871" s="271">
        <f t="shared" ref="H871" si="995">H872+H877</f>
        <v>488.4</v>
      </c>
      <c r="I871" s="271">
        <f t="shared" si="994"/>
        <v>810</v>
      </c>
      <c r="J871" s="271">
        <f t="shared" si="994"/>
        <v>685</v>
      </c>
      <c r="K871" s="272">
        <f t="shared" ref="K871:N871" si="996">K872+K877</f>
        <v>175</v>
      </c>
      <c r="L871" s="271">
        <f t="shared" si="996"/>
        <v>170</v>
      </c>
      <c r="M871" s="271">
        <f t="shared" si="996"/>
        <v>170</v>
      </c>
      <c r="N871" s="271">
        <f t="shared" si="996"/>
        <v>170</v>
      </c>
      <c r="O871" s="273">
        <f t="shared" si="957"/>
        <v>685</v>
      </c>
      <c r="P871" s="271">
        <f t="shared" si="962"/>
        <v>0</v>
      </c>
      <c r="Q871" s="271">
        <f t="shared" si="994"/>
        <v>685</v>
      </c>
      <c r="R871" s="271">
        <f t="shared" si="994"/>
        <v>685</v>
      </c>
      <c r="S871" s="271">
        <f t="shared" si="994"/>
        <v>685</v>
      </c>
    </row>
    <row r="872" spans="1:19" ht="13.5" customHeight="1">
      <c r="A872" s="12"/>
      <c r="B872" s="129" t="s">
        <v>152</v>
      </c>
      <c r="C872" s="135"/>
      <c r="D872" s="102">
        <f>D873+D876</f>
        <v>614</v>
      </c>
      <c r="E872" s="102">
        <f t="shared" ref="E872:S872" si="997">E873+E876</f>
        <v>618.5</v>
      </c>
      <c r="F872" s="102">
        <f>F873+F876</f>
        <v>600</v>
      </c>
      <c r="G872" s="102">
        <f t="shared" si="997"/>
        <v>618.4</v>
      </c>
      <c r="H872" s="102">
        <f t="shared" ref="H872" si="998">H873+H876</f>
        <v>488.4</v>
      </c>
      <c r="I872" s="102">
        <f t="shared" si="997"/>
        <v>810</v>
      </c>
      <c r="J872" s="102">
        <f t="shared" si="997"/>
        <v>685</v>
      </c>
      <c r="K872" s="208">
        <f t="shared" ref="K872:N872" si="999">K873+K876</f>
        <v>175</v>
      </c>
      <c r="L872" s="102">
        <f t="shared" si="999"/>
        <v>170</v>
      </c>
      <c r="M872" s="102">
        <f t="shared" si="999"/>
        <v>170</v>
      </c>
      <c r="N872" s="102">
        <f t="shared" si="999"/>
        <v>170</v>
      </c>
      <c r="O872" s="30">
        <f t="shared" si="957"/>
        <v>685</v>
      </c>
      <c r="P872" s="100">
        <f t="shared" si="962"/>
        <v>0</v>
      </c>
      <c r="Q872" s="102">
        <f t="shared" si="997"/>
        <v>685</v>
      </c>
      <c r="R872" s="102">
        <f t="shared" si="997"/>
        <v>685</v>
      </c>
      <c r="S872" s="102">
        <f t="shared" si="997"/>
        <v>685</v>
      </c>
    </row>
    <row r="873" spans="1:19" ht="13.5" customHeight="1">
      <c r="A873" s="12"/>
      <c r="B873" s="116" t="s">
        <v>153</v>
      </c>
      <c r="C873" s="135">
        <v>1</v>
      </c>
      <c r="D873" s="102">
        <f t="shared" ref="D873:S873" si="1000">D874+D875</f>
        <v>614</v>
      </c>
      <c r="E873" s="102">
        <f t="shared" si="1000"/>
        <v>619.1</v>
      </c>
      <c r="F873" s="102">
        <f t="shared" si="1000"/>
        <v>600</v>
      </c>
      <c r="G873" s="102">
        <f t="shared" si="1000"/>
        <v>619</v>
      </c>
      <c r="H873" s="102">
        <f t="shared" ref="H873" si="1001">H874+H875</f>
        <v>489</v>
      </c>
      <c r="I873" s="102">
        <f t="shared" si="1000"/>
        <v>810</v>
      </c>
      <c r="J873" s="102">
        <f t="shared" si="1000"/>
        <v>685</v>
      </c>
      <c r="K873" s="208">
        <f t="shared" ref="K873:N873" si="1002">K874+K875</f>
        <v>175</v>
      </c>
      <c r="L873" s="102">
        <f t="shared" si="1002"/>
        <v>170</v>
      </c>
      <c r="M873" s="102">
        <f t="shared" si="1002"/>
        <v>170</v>
      </c>
      <c r="N873" s="102">
        <f t="shared" si="1002"/>
        <v>170</v>
      </c>
      <c r="O873" s="30">
        <f t="shared" si="957"/>
        <v>685</v>
      </c>
      <c r="P873" s="100">
        <f t="shared" si="962"/>
        <v>0</v>
      </c>
      <c r="Q873" s="102">
        <f t="shared" si="1000"/>
        <v>685</v>
      </c>
      <c r="R873" s="102">
        <f t="shared" si="1000"/>
        <v>685</v>
      </c>
      <c r="S873" s="102">
        <f t="shared" si="1000"/>
        <v>685</v>
      </c>
    </row>
    <row r="874" spans="1:19" ht="13.5" customHeight="1">
      <c r="A874" s="12"/>
      <c r="B874" s="116" t="s">
        <v>154</v>
      </c>
      <c r="C874" s="135">
        <v>10</v>
      </c>
      <c r="D874" s="46">
        <v>493</v>
      </c>
      <c r="E874" s="30">
        <v>500</v>
      </c>
      <c r="F874" s="46">
        <v>500</v>
      </c>
      <c r="G874" s="30">
        <v>500</v>
      </c>
      <c r="H874" s="30">
        <v>405</v>
      </c>
      <c r="I874" s="30">
        <v>650</v>
      </c>
      <c r="J874" s="30">
        <v>600</v>
      </c>
      <c r="K874" s="64">
        <v>150</v>
      </c>
      <c r="L874" s="30">
        <v>150</v>
      </c>
      <c r="M874" s="30">
        <v>150</v>
      </c>
      <c r="N874" s="30">
        <v>150</v>
      </c>
      <c r="O874" s="30">
        <f t="shared" si="957"/>
        <v>600</v>
      </c>
      <c r="P874" s="100">
        <f t="shared" si="962"/>
        <v>0</v>
      </c>
      <c r="Q874" s="30">
        <v>600</v>
      </c>
      <c r="R874" s="30">
        <v>600</v>
      </c>
      <c r="S874" s="30">
        <v>600</v>
      </c>
    </row>
    <row r="875" spans="1:19" ht="14.25" customHeight="1">
      <c r="A875" s="12"/>
      <c r="B875" s="116" t="s">
        <v>581</v>
      </c>
      <c r="C875" s="135">
        <v>20</v>
      </c>
      <c r="D875" s="46">
        <v>121</v>
      </c>
      <c r="E875" s="30">
        <v>119.1</v>
      </c>
      <c r="F875" s="46">
        <v>100</v>
      </c>
      <c r="G875" s="30">
        <v>119</v>
      </c>
      <c r="H875" s="30">
        <v>84</v>
      </c>
      <c r="I875" s="30">
        <v>160</v>
      </c>
      <c r="J875" s="30">
        <v>85</v>
      </c>
      <c r="K875" s="64">
        <v>25</v>
      </c>
      <c r="L875" s="30">
        <v>20</v>
      </c>
      <c r="M875" s="30">
        <v>20</v>
      </c>
      <c r="N875" s="30">
        <v>20</v>
      </c>
      <c r="O875" s="30">
        <f t="shared" si="957"/>
        <v>85</v>
      </c>
      <c r="P875" s="100">
        <f t="shared" si="962"/>
        <v>0</v>
      </c>
      <c r="Q875" s="30">
        <v>85</v>
      </c>
      <c r="R875" s="30">
        <v>85</v>
      </c>
      <c r="S875" s="30">
        <v>85</v>
      </c>
    </row>
    <row r="876" spans="1:19" ht="28.5" hidden="1" customHeight="1">
      <c r="A876" s="12"/>
      <c r="B876" s="35" t="s">
        <v>163</v>
      </c>
      <c r="C876" s="135" t="s">
        <v>251</v>
      </c>
      <c r="D876" s="46"/>
      <c r="E876" s="30">
        <v>-0.6</v>
      </c>
      <c r="F876" s="46"/>
      <c r="G876" s="30">
        <v>-0.6</v>
      </c>
      <c r="H876" s="30">
        <v>-0.6</v>
      </c>
      <c r="I876" s="30"/>
      <c r="J876" s="30"/>
      <c r="K876" s="64"/>
      <c r="L876" s="30"/>
      <c r="M876" s="30"/>
      <c r="N876" s="30"/>
      <c r="O876" s="30">
        <f t="shared" si="957"/>
        <v>0</v>
      </c>
      <c r="P876" s="100">
        <f t="shared" si="962"/>
        <v>0</v>
      </c>
      <c r="Q876" s="30"/>
      <c r="R876" s="30"/>
      <c r="S876" s="30"/>
    </row>
    <row r="877" spans="1:19" ht="13.5" hidden="1" customHeight="1">
      <c r="A877" s="12"/>
      <c r="B877" s="129" t="s">
        <v>164</v>
      </c>
      <c r="C877" s="135"/>
      <c r="D877" s="102">
        <f t="shared" ref="D877:S877" si="1003">D878</f>
        <v>0</v>
      </c>
      <c r="E877" s="102">
        <f t="shared" si="1003"/>
        <v>0</v>
      </c>
      <c r="F877" s="102">
        <f t="shared" si="1003"/>
        <v>0</v>
      </c>
      <c r="G877" s="102">
        <f t="shared" si="1003"/>
        <v>0</v>
      </c>
      <c r="H877" s="103">
        <f t="shared" si="1003"/>
        <v>0</v>
      </c>
      <c r="I877" s="102">
        <f t="shared" si="1003"/>
        <v>0</v>
      </c>
      <c r="J877" s="102">
        <f t="shared" si="1003"/>
        <v>0</v>
      </c>
      <c r="K877" s="208">
        <f t="shared" si="1003"/>
        <v>0</v>
      </c>
      <c r="L877" s="102">
        <f t="shared" si="1003"/>
        <v>0</v>
      </c>
      <c r="M877" s="102">
        <f t="shared" si="1003"/>
        <v>0</v>
      </c>
      <c r="N877" s="102">
        <f t="shared" si="1003"/>
        <v>0</v>
      </c>
      <c r="O877" s="30">
        <f t="shared" si="957"/>
        <v>0</v>
      </c>
      <c r="P877" s="100">
        <f t="shared" si="962"/>
        <v>0</v>
      </c>
      <c r="Q877" s="102">
        <f t="shared" si="1003"/>
        <v>0</v>
      </c>
      <c r="R877" s="102">
        <f t="shared" si="1003"/>
        <v>0</v>
      </c>
      <c r="S877" s="102">
        <f t="shared" si="1003"/>
        <v>0</v>
      </c>
    </row>
    <row r="878" spans="1:19" ht="13.5" hidden="1" customHeight="1">
      <c r="A878" s="12"/>
      <c r="B878" s="116" t="s">
        <v>193</v>
      </c>
      <c r="C878" s="135">
        <v>70</v>
      </c>
      <c r="D878" s="46">
        <v>0</v>
      </c>
      <c r="E878" s="30"/>
      <c r="F878" s="46">
        <v>0</v>
      </c>
      <c r="G878" s="30"/>
      <c r="H878" s="31"/>
      <c r="I878" s="30"/>
      <c r="J878" s="30"/>
      <c r="K878" s="64"/>
      <c r="L878" s="30"/>
      <c r="M878" s="30"/>
      <c r="N878" s="30"/>
      <c r="O878" s="30">
        <f t="shared" si="957"/>
        <v>0</v>
      </c>
      <c r="P878" s="100">
        <f t="shared" si="962"/>
        <v>0</v>
      </c>
      <c r="Q878" s="30"/>
      <c r="R878" s="30"/>
      <c r="S878" s="30"/>
    </row>
    <row r="879" spans="1:19" ht="30.75" customHeight="1">
      <c r="A879" s="12" t="s">
        <v>356</v>
      </c>
      <c r="B879" s="269" t="s">
        <v>559</v>
      </c>
      <c r="C879" s="270" t="s">
        <v>350</v>
      </c>
      <c r="D879" s="271">
        <f t="shared" ref="D879:S879" si="1004">D880+D885</f>
        <v>4254</v>
      </c>
      <c r="E879" s="271">
        <f t="shared" si="1004"/>
        <v>4337</v>
      </c>
      <c r="F879" s="271">
        <f t="shared" si="1004"/>
        <v>4200</v>
      </c>
      <c r="G879" s="271">
        <f t="shared" si="1004"/>
        <v>4337</v>
      </c>
      <c r="H879" s="271">
        <f t="shared" ref="H879" si="1005">H880+H885</f>
        <v>4200</v>
      </c>
      <c r="I879" s="271">
        <f t="shared" si="1004"/>
        <v>4667</v>
      </c>
      <c r="J879" s="271">
        <f t="shared" si="1004"/>
        <v>4500</v>
      </c>
      <c r="K879" s="272">
        <f t="shared" ref="K879:N879" si="1006">K880+K885</f>
        <v>1175</v>
      </c>
      <c r="L879" s="271">
        <f t="shared" si="1006"/>
        <v>1125</v>
      </c>
      <c r="M879" s="271">
        <f t="shared" si="1006"/>
        <v>1100</v>
      </c>
      <c r="N879" s="271">
        <f t="shared" si="1006"/>
        <v>1100</v>
      </c>
      <c r="O879" s="273">
        <f t="shared" si="957"/>
        <v>4500</v>
      </c>
      <c r="P879" s="271">
        <f t="shared" si="962"/>
        <v>0</v>
      </c>
      <c r="Q879" s="271">
        <f t="shared" si="1004"/>
        <v>4500</v>
      </c>
      <c r="R879" s="271">
        <f t="shared" si="1004"/>
        <v>4500</v>
      </c>
      <c r="S879" s="271">
        <f t="shared" si="1004"/>
        <v>4500</v>
      </c>
    </row>
    <row r="880" spans="1:19" ht="13.5" customHeight="1">
      <c r="A880" s="12"/>
      <c r="B880" s="129" t="s">
        <v>152</v>
      </c>
      <c r="C880" s="135"/>
      <c r="D880" s="102">
        <f>D881+D884</f>
        <v>4219</v>
      </c>
      <c r="E880" s="102">
        <f t="shared" ref="E880:S880" si="1007">E881+E884</f>
        <v>4337</v>
      </c>
      <c r="F880" s="102">
        <f>F881+F884</f>
        <v>4200</v>
      </c>
      <c r="G880" s="102">
        <f t="shared" si="1007"/>
        <v>4337</v>
      </c>
      <c r="H880" s="102">
        <f t="shared" ref="H880" si="1008">H881+H884</f>
        <v>4200</v>
      </c>
      <c r="I880" s="102">
        <f t="shared" si="1007"/>
        <v>4667</v>
      </c>
      <c r="J880" s="102">
        <f t="shared" si="1007"/>
        <v>4500</v>
      </c>
      <c r="K880" s="208">
        <f t="shared" ref="K880:N880" si="1009">K881+K884</f>
        <v>1175</v>
      </c>
      <c r="L880" s="102">
        <f t="shared" si="1009"/>
        <v>1125</v>
      </c>
      <c r="M880" s="102">
        <f t="shared" si="1009"/>
        <v>1100</v>
      </c>
      <c r="N880" s="102">
        <f t="shared" si="1009"/>
        <v>1100</v>
      </c>
      <c r="O880" s="30">
        <f t="shared" si="957"/>
        <v>4500</v>
      </c>
      <c r="P880" s="100">
        <f t="shared" si="962"/>
        <v>0</v>
      </c>
      <c r="Q880" s="102">
        <f t="shared" si="1007"/>
        <v>4500</v>
      </c>
      <c r="R880" s="102">
        <f t="shared" si="1007"/>
        <v>4500</v>
      </c>
      <c r="S880" s="102">
        <f t="shared" si="1007"/>
        <v>4500</v>
      </c>
    </row>
    <row r="881" spans="1:19" ht="13.5" customHeight="1">
      <c r="A881" s="12"/>
      <c r="B881" s="116" t="s">
        <v>153</v>
      </c>
      <c r="C881" s="135">
        <v>1</v>
      </c>
      <c r="D881" s="102">
        <f t="shared" ref="D881:S881" si="1010">D882+D883</f>
        <v>4219</v>
      </c>
      <c r="E881" s="102">
        <f t="shared" si="1010"/>
        <v>4350.1099999999997</v>
      </c>
      <c r="F881" s="102">
        <f t="shared" si="1010"/>
        <v>4200</v>
      </c>
      <c r="G881" s="102">
        <f t="shared" si="1010"/>
        <v>4350.1099999999997</v>
      </c>
      <c r="H881" s="102">
        <f t="shared" ref="H881" si="1011">H882+H883</f>
        <v>4213</v>
      </c>
      <c r="I881" s="102">
        <f t="shared" si="1010"/>
        <v>4667</v>
      </c>
      <c r="J881" s="102">
        <f t="shared" si="1010"/>
        <v>4500</v>
      </c>
      <c r="K881" s="208">
        <f t="shared" ref="K881:N881" si="1012">K882+K883</f>
        <v>1175</v>
      </c>
      <c r="L881" s="102">
        <f t="shared" si="1012"/>
        <v>1125</v>
      </c>
      <c r="M881" s="102">
        <f t="shared" si="1012"/>
        <v>1100</v>
      </c>
      <c r="N881" s="102">
        <f t="shared" si="1012"/>
        <v>1100</v>
      </c>
      <c r="O881" s="30">
        <f t="shared" si="957"/>
        <v>4500</v>
      </c>
      <c r="P881" s="100">
        <f t="shared" si="962"/>
        <v>0</v>
      </c>
      <c r="Q881" s="102">
        <f t="shared" si="1010"/>
        <v>4500</v>
      </c>
      <c r="R881" s="102">
        <f t="shared" si="1010"/>
        <v>4500</v>
      </c>
      <c r="S881" s="102">
        <f t="shared" si="1010"/>
        <v>4500</v>
      </c>
    </row>
    <row r="882" spans="1:19" ht="13.5" customHeight="1">
      <c r="A882" s="12"/>
      <c r="B882" s="116" t="s">
        <v>154</v>
      </c>
      <c r="C882" s="135">
        <v>10</v>
      </c>
      <c r="D882" s="46">
        <v>3439</v>
      </c>
      <c r="E882" s="30">
        <v>3577</v>
      </c>
      <c r="F882" s="46">
        <v>3600</v>
      </c>
      <c r="G882" s="30">
        <v>3577</v>
      </c>
      <c r="H882" s="30">
        <v>3488</v>
      </c>
      <c r="I882" s="30">
        <v>3800</v>
      </c>
      <c r="J882" s="30">
        <v>3800</v>
      </c>
      <c r="K882" s="64">
        <v>1000</v>
      </c>
      <c r="L882" s="30">
        <v>950</v>
      </c>
      <c r="M882" s="30">
        <v>925</v>
      </c>
      <c r="N882" s="30">
        <v>925</v>
      </c>
      <c r="O882" s="30">
        <f t="shared" si="957"/>
        <v>3800</v>
      </c>
      <c r="P882" s="100">
        <f t="shared" si="962"/>
        <v>0</v>
      </c>
      <c r="Q882" s="30">
        <v>3800</v>
      </c>
      <c r="R882" s="30">
        <v>3800</v>
      </c>
      <c r="S882" s="30">
        <v>3800</v>
      </c>
    </row>
    <row r="883" spans="1:19" ht="12.75" customHeight="1">
      <c r="A883" s="12"/>
      <c r="B883" s="116" t="s">
        <v>581</v>
      </c>
      <c r="C883" s="135">
        <v>20</v>
      </c>
      <c r="D883" s="46">
        <v>780</v>
      </c>
      <c r="E883" s="30">
        <v>773.11</v>
      </c>
      <c r="F883" s="46">
        <v>600</v>
      </c>
      <c r="G883" s="30">
        <v>773.11</v>
      </c>
      <c r="H883" s="30">
        <v>725</v>
      </c>
      <c r="I883" s="30">
        <v>867</v>
      </c>
      <c r="J883" s="30">
        <v>700</v>
      </c>
      <c r="K883" s="64">
        <v>175</v>
      </c>
      <c r="L883" s="30">
        <v>175</v>
      </c>
      <c r="M883" s="30">
        <v>175</v>
      </c>
      <c r="N883" s="30">
        <v>175</v>
      </c>
      <c r="O883" s="30">
        <f t="shared" si="957"/>
        <v>700</v>
      </c>
      <c r="P883" s="100">
        <f t="shared" si="962"/>
        <v>0</v>
      </c>
      <c r="Q883" s="30">
        <v>700</v>
      </c>
      <c r="R883" s="30">
        <v>700</v>
      </c>
      <c r="S883" s="30">
        <v>700</v>
      </c>
    </row>
    <row r="884" spans="1:19" ht="27.75" hidden="1" customHeight="1">
      <c r="A884" s="12"/>
      <c r="B884" s="35" t="s">
        <v>163</v>
      </c>
      <c r="C884" s="135" t="s">
        <v>251</v>
      </c>
      <c r="D884" s="46"/>
      <c r="E884" s="30">
        <v>-13.11</v>
      </c>
      <c r="F884" s="46"/>
      <c r="G884" s="30">
        <v>-13.11</v>
      </c>
      <c r="H884" s="30">
        <v>-13</v>
      </c>
      <c r="I884" s="31"/>
      <c r="J884" s="30"/>
      <c r="K884" s="64"/>
      <c r="L884" s="30"/>
      <c r="M884" s="30"/>
      <c r="N884" s="30"/>
      <c r="O884" s="30">
        <f t="shared" si="957"/>
        <v>0</v>
      </c>
      <c r="P884" s="100">
        <f t="shared" si="962"/>
        <v>0</v>
      </c>
      <c r="Q884" s="31"/>
      <c r="R884" s="31"/>
      <c r="S884" s="31"/>
    </row>
    <row r="885" spans="1:19" ht="12.75" hidden="1" customHeight="1">
      <c r="A885" s="12"/>
      <c r="B885" s="129" t="s">
        <v>164</v>
      </c>
      <c r="C885" s="135"/>
      <c r="D885" s="102">
        <f t="shared" ref="D885:S885" si="1013">D886</f>
        <v>35</v>
      </c>
      <c r="E885" s="102">
        <f t="shared" si="1013"/>
        <v>0</v>
      </c>
      <c r="F885" s="102">
        <f t="shared" si="1013"/>
        <v>0</v>
      </c>
      <c r="G885" s="102">
        <f t="shared" si="1013"/>
        <v>0</v>
      </c>
      <c r="H885" s="102">
        <f t="shared" si="1013"/>
        <v>0</v>
      </c>
      <c r="I885" s="102">
        <f t="shared" si="1013"/>
        <v>0</v>
      </c>
      <c r="J885" s="102">
        <f t="shared" si="1013"/>
        <v>0</v>
      </c>
      <c r="K885" s="208">
        <f t="shared" si="1013"/>
        <v>0</v>
      </c>
      <c r="L885" s="102">
        <f t="shared" si="1013"/>
        <v>0</v>
      </c>
      <c r="M885" s="102">
        <f t="shared" si="1013"/>
        <v>0</v>
      </c>
      <c r="N885" s="102">
        <f t="shared" si="1013"/>
        <v>0</v>
      </c>
      <c r="O885" s="30">
        <f t="shared" si="957"/>
        <v>0</v>
      </c>
      <c r="P885" s="100">
        <f t="shared" si="962"/>
        <v>0</v>
      </c>
      <c r="Q885" s="102">
        <f t="shared" si="1013"/>
        <v>0</v>
      </c>
      <c r="R885" s="102">
        <f t="shared" si="1013"/>
        <v>0</v>
      </c>
      <c r="S885" s="102">
        <f t="shared" si="1013"/>
        <v>0</v>
      </c>
    </row>
    <row r="886" spans="1:19" ht="12.75" hidden="1" customHeight="1">
      <c r="A886" s="12"/>
      <c r="B886" s="116" t="s">
        <v>193</v>
      </c>
      <c r="C886" s="135">
        <v>70</v>
      </c>
      <c r="D886" s="46">
        <v>35</v>
      </c>
      <c r="E886" s="30"/>
      <c r="F886" s="46">
        <v>0</v>
      </c>
      <c r="G886" s="30"/>
      <c r="H886" s="31"/>
      <c r="I886" s="31"/>
      <c r="J886" s="30">
        <v>0</v>
      </c>
      <c r="K886" s="64">
        <v>0</v>
      </c>
      <c r="L886" s="30">
        <v>0</v>
      </c>
      <c r="M886" s="30">
        <v>0</v>
      </c>
      <c r="N886" s="30">
        <v>0</v>
      </c>
      <c r="O886" s="30">
        <f t="shared" si="957"/>
        <v>0</v>
      </c>
      <c r="P886" s="100">
        <f t="shared" si="962"/>
        <v>0</v>
      </c>
      <c r="Q886" s="31"/>
      <c r="R886" s="31"/>
      <c r="S886" s="31"/>
    </row>
    <row r="887" spans="1:19" ht="31.5" customHeight="1">
      <c r="A887" s="12" t="s">
        <v>433</v>
      </c>
      <c r="B887" s="269" t="s">
        <v>352</v>
      </c>
      <c r="C887" s="243" t="s">
        <v>353</v>
      </c>
      <c r="D887" s="271">
        <f t="shared" ref="D887:S887" si="1014">D888+D893</f>
        <v>5293</v>
      </c>
      <c r="E887" s="271">
        <f t="shared" si="1014"/>
        <v>5324</v>
      </c>
      <c r="F887" s="271">
        <f t="shared" si="1014"/>
        <v>4650</v>
      </c>
      <c r="G887" s="271">
        <f t="shared" si="1014"/>
        <v>5324</v>
      </c>
      <c r="H887" s="271">
        <f t="shared" ref="H887" si="1015">H888+H893</f>
        <v>5155</v>
      </c>
      <c r="I887" s="271">
        <f t="shared" si="1014"/>
        <v>6391</v>
      </c>
      <c r="J887" s="271">
        <f t="shared" si="1014"/>
        <v>5650</v>
      </c>
      <c r="K887" s="272">
        <f t="shared" ref="K887:N887" si="1016">K888+K893</f>
        <v>1390</v>
      </c>
      <c r="L887" s="271">
        <f t="shared" si="1016"/>
        <v>1390</v>
      </c>
      <c r="M887" s="271">
        <f t="shared" si="1016"/>
        <v>1580</v>
      </c>
      <c r="N887" s="271">
        <f t="shared" si="1016"/>
        <v>1290</v>
      </c>
      <c r="O887" s="273">
        <f t="shared" si="957"/>
        <v>5650</v>
      </c>
      <c r="P887" s="271">
        <f t="shared" si="962"/>
        <v>0</v>
      </c>
      <c r="Q887" s="271">
        <f t="shared" si="1014"/>
        <v>5650</v>
      </c>
      <c r="R887" s="271">
        <f t="shared" si="1014"/>
        <v>5650</v>
      </c>
      <c r="S887" s="271">
        <f t="shared" si="1014"/>
        <v>5650</v>
      </c>
    </row>
    <row r="888" spans="1:19" ht="14.25">
      <c r="A888" s="12"/>
      <c r="B888" s="129" t="s">
        <v>152</v>
      </c>
      <c r="C888" s="135"/>
      <c r="D888" s="138">
        <f>D889+D892</f>
        <v>5287</v>
      </c>
      <c r="E888" s="138">
        <f t="shared" ref="E888:S888" si="1017">E889+E892</f>
        <v>5311</v>
      </c>
      <c r="F888" s="138">
        <f>F889+F892</f>
        <v>4650</v>
      </c>
      <c r="G888" s="138">
        <f t="shared" si="1017"/>
        <v>5311</v>
      </c>
      <c r="H888" s="138">
        <f t="shared" ref="H888" si="1018">H889+H892</f>
        <v>5145</v>
      </c>
      <c r="I888" s="138">
        <f t="shared" si="1017"/>
        <v>6391</v>
      </c>
      <c r="J888" s="138">
        <f t="shared" si="1017"/>
        <v>5650</v>
      </c>
      <c r="K888" s="206">
        <f t="shared" ref="K888:N888" si="1019">K889+K892</f>
        <v>1390</v>
      </c>
      <c r="L888" s="138">
        <f t="shared" si="1019"/>
        <v>1390</v>
      </c>
      <c r="M888" s="138">
        <f t="shared" si="1019"/>
        <v>1580</v>
      </c>
      <c r="N888" s="138">
        <f t="shared" si="1019"/>
        <v>1290</v>
      </c>
      <c r="O888" s="30">
        <f t="shared" si="957"/>
        <v>5650</v>
      </c>
      <c r="P888" s="100">
        <f t="shared" si="962"/>
        <v>0</v>
      </c>
      <c r="Q888" s="138">
        <f t="shared" si="1017"/>
        <v>5650</v>
      </c>
      <c r="R888" s="138">
        <f t="shared" si="1017"/>
        <v>5650</v>
      </c>
      <c r="S888" s="138">
        <f t="shared" si="1017"/>
        <v>5650</v>
      </c>
    </row>
    <row r="889" spans="1:19" ht="14.25">
      <c r="A889" s="12"/>
      <c r="B889" s="116" t="s">
        <v>153</v>
      </c>
      <c r="C889" s="135">
        <v>1</v>
      </c>
      <c r="D889" s="102">
        <f t="shared" ref="D889:S889" si="1020">D890+D891</f>
        <v>5287</v>
      </c>
      <c r="E889" s="102">
        <f t="shared" si="1020"/>
        <v>5317.75</v>
      </c>
      <c r="F889" s="102">
        <f t="shared" si="1020"/>
        <v>4650</v>
      </c>
      <c r="G889" s="102">
        <f t="shared" si="1020"/>
        <v>5318</v>
      </c>
      <c r="H889" s="102">
        <f t="shared" ref="H889" si="1021">H890+H891</f>
        <v>5154</v>
      </c>
      <c r="I889" s="102">
        <f t="shared" si="1020"/>
        <v>6391</v>
      </c>
      <c r="J889" s="102">
        <f t="shared" si="1020"/>
        <v>5650</v>
      </c>
      <c r="K889" s="208">
        <f t="shared" ref="K889:N889" si="1022">K890+K891</f>
        <v>1390</v>
      </c>
      <c r="L889" s="102">
        <f t="shared" si="1022"/>
        <v>1390</v>
      </c>
      <c r="M889" s="102">
        <f t="shared" si="1022"/>
        <v>1580</v>
      </c>
      <c r="N889" s="102">
        <f t="shared" si="1022"/>
        <v>1290</v>
      </c>
      <c r="O889" s="30">
        <f t="shared" si="957"/>
        <v>5650</v>
      </c>
      <c r="P889" s="100">
        <f t="shared" si="962"/>
        <v>0</v>
      </c>
      <c r="Q889" s="102">
        <f t="shared" si="1020"/>
        <v>5650</v>
      </c>
      <c r="R889" s="102">
        <f t="shared" si="1020"/>
        <v>5650</v>
      </c>
      <c r="S889" s="102">
        <f t="shared" si="1020"/>
        <v>5650</v>
      </c>
    </row>
    <row r="890" spans="1:19" ht="14.25">
      <c r="A890" s="12"/>
      <c r="B890" s="116" t="s">
        <v>154</v>
      </c>
      <c r="C890" s="135">
        <v>10</v>
      </c>
      <c r="D890" s="46">
        <v>4471</v>
      </c>
      <c r="E890" s="30">
        <v>4468</v>
      </c>
      <c r="F890" s="46">
        <v>4000</v>
      </c>
      <c r="G890" s="30">
        <v>4468</v>
      </c>
      <c r="H890" s="30">
        <v>4390</v>
      </c>
      <c r="I890" s="30">
        <v>5228</v>
      </c>
      <c r="J890" s="30">
        <v>4900</v>
      </c>
      <c r="K890" s="64">
        <v>1200</v>
      </c>
      <c r="L890" s="30">
        <v>1200</v>
      </c>
      <c r="M890" s="30">
        <v>1400</v>
      </c>
      <c r="N890" s="30">
        <v>1100</v>
      </c>
      <c r="O890" s="30">
        <f t="shared" si="957"/>
        <v>4900</v>
      </c>
      <c r="P890" s="100">
        <f t="shared" si="962"/>
        <v>0</v>
      </c>
      <c r="Q890" s="30">
        <v>4900</v>
      </c>
      <c r="R890" s="30">
        <v>4900</v>
      </c>
      <c r="S890" s="30">
        <v>4900</v>
      </c>
    </row>
    <row r="891" spans="1:19" ht="17.25" customHeight="1">
      <c r="A891" s="12"/>
      <c r="B891" s="116" t="s">
        <v>581</v>
      </c>
      <c r="C891" s="135">
        <v>20</v>
      </c>
      <c r="D891" s="46">
        <v>816</v>
      </c>
      <c r="E891" s="30">
        <v>849.75</v>
      </c>
      <c r="F891" s="46">
        <v>650</v>
      </c>
      <c r="G891" s="30">
        <v>850</v>
      </c>
      <c r="H891" s="30">
        <v>764</v>
      </c>
      <c r="I891" s="30">
        <v>1163</v>
      </c>
      <c r="J891" s="30">
        <v>750</v>
      </c>
      <c r="K891" s="64">
        <v>190</v>
      </c>
      <c r="L891" s="30">
        <v>190</v>
      </c>
      <c r="M891" s="30">
        <v>180</v>
      </c>
      <c r="N891" s="30">
        <v>190</v>
      </c>
      <c r="O891" s="30">
        <f t="shared" si="957"/>
        <v>750</v>
      </c>
      <c r="P891" s="100">
        <f t="shared" si="962"/>
        <v>0</v>
      </c>
      <c r="Q891" s="30">
        <v>750</v>
      </c>
      <c r="R891" s="30">
        <v>750</v>
      </c>
      <c r="S891" s="30">
        <v>750</v>
      </c>
    </row>
    <row r="892" spans="1:19" ht="27" hidden="1" customHeight="1">
      <c r="A892" s="12"/>
      <c r="B892" s="35" t="s">
        <v>163</v>
      </c>
      <c r="C892" s="135" t="s">
        <v>251</v>
      </c>
      <c r="D892" s="46"/>
      <c r="E892" s="30">
        <v>-6.75</v>
      </c>
      <c r="F892" s="46"/>
      <c r="G892" s="30">
        <v>-7</v>
      </c>
      <c r="H892" s="30">
        <v>-9</v>
      </c>
      <c r="I892" s="30"/>
      <c r="J892" s="30"/>
      <c r="K892" s="64"/>
      <c r="L892" s="30"/>
      <c r="M892" s="30"/>
      <c r="N892" s="30"/>
      <c r="O892" s="30">
        <f t="shared" si="957"/>
        <v>0</v>
      </c>
      <c r="P892" s="100">
        <f t="shared" si="962"/>
        <v>0</v>
      </c>
      <c r="Q892" s="30"/>
      <c r="R892" s="30"/>
      <c r="S892" s="30"/>
    </row>
    <row r="893" spans="1:19" ht="17.25" hidden="1" customHeight="1">
      <c r="A893" s="12"/>
      <c r="B893" s="129" t="s">
        <v>164</v>
      </c>
      <c r="C893" s="135"/>
      <c r="D893" s="102">
        <f t="shared" ref="D893:S893" si="1023">D894</f>
        <v>6</v>
      </c>
      <c r="E893" s="102">
        <f t="shared" si="1023"/>
        <v>13</v>
      </c>
      <c r="F893" s="102">
        <f t="shared" si="1023"/>
        <v>0</v>
      </c>
      <c r="G893" s="102">
        <f t="shared" si="1023"/>
        <v>13</v>
      </c>
      <c r="H893" s="102">
        <f t="shared" si="1023"/>
        <v>10</v>
      </c>
      <c r="I893" s="102">
        <f t="shared" si="1023"/>
        <v>0</v>
      </c>
      <c r="J893" s="102">
        <f t="shared" si="1023"/>
        <v>0</v>
      </c>
      <c r="K893" s="208">
        <f t="shared" si="1023"/>
        <v>0</v>
      </c>
      <c r="L893" s="102">
        <f t="shared" si="1023"/>
        <v>0</v>
      </c>
      <c r="M893" s="102">
        <f t="shared" si="1023"/>
        <v>0</v>
      </c>
      <c r="N893" s="102">
        <f t="shared" si="1023"/>
        <v>0</v>
      </c>
      <c r="O893" s="30">
        <f t="shared" si="957"/>
        <v>0</v>
      </c>
      <c r="P893" s="100">
        <f t="shared" si="962"/>
        <v>0</v>
      </c>
      <c r="Q893" s="102">
        <f t="shared" si="1023"/>
        <v>0</v>
      </c>
      <c r="R893" s="102">
        <f t="shared" si="1023"/>
        <v>0</v>
      </c>
      <c r="S893" s="102">
        <f t="shared" si="1023"/>
        <v>0</v>
      </c>
    </row>
    <row r="894" spans="1:19" ht="17.25" hidden="1" customHeight="1">
      <c r="A894" s="12"/>
      <c r="B894" s="116" t="s">
        <v>193</v>
      </c>
      <c r="C894" s="135">
        <v>70</v>
      </c>
      <c r="D894" s="46">
        <v>6</v>
      </c>
      <c r="E894" s="30">
        <v>13</v>
      </c>
      <c r="F894" s="46">
        <v>0</v>
      </c>
      <c r="G894" s="30">
        <v>13</v>
      </c>
      <c r="H894" s="30">
        <v>10</v>
      </c>
      <c r="I894" s="30">
        <v>0</v>
      </c>
      <c r="J894" s="30">
        <v>0</v>
      </c>
      <c r="K894" s="64">
        <v>0</v>
      </c>
      <c r="L894" s="30">
        <v>0</v>
      </c>
      <c r="M894" s="30">
        <v>0</v>
      </c>
      <c r="N894" s="30">
        <v>0</v>
      </c>
      <c r="O894" s="30">
        <f t="shared" si="957"/>
        <v>0</v>
      </c>
      <c r="P894" s="100">
        <f t="shared" si="962"/>
        <v>0</v>
      </c>
      <c r="Q894" s="30">
        <v>0</v>
      </c>
      <c r="R894" s="30">
        <v>0</v>
      </c>
      <c r="S894" s="30">
        <v>0</v>
      </c>
    </row>
    <row r="895" spans="1:19" ht="15" hidden="1" customHeight="1">
      <c r="A895" s="12" t="s">
        <v>433</v>
      </c>
      <c r="B895" s="129" t="s">
        <v>354</v>
      </c>
      <c r="C895" s="135" t="s">
        <v>355</v>
      </c>
      <c r="D895" s="46"/>
      <c r="E895" s="30"/>
      <c r="F895" s="46"/>
      <c r="G895" s="30"/>
      <c r="H895" s="31"/>
      <c r="I895" s="30"/>
      <c r="J895" s="30"/>
      <c r="K895" s="64"/>
      <c r="L895" s="30"/>
      <c r="M895" s="30"/>
      <c r="N895" s="30"/>
      <c r="O895" s="30">
        <f t="shared" si="957"/>
        <v>0</v>
      </c>
      <c r="P895" s="100">
        <f t="shared" si="962"/>
        <v>0</v>
      </c>
      <c r="Q895" s="30"/>
      <c r="R895" s="30"/>
      <c r="S895" s="30"/>
    </row>
    <row r="896" spans="1:19" ht="12.75" hidden="1" customHeight="1">
      <c r="A896" s="12"/>
      <c r="B896" s="129" t="s">
        <v>152</v>
      </c>
      <c r="C896" s="135"/>
      <c r="D896" s="46"/>
      <c r="E896" s="30"/>
      <c r="F896" s="46"/>
      <c r="G896" s="30"/>
      <c r="H896" s="31"/>
      <c r="I896" s="30"/>
      <c r="J896" s="30"/>
      <c r="K896" s="64"/>
      <c r="L896" s="30"/>
      <c r="M896" s="30"/>
      <c r="N896" s="30"/>
      <c r="O896" s="30">
        <f t="shared" si="957"/>
        <v>0</v>
      </c>
      <c r="P896" s="100">
        <f t="shared" si="962"/>
        <v>0</v>
      </c>
      <c r="Q896" s="30"/>
      <c r="R896" s="30"/>
      <c r="S896" s="30"/>
    </row>
    <row r="897" spans="1:19" ht="12.75" hidden="1" customHeight="1">
      <c r="A897" s="12"/>
      <c r="B897" s="116" t="s">
        <v>153</v>
      </c>
      <c r="C897" s="135">
        <v>1</v>
      </c>
      <c r="D897" s="46"/>
      <c r="E897" s="30"/>
      <c r="F897" s="46"/>
      <c r="G897" s="30"/>
      <c r="H897" s="31"/>
      <c r="I897" s="30"/>
      <c r="J897" s="30"/>
      <c r="K897" s="64"/>
      <c r="L897" s="30"/>
      <c r="M897" s="30"/>
      <c r="N897" s="30"/>
      <c r="O897" s="30">
        <f t="shared" si="957"/>
        <v>0</v>
      </c>
      <c r="P897" s="100">
        <f t="shared" si="962"/>
        <v>0</v>
      </c>
      <c r="Q897" s="30"/>
      <c r="R897" s="30"/>
      <c r="S897" s="30"/>
    </row>
    <row r="898" spans="1:19" ht="12.75" hidden="1" customHeight="1">
      <c r="A898" s="12"/>
      <c r="B898" s="116" t="s">
        <v>154</v>
      </c>
      <c r="C898" s="135">
        <v>10</v>
      </c>
      <c r="D898" s="46"/>
      <c r="E898" s="30"/>
      <c r="F898" s="46"/>
      <c r="G898" s="30"/>
      <c r="H898" s="31"/>
      <c r="I898" s="30"/>
      <c r="J898" s="30"/>
      <c r="K898" s="64"/>
      <c r="L898" s="30"/>
      <c r="M898" s="30"/>
      <c r="N898" s="30"/>
      <c r="O898" s="30">
        <f t="shared" si="957"/>
        <v>0</v>
      </c>
      <c r="P898" s="100">
        <f t="shared" si="962"/>
        <v>0</v>
      </c>
      <c r="Q898" s="30"/>
      <c r="R898" s="30"/>
      <c r="S898" s="30"/>
    </row>
    <row r="899" spans="1:19" ht="9" hidden="1" customHeight="1">
      <c r="A899" s="12"/>
      <c r="B899" s="116" t="s">
        <v>155</v>
      </c>
      <c r="C899" s="135">
        <v>20</v>
      </c>
      <c r="D899" s="46"/>
      <c r="E899" s="30"/>
      <c r="F899" s="46"/>
      <c r="G899" s="30"/>
      <c r="H899" s="31"/>
      <c r="I899" s="30"/>
      <c r="J899" s="30"/>
      <c r="K899" s="64"/>
      <c r="L899" s="30"/>
      <c r="M899" s="30"/>
      <c r="N899" s="30"/>
      <c r="O899" s="30">
        <f t="shared" si="957"/>
        <v>0</v>
      </c>
      <c r="P899" s="100">
        <f t="shared" si="962"/>
        <v>0</v>
      </c>
      <c r="Q899" s="30"/>
      <c r="R899" s="30"/>
      <c r="S899" s="30"/>
    </row>
    <row r="900" spans="1:19" ht="19.5" customHeight="1">
      <c r="A900" s="12" t="s">
        <v>434</v>
      </c>
      <c r="B900" s="269" t="s">
        <v>517</v>
      </c>
      <c r="C900" s="243" t="s">
        <v>355</v>
      </c>
      <c r="D900" s="271">
        <f t="shared" ref="D900:S900" si="1024">D901+D906</f>
        <v>2027.17</v>
      </c>
      <c r="E900" s="271">
        <f t="shared" si="1024"/>
        <v>2099</v>
      </c>
      <c r="F900" s="271">
        <f t="shared" si="1024"/>
        <v>1950</v>
      </c>
      <c r="G900" s="271">
        <f t="shared" si="1024"/>
        <v>2099</v>
      </c>
      <c r="H900" s="271">
        <f t="shared" ref="H900" si="1025">H901+H906</f>
        <v>1997</v>
      </c>
      <c r="I900" s="271">
        <f t="shared" si="1024"/>
        <v>1931</v>
      </c>
      <c r="J900" s="271">
        <f t="shared" si="1024"/>
        <v>1790</v>
      </c>
      <c r="K900" s="272">
        <f t="shared" ref="K900:N900" si="1026">K901+K906</f>
        <v>465</v>
      </c>
      <c r="L900" s="271">
        <f t="shared" si="1026"/>
        <v>465</v>
      </c>
      <c r="M900" s="271">
        <f t="shared" si="1026"/>
        <v>465</v>
      </c>
      <c r="N900" s="271">
        <f t="shared" si="1026"/>
        <v>395</v>
      </c>
      <c r="O900" s="273">
        <f t="shared" si="957"/>
        <v>1790</v>
      </c>
      <c r="P900" s="271">
        <f t="shared" si="962"/>
        <v>0</v>
      </c>
      <c r="Q900" s="271">
        <f t="shared" si="1024"/>
        <v>1790</v>
      </c>
      <c r="R900" s="271">
        <f t="shared" si="1024"/>
        <v>1790</v>
      </c>
      <c r="S900" s="271">
        <f t="shared" si="1024"/>
        <v>1790</v>
      </c>
    </row>
    <row r="901" spans="1:19" ht="12.75" customHeight="1">
      <c r="A901" s="12"/>
      <c r="B901" s="129" t="s">
        <v>152</v>
      </c>
      <c r="C901" s="135"/>
      <c r="D901" s="102">
        <f>D902+D905</f>
        <v>2027.17</v>
      </c>
      <c r="E901" s="102">
        <f t="shared" ref="E901:S901" si="1027">E902+E905</f>
        <v>2091</v>
      </c>
      <c r="F901" s="102">
        <f>F902+F905</f>
        <v>1950</v>
      </c>
      <c r="G901" s="102">
        <f t="shared" si="1027"/>
        <v>2091</v>
      </c>
      <c r="H901" s="102">
        <f t="shared" ref="H901" si="1028">H902+H905</f>
        <v>1989</v>
      </c>
      <c r="I901" s="102">
        <f t="shared" si="1027"/>
        <v>1931</v>
      </c>
      <c r="J901" s="102">
        <f t="shared" si="1027"/>
        <v>1790</v>
      </c>
      <c r="K901" s="208">
        <f t="shared" ref="K901:N901" si="1029">K902+K905</f>
        <v>465</v>
      </c>
      <c r="L901" s="102">
        <f t="shared" si="1029"/>
        <v>465</v>
      </c>
      <c r="M901" s="102">
        <f t="shared" si="1029"/>
        <v>465</v>
      </c>
      <c r="N901" s="102">
        <f t="shared" si="1029"/>
        <v>395</v>
      </c>
      <c r="O901" s="30">
        <f t="shared" si="957"/>
        <v>1790</v>
      </c>
      <c r="P901" s="100">
        <f t="shared" si="962"/>
        <v>0</v>
      </c>
      <c r="Q901" s="102">
        <f t="shared" si="1027"/>
        <v>1790</v>
      </c>
      <c r="R901" s="102">
        <f t="shared" si="1027"/>
        <v>1790</v>
      </c>
      <c r="S901" s="102">
        <f t="shared" si="1027"/>
        <v>1790</v>
      </c>
    </row>
    <row r="902" spans="1:19" ht="12.75" customHeight="1">
      <c r="A902" s="12"/>
      <c r="B902" s="116" t="s">
        <v>153</v>
      </c>
      <c r="C902" s="135">
        <v>1</v>
      </c>
      <c r="D902" s="102">
        <f t="shared" ref="D902:S902" si="1030">D903+D904</f>
        <v>2027.17</v>
      </c>
      <c r="E902" s="102">
        <f t="shared" si="1030"/>
        <v>2091</v>
      </c>
      <c r="F902" s="102">
        <f t="shared" si="1030"/>
        <v>1950</v>
      </c>
      <c r="G902" s="102">
        <f t="shared" si="1030"/>
        <v>2091</v>
      </c>
      <c r="H902" s="102">
        <f t="shared" ref="H902" si="1031">H903+H904</f>
        <v>1989</v>
      </c>
      <c r="I902" s="102">
        <f t="shared" si="1030"/>
        <v>1931</v>
      </c>
      <c r="J902" s="102">
        <f t="shared" si="1030"/>
        <v>1790</v>
      </c>
      <c r="K902" s="208">
        <f t="shared" ref="K902:N902" si="1032">K903+K904</f>
        <v>465</v>
      </c>
      <c r="L902" s="102">
        <f t="shared" si="1032"/>
        <v>465</v>
      </c>
      <c r="M902" s="102">
        <f t="shared" si="1032"/>
        <v>465</v>
      </c>
      <c r="N902" s="102">
        <f t="shared" si="1032"/>
        <v>395</v>
      </c>
      <c r="O902" s="30">
        <f t="shared" si="957"/>
        <v>1790</v>
      </c>
      <c r="P902" s="100">
        <f t="shared" si="962"/>
        <v>0</v>
      </c>
      <c r="Q902" s="102">
        <f t="shared" si="1030"/>
        <v>1790</v>
      </c>
      <c r="R902" s="102">
        <f t="shared" si="1030"/>
        <v>1790</v>
      </c>
      <c r="S902" s="102">
        <f t="shared" si="1030"/>
        <v>1790</v>
      </c>
    </row>
    <row r="903" spans="1:19" ht="12.75" customHeight="1">
      <c r="A903" s="12"/>
      <c r="B903" s="116" t="s">
        <v>154</v>
      </c>
      <c r="C903" s="135">
        <v>10</v>
      </c>
      <c r="D903" s="46">
        <v>1590.89</v>
      </c>
      <c r="E903" s="30">
        <v>1600</v>
      </c>
      <c r="F903" s="46">
        <v>1600</v>
      </c>
      <c r="G903" s="30">
        <v>1600</v>
      </c>
      <c r="H903" s="30">
        <v>1527</v>
      </c>
      <c r="I903" s="30">
        <v>1340</v>
      </c>
      <c r="J903" s="30">
        <v>1340</v>
      </c>
      <c r="K903" s="64">
        <v>350</v>
      </c>
      <c r="L903" s="30">
        <v>350</v>
      </c>
      <c r="M903" s="30">
        <v>350</v>
      </c>
      <c r="N903" s="30">
        <v>290</v>
      </c>
      <c r="O903" s="30">
        <f t="shared" si="957"/>
        <v>1340</v>
      </c>
      <c r="P903" s="100">
        <f t="shared" si="962"/>
        <v>0</v>
      </c>
      <c r="Q903" s="30">
        <v>1340</v>
      </c>
      <c r="R903" s="30">
        <v>1340</v>
      </c>
      <c r="S903" s="30">
        <v>1340</v>
      </c>
    </row>
    <row r="904" spans="1:19" ht="14.25" customHeight="1">
      <c r="A904" s="12"/>
      <c r="B904" s="116" t="s">
        <v>581</v>
      </c>
      <c r="C904" s="135">
        <v>20</v>
      </c>
      <c r="D904" s="46">
        <v>436.28</v>
      </c>
      <c r="E904" s="30">
        <v>491</v>
      </c>
      <c r="F904" s="46">
        <v>350</v>
      </c>
      <c r="G904" s="30">
        <v>491</v>
      </c>
      <c r="H904" s="30">
        <v>462</v>
      </c>
      <c r="I904" s="30">
        <v>591</v>
      </c>
      <c r="J904" s="30">
        <v>450</v>
      </c>
      <c r="K904" s="64">
        <v>115</v>
      </c>
      <c r="L904" s="30">
        <v>115</v>
      </c>
      <c r="M904" s="30">
        <v>115</v>
      </c>
      <c r="N904" s="30">
        <v>105</v>
      </c>
      <c r="O904" s="30">
        <f t="shared" si="957"/>
        <v>450</v>
      </c>
      <c r="P904" s="100">
        <f t="shared" si="962"/>
        <v>0</v>
      </c>
      <c r="Q904" s="30">
        <v>450</v>
      </c>
      <c r="R904" s="30">
        <v>450</v>
      </c>
      <c r="S904" s="30">
        <v>450</v>
      </c>
    </row>
    <row r="905" spans="1:19" ht="31.5" hidden="1" customHeight="1">
      <c r="A905" s="12"/>
      <c r="B905" s="35" t="s">
        <v>163</v>
      </c>
      <c r="C905" s="135" t="s">
        <v>251</v>
      </c>
      <c r="D905" s="46"/>
      <c r="E905" s="30"/>
      <c r="F905" s="46"/>
      <c r="G905" s="30"/>
      <c r="H905" s="30"/>
      <c r="I905" s="30"/>
      <c r="J905" s="30"/>
      <c r="K905" s="64"/>
      <c r="L905" s="30"/>
      <c r="M905" s="30"/>
      <c r="N905" s="30"/>
      <c r="O905" s="30">
        <f t="shared" si="957"/>
        <v>0</v>
      </c>
      <c r="P905" s="100">
        <f t="shared" si="962"/>
        <v>0</v>
      </c>
      <c r="Q905" s="30"/>
      <c r="R905" s="30"/>
      <c r="S905" s="30"/>
    </row>
    <row r="906" spans="1:19" ht="14.25" hidden="1" customHeight="1">
      <c r="A906" s="12"/>
      <c r="B906" s="129" t="s">
        <v>164</v>
      </c>
      <c r="C906" s="135"/>
      <c r="D906" s="102">
        <f t="shared" ref="D906" si="1033">D907</f>
        <v>0</v>
      </c>
      <c r="E906" s="102">
        <f t="shared" ref="E906:S906" si="1034">E907</f>
        <v>8</v>
      </c>
      <c r="F906" s="102">
        <f t="shared" si="1034"/>
        <v>0</v>
      </c>
      <c r="G906" s="102">
        <f t="shared" si="1034"/>
        <v>8</v>
      </c>
      <c r="H906" s="102">
        <f t="shared" si="1034"/>
        <v>8</v>
      </c>
      <c r="I906" s="102">
        <f t="shared" si="1034"/>
        <v>0</v>
      </c>
      <c r="J906" s="102">
        <f t="shared" si="1034"/>
        <v>0</v>
      </c>
      <c r="K906" s="208">
        <f t="shared" si="1034"/>
        <v>0</v>
      </c>
      <c r="L906" s="102">
        <f t="shared" si="1034"/>
        <v>0</v>
      </c>
      <c r="M906" s="102">
        <f t="shared" si="1034"/>
        <v>0</v>
      </c>
      <c r="N906" s="102">
        <f t="shared" si="1034"/>
        <v>0</v>
      </c>
      <c r="O906" s="30">
        <f t="shared" si="957"/>
        <v>0</v>
      </c>
      <c r="P906" s="100">
        <f t="shared" si="962"/>
        <v>0</v>
      </c>
      <c r="Q906" s="102">
        <f t="shared" si="1034"/>
        <v>0</v>
      </c>
      <c r="R906" s="102">
        <f t="shared" si="1034"/>
        <v>0</v>
      </c>
      <c r="S906" s="102">
        <f t="shared" si="1034"/>
        <v>0</v>
      </c>
    </row>
    <row r="907" spans="1:19" ht="14.25" hidden="1" customHeight="1">
      <c r="A907" s="12"/>
      <c r="B907" s="116" t="s">
        <v>193</v>
      </c>
      <c r="C907" s="135">
        <v>70</v>
      </c>
      <c r="D907" s="46">
        <v>0</v>
      </c>
      <c r="E907" s="30">
        <v>8</v>
      </c>
      <c r="F907" s="46">
        <v>0</v>
      </c>
      <c r="G907" s="30">
        <v>8</v>
      </c>
      <c r="H907" s="30">
        <v>8</v>
      </c>
      <c r="I907" s="30"/>
      <c r="J907" s="30">
        <v>0</v>
      </c>
      <c r="K907" s="64">
        <v>0</v>
      </c>
      <c r="L907" s="30">
        <v>0</v>
      </c>
      <c r="M907" s="30">
        <v>0</v>
      </c>
      <c r="N907" s="30">
        <v>0</v>
      </c>
      <c r="O907" s="30">
        <f t="shared" si="957"/>
        <v>0</v>
      </c>
      <c r="P907" s="100">
        <f t="shared" si="962"/>
        <v>0</v>
      </c>
      <c r="Q907" s="30"/>
      <c r="R907" s="30"/>
      <c r="S907" s="30"/>
    </row>
    <row r="908" spans="1:19" ht="30" customHeight="1">
      <c r="A908" s="12"/>
      <c r="B908" s="269" t="s">
        <v>648</v>
      </c>
      <c r="C908" s="243" t="s">
        <v>649</v>
      </c>
      <c r="D908" s="274">
        <f>D909+D914</f>
        <v>0</v>
      </c>
      <c r="E908" s="274">
        <f t="shared" ref="E908:S908" si="1035">E909+E914</f>
        <v>0</v>
      </c>
      <c r="F908" s="274">
        <f t="shared" si="1035"/>
        <v>0</v>
      </c>
      <c r="G908" s="274">
        <f t="shared" si="1035"/>
        <v>0</v>
      </c>
      <c r="H908" s="274">
        <f t="shared" ref="H908" si="1036">H909+H914</f>
        <v>0</v>
      </c>
      <c r="I908" s="274">
        <f t="shared" si="1035"/>
        <v>2286</v>
      </c>
      <c r="J908" s="274">
        <f t="shared" si="1035"/>
        <v>2161</v>
      </c>
      <c r="K908" s="275">
        <f t="shared" ref="K908:N908" si="1037">K909+K914</f>
        <v>600</v>
      </c>
      <c r="L908" s="274">
        <f t="shared" si="1037"/>
        <v>611</v>
      </c>
      <c r="M908" s="274">
        <f t="shared" si="1037"/>
        <v>550</v>
      </c>
      <c r="N908" s="274">
        <f t="shared" si="1037"/>
        <v>400</v>
      </c>
      <c r="O908" s="273">
        <f t="shared" ref="O908:O971" si="1038">K908+L908+M908+N908</f>
        <v>2161</v>
      </c>
      <c r="P908" s="271">
        <f t="shared" si="962"/>
        <v>0</v>
      </c>
      <c r="Q908" s="274">
        <f t="shared" si="1035"/>
        <v>2150</v>
      </c>
      <c r="R908" s="274">
        <f t="shared" si="1035"/>
        <v>2150</v>
      </c>
      <c r="S908" s="274">
        <f t="shared" si="1035"/>
        <v>2150</v>
      </c>
    </row>
    <row r="909" spans="1:19" ht="14.25" customHeight="1">
      <c r="A909" s="12"/>
      <c r="B909" s="129" t="s">
        <v>152</v>
      </c>
      <c r="C909" s="135"/>
      <c r="D909" s="42">
        <f t="shared" ref="D909:G909" si="1039">D910+D913</f>
        <v>0</v>
      </c>
      <c r="E909" s="42">
        <f t="shared" si="1039"/>
        <v>0</v>
      </c>
      <c r="F909" s="42">
        <f t="shared" si="1039"/>
        <v>0</v>
      </c>
      <c r="G909" s="42">
        <f t="shared" si="1039"/>
        <v>0</v>
      </c>
      <c r="H909" s="42">
        <f t="shared" ref="H909" si="1040">H910+H913</f>
        <v>0</v>
      </c>
      <c r="I909" s="42">
        <f>I910+I913</f>
        <v>2275</v>
      </c>
      <c r="J909" s="42">
        <f t="shared" ref="J909:S909" si="1041">J910+J913</f>
        <v>2150</v>
      </c>
      <c r="K909" s="214">
        <f t="shared" ref="K909:N909" si="1042">K910+K913</f>
        <v>600</v>
      </c>
      <c r="L909" s="42">
        <f t="shared" si="1042"/>
        <v>600</v>
      </c>
      <c r="M909" s="42">
        <f t="shared" si="1042"/>
        <v>550</v>
      </c>
      <c r="N909" s="42">
        <f t="shared" si="1042"/>
        <v>400</v>
      </c>
      <c r="O909" s="30">
        <f t="shared" si="1038"/>
        <v>2150</v>
      </c>
      <c r="P909" s="100">
        <f t="shared" ref="P909:P972" si="1043">J909-O909</f>
        <v>0</v>
      </c>
      <c r="Q909" s="42">
        <f t="shared" si="1041"/>
        <v>2150</v>
      </c>
      <c r="R909" s="42">
        <f t="shared" si="1041"/>
        <v>2150</v>
      </c>
      <c r="S909" s="42">
        <f t="shared" si="1041"/>
        <v>2150</v>
      </c>
    </row>
    <row r="910" spans="1:19" ht="14.25" customHeight="1">
      <c r="A910" s="12"/>
      <c r="B910" s="116" t="s">
        <v>153</v>
      </c>
      <c r="C910" s="135">
        <v>1</v>
      </c>
      <c r="D910" s="42">
        <f>D911+D912</f>
        <v>0</v>
      </c>
      <c r="E910" s="42">
        <f t="shared" ref="E910:S910" si="1044">E911+E912</f>
        <v>0</v>
      </c>
      <c r="F910" s="42">
        <f t="shared" si="1044"/>
        <v>0</v>
      </c>
      <c r="G910" s="42">
        <f t="shared" si="1044"/>
        <v>0</v>
      </c>
      <c r="H910" s="42">
        <f t="shared" ref="H910" si="1045">H911+H912</f>
        <v>0</v>
      </c>
      <c r="I910" s="42">
        <f t="shared" si="1044"/>
        <v>2275</v>
      </c>
      <c r="J910" s="42">
        <f t="shared" si="1044"/>
        <v>2150</v>
      </c>
      <c r="K910" s="214">
        <f t="shared" ref="K910:N910" si="1046">K911+K912</f>
        <v>600</v>
      </c>
      <c r="L910" s="42">
        <f t="shared" si="1046"/>
        <v>600</v>
      </c>
      <c r="M910" s="42">
        <f t="shared" si="1046"/>
        <v>550</v>
      </c>
      <c r="N910" s="42">
        <f t="shared" si="1046"/>
        <v>400</v>
      </c>
      <c r="O910" s="30">
        <f t="shared" si="1038"/>
        <v>2150</v>
      </c>
      <c r="P910" s="100">
        <f t="shared" si="1043"/>
        <v>0</v>
      </c>
      <c r="Q910" s="42">
        <f t="shared" si="1044"/>
        <v>2150</v>
      </c>
      <c r="R910" s="42">
        <f t="shared" si="1044"/>
        <v>2150</v>
      </c>
      <c r="S910" s="42">
        <f t="shared" si="1044"/>
        <v>2150</v>
      </c>
    </row>
    <row r="911" spans="1:19" ht="14.25" customHeight="1">
      <c r="A911" s="12"/>
      <c r="B911" s="116" t="s">
        <v>154</v>
      </c>
      <c r="C911" s="135">
        <v>10</v>
      </c>
      <c r="D911" s="46"/>
      <c r="E911" s="30"/>
      <c r="F911" s="46"/>
      <c r="G911" s="30"/>
      <c r="H911" s="30"/>
      <c r="I911" s="30">
        <v>1994</v>
      </c>
      <c r="J911" s="30">
        <v>1900</v>
      </c>
      <c r="K911" s="64">
        <v>500</v>
      </c>
      <c r="L911" s="30">
        <v>500</v>
      </c>
      <c r="M911" s="30">
        <v>500</v>
      </c>
      <c r="N911" s="30">
        <v>400</v>
      </c>
      <c r="O911" s="30">
        <f t="shared" si="1038"/>
        <v>1900</v>
      </c>
      <c r="P911" s="100">
        <f t="shared" si="1043"/>
        <v>0</v>
      </c>
      <c r="Q911" s="30">
        <v>1900</v>
      </c>
      <c r="R911" s="30">
        <v>1900</v>
      </c>
      <c r="S911" s="30">
        <v>1900</v>
      </c>
    </row>
    <row r="912" spans="1:19" ht="14.25" customHeight="1">
      <c r="A912" s="12"/>
      <c r="B912" s="116" t="s">
        <v>581</v>
      </c>
      <c r="C912" s="135">
        <v>20</v>
      </c>
      <c r="D912" s="46"/>
      <c r="E912" s="30"/>
      <c r="F912" s="46"/>
      <c r="G912" s="30"/>
      <c r="H912" s="30"/>
      <c r="I912" s="30">
        <v>281</v>
      </c>
      <c r="J912" s="30">
        <v>250</v>
      </c>
      <c r="K912" s="64">
        <v>100</v>
      </c>
      <c r="L912" s="30">
        <v>100</v>
      </c>
      <c r="M912" s="30">
        <v>50</v>
      </c>
      <c r="N912" s="30"/>
      <c r="O912" s="30">
        <f t="shared" si="1038"/>
        <v>250</v>
      </c>
      <c r="P912" s="100">
        <f t="shared" si="1043"/>
        <v>0</v>
      </c>
      <c r="Q912" s="30">
        <v>250</v>
      </c>
      <c r="R912" s="30">
        <v>250</v>
      </c>
      <c r="S912" s="30">
        <v>250</v>
      </c>
    </row>
    <row r="913" spans="1:19" ht="14.25" hidden="1" customHeight="1">
      <c r="A913" s="12"/>
      <c r="B913" s="35" t="s">
        <v>163</v>
      </c>
      <c r="C913" s="135" t="s">
        <v>251</v>
      </c>
      <c r="D913" s="46"/>
      <c r="E913" s="30"/>
      <c r="F913" s="46"/>
      <c r="G913" s="30"/>
      <c r="H913" s="30"/>
      <c r="I913" s="30"/>
      <c r="J913" s="30"/>
      <c r="K913" s="64"/>
      <c r="L913" s="30"/>
      <c r="M913" s="30"/>
      <c r="N913" s="30"/>
      <c r="O913" s="30">
        <f t="shared" si="1038"/>
        <v>0</v>
      </c>
      <c r="P913" s="100">
        <f t="shared" si="1043"/>
        <v>0</v>
      </c>
      <c r="Q913" s="30"/>
      <c r="R913" s="30"/>
      <c r="S913" s="30"/>
    </row>
    <row r="914" spans="1:19" ht="14.25" customHeight="1">
      <c r="A914" s="12"/>
      <c r="B914" s="129" t="s">
        <v>164</v>
      </c>
      <c r="C914" s="135"/>
      <c r="D914" s="42">
        <f>D915</f>
        <v>0</v>
      </c>
      <c r="E914" s="42">
        <f t="shared" ref="E914:S914" si="1047">E915</f>
        <v>0</v>
      </c>
      <c r="F914" s="42">
        <f t="shared" si="1047"/>
        <v>0</v>
      </c>
      <c r="G914" s="42">
        <f t="shared" si="1047"/>
        <v>0</v>
      </c>
      <c r="H914" s="42">
        <f t="shared" si="1047"/>
        <v>0</v>
      </c>
      <c r="I914" s="42">
        <f t="shared" si="1047"/>
        <v>11</v>
      </c>
      <c r="J914" s="42">
        <f t="shared" si="1047"/>
        <v>11</v>
      </c>
      <c r="K914" s="214">
        <f t="shared" si="1047"/>
        <v>0</v>
      </c>
      <c r="L914" s="42">
        <f t="shared" si="1047"/>
        <v>11</v>
      </c>
      <c r="M914" s="42">
        <f t="shared" si="1047"/>
        <v>0</v>
      </c>
      <c r="N914" s="42">
        <f t="shared" si="1047"/>
        <v>0</v>
      </c>
      <c r="O914" s="30">
        <f t="shared" si="1038"/>
        <v>11</v>
      </c>
      <c r="P914" s="100">
        <f t="shared" si="1043"/>
        <v>0</v>
      </c>
      <c r="Q914" s="42">
        <f t="shared" si="1047"/>
        <v>0</v>
      </c>
      <c r="R914" s="42">
        <f t="shared" si="1047"/>
        <v>0</v>
      </c>
      <c r="S914" s="42">
        <f t="shared" si="1047"/>
        <v>0</v>
      </c>
    </row>
    <row r="915" spans="1:19" ht="14.25" customHeight="1">
      <c r="A915" s="12"/>
      <c r="B915" s="116" t="s">
        <v>193</v>
      </c>
      <c r="C915" s="135">
        <v>70</v>
      </c>
      <c r="D915" s="46"/>
      <c r="E915" s="30"/>
      <c r="F915" s="46"/>
      <c r="G915" s="30"/>
      <c r="H915" s="30"/>
      <c r="I915" s="30">
        <v>11</v>
      </c>
      <c r="J915" s="30">
        <v>11</v>
      </c>
      <c r="K915" s="64"/>
      <c r="L915" s="30">
        <v>11</v>
      </c>
      <c r="M915" s="30"/>
      <c r="N915" s="30"/>
      <c r="O915" s="30">
        <f t="shared" si="1038"/>
        <v>11</v>
      </c>
      <c r="P915" s="100">
        <f t="shared" si="1043"/>
        <v>0</v>
      </c>
      <c r="Q915" s="30"/>
      <c r="R915" s="30"/>
      <c r="S915" s="30"/>
    </row>
    <row r="916" spans="1:19" ht="21.75" customHeight="1">
      <c r="A916" s="12" t="s">
        <v>435</v>
      </c>
      <c r="B916" s="269" t="s">
        <v>357</v>
      </c>
      <c r="C916" s="243" t="s">
        <v>341</v>
      </c>
      <c r="D916" s="271">
        <f t="shared" ref="D916:S916" si="1048">D917+D922</f>
        <v>1324</v>
      </c>
      <c r="E916" s="271">
        <f t="shared" si="1048"/>
        <v>1541</v>
      </c>
      <c r="F916" s="271">
        <f t="shared" si="1048"/>
        <v>1300</v>
      </c>
      <c r="G916" s="271">
        <f t="shared" si="1048"/>
        <v>1541</v>
      </c>
      <c r="H916" s="271">
        <f t="shared" ref="H916" si="1049">H917+H922</f>
        <v>1346</v>
      </c>
      <c r="I916" s="271">
        <f t="shared" si="1048"/>
        <v>1824</v>
      </c>
      <c r="J916" s="271">
        <f t="shared" si="1048"/>
        <v>1650</v>
      </c>
      <c r="K916" s="272">
        <f t="shared" ref="K916:N916" si="1050">K917+K922</f>
        <v>400</v>
      </c>
      <c r="L916" s="271">
        <f t="shared" si="1050"/>
        <v>400</v>
      </c>
      <c r="M916" s="271">
        <f t="shared" si="1050"/>
        <v>430</v>
      </c>
      <c r="N916" s="271">
        <f t="shared" si="1050"/>
        <v>420</v>
      </c>
      <c r="O916" s="273">
        <f t="shared" si="1038"/>
        <v>1650</v>
      </c>
      <c r="P916" s="271">
        <f t="shared" si="1043"/>
        <v>0</v>
      </c>
      <c r="Q916" s="271">
        <f t="shared" si="1048"/>
        <v>1650</v>
      </c>
      <c r="R916" s="271">
        <f t="shared" si="1048"/>
        <v>1650</v>
      </c>
      <c r="S916" s="271">
        <f t="shared" si="1048"/>
        <v>1650</v>
      </c>
    </row>
    <row r="917" spans="1:19" ht="12.75" customHeight="1">
      <c r="A917" s="12"/>
      <c r="B917" s="129" t="s">
        <v>152</v>
      </c>
      <c r="C917" s="135"/>
      <c r="D917" s="138">
        <f>D918+D921</f>
        <v>1324</v>
      </c>
      <c r="E917" s="138">
        <f t="shared" ref="E917:S917" si="1051">E918+E921</f>
        <v>1541</v>
      </c>
      <c r="F917" s="138">
        <f>F918+F921</f>
        <v>1300</v>
      </c>
      <c r="G917" s="138">
        <f t="shared" si="1051"/>
        <v>1541</v>
      </c>
      <c r="H917" s="138">
        <f t="shared" ref="H917" si="1052">H918+H921</f>
        <v>1346</v>
      </c>
      <c r="I917" s="138">
        <f t="shared" si="1051"/>
        <v>1824</v>
      </c>
      <c r="J917" s="138">
        <f t="shared" si="1051"/>
        <v>1650</v>
      </c>
      <c r="K917" s="206">
        <f t="shared" ref="K917:N917" si="1053">K918+K921</f>
        <v>400</v>
      </c>
      <c r="L917" s="138">
        <f t="shared" si="1053"/>
        <v>400</v>
      </c>
      <c r="M917" s="138">
        <f t="shared" si="1053"/>
        <v>430</v>
      </c>
      <c r="N917" s="138">
        <f t="shared" si="1053"/>
        <v>420</v>
      </c>
      <c r="O917" s="30">
        <f t="shared" si="1038"/>
        <v>1650</v>
      </c>
      <c r="P917" s="100">
        <f t="shared" si="1043"/>
        <v>0</v>
      </c>
      <c r="Q917" s="138">
        <f t="shared" si="1051"/>
        <v>1650</v>
      </c>
      <c r="R917" s="138">
        <f t="shared" si="1051"/>
        <v>1650</v>
      </c>
      <c r="S917" s="138">
        <f t="shared" si="1051"/>
        <v>1650</v>
      </c>
    </row>
    <row r="918" spans="1:19" ht="12.75" customHeight="1">
      <c r="A918" s="12"/>
      <c r="B918" s="116" t="s">
        <v>153</v>
      </c>
      <c r="C918" s="135">
        <v>1</v>
      </c>
      <c r="D918" s="102">
        <f t="shared" ref="D918:S918" si="1054">D919+D920</f>
        <v>1324</v>
      </c>
      <c r="E918" s="102">
        <f t="shared" si="1054"/>
        <v>1541</v>
      </c>
      <c r="F918" s="102">
        <f t="shared" si="1054"/>
        <v>1300</v>
      </c>
      <c r="G918" s="102">
        <f t="shared" si="1054"/>
        <v>1541</v>
      </c>
      <c r="H918" s="102">
        <f t="shared" ref="H918" si="1055">H919+H920</f>
        <v>1346</v>
      </c>
      <c r="I918" s="102">
        <f t="shared" si="1054"/>
        <v>1824</v>
      </c>
      <c r="J918" s="102">
        <f t="shared" si="1054"/>
        <v>1650</v>
      </c>
      <c r="K918" s="208">
        <f t="shared" ref="K918:N918" si="1056">K919+K920</f>
        <v>400</v>
      </c>
      <c r="L918" s="102">
        <f t="shared" si="1056"/>
        <v>400</v>
      </c>
      <c r="M918" s="102">
        <f t="shared" si="1056"/>
        <v>430</v>
      </c>
      <c r="N918" s="102">
        <f t="shared" si="1056"/>
        <v>420</v>
      </c>
      <c r="O918" s="30">
        <f t="shared" si="1038"/>
        <v>1650</v>
      </c>
      <c r="P918" s="100">
        <f t="shared" si="1043"/>
        <v>0</v>
      </c>
      <c r="Q918" s="102">
        <f t="shared" si="1054"/>
        <v>1650</v>
      </c>
      <c r="R918" s="102">
        <f t="shared" si="1054"/>
        <v>1650</v>
      </c>
      <c r="S918" s="102">
        <f t="shared" si="1054"/>
        <v>1650</v>
      </c>
    </row>
    <row r="919" spans="1:19" ht="12.75" customHeight="1">
      <c r="A919" s="12"/>
      <c r="B919" s="116" t="s">
        <v>154</v>
      </c>
      <c r="C919" s="135">
        <v>10</v>
      </c>
      <c r="D919" s="46">
        <v>959</v>
      </c>
      <c r="E919" s="30">
        <v>1035</v>
      </c>
      <c r="F919" s="46">
        <v>1000</v>
      </c>
      <c r="G919" s="30">
        <v>1035</v>
      </c>
      <c r="H919" s="30">
        <v>948</v>
      </c>
      <c r="I919" s="30">
        <v>1277</v>
      </c>
      <c r="J919" s="30">
        <v>1250</v>
      </c>
      <c r="K919" s="64">
        <v>300</v>
      </c>
      <c r="L919" s="30">
        <v>300</v>
      </c>
      <c r="M919" s="30">
        <v>330</v>
      </c>
      <c r="N919" s="30">
        <v>320</v>
      </c>
      <c r="O919" s="30">
        <f t="shared" si="1038"/>
        <v>1250</v>
      </c>
      <c r="P919" s="100">
        <f t="shared" si="1043"/>
        <v>0</v>
      </c>
      <c r="Q919" s="30">
        <v>1250</v>
      </c>
      <c r="R919" s="30">
        <v>1250</v>
      </c>
      <c r="S919" s="30">
        <v>1250</v>
      </c>
    </row>
    <row r="920" spans="1:19" ht="15.75" customHeight="1">
      <c r="A920" s="12"/>
      <c r="B920" s="116" t="s">
        <v>581</v>
      </c>
      <c r="C920" s="135">
        <v>20</v>
      </c>
      <c r="D920" s="46">
        <v>365</v>
      </c>
      <c r="E920" s="30">
        <v>506</v>
      </c>
      <c r="F920" s="46">
        <v>300</v>
      </c>
      <c r="G920" s="30">
        <v>506</v>
      </c>
      <c r="H920" s="30">
        <v>398</v>
      </c>
      <c r="I920" s="30">
        <v>547</v>
      </c>
      <c r="J920" s="30">
        <v>400</v>
      </c>
      <c r="K920" s="64">
        <v>100</v>
      </c>
      <c r="L920" s="30">
        <v>100</v>
      </c>
      <c r="M920" s="30">
        <v>100</v>
      </c>
      <c r="N920" s="30">
        <v>100</v>
      </c>
      <c r="O920" s="30">
        <f t="shared" si="1038"/>
        <v>400</v>
      </c>
      <c r="P920" s="100">
        <f t="shared" si="1043"/>
        <v>0</v>
      </c>
      <c r="Q920" s="30">
        <v>400</v>
      </c>
      <c r="R920" s="30">
        <v>400</v>
      </c>
      <c r="S920" s="30">
        <v>400</v>
      </c>
    </row>
    <row r="921" spans="1:19" ht="28.5" hidden="1" customHeight="1">
      <c r="A921" s="12"/>
      <c r="B921" s="35" t="s">
        <v>163</v>
      </c>
      <c r="C921" s="135" t="s">
        <v>251</v>
      </c>
      <c r="D921" s="46"/>
      <c r="E921" s="30"/>
      <c r="F921" s="46"/>
      <c r="G921" s="30"/>
      <c r="H921" s="30"/>
      <c r="I921" s="30"/>
      <c r="J921" s="30"/>
      <c r="K921" s="64"/>
      <c r="L921" s="30"/>
      <c r="M921" s="30"/>
      <c r="N921" s="30"/>
      <c r="O921" s="30">
        <f t="shared" si="1038"/>
        <v>0</v>
      </c>
      <c r="P921" s="100">
        <f t="shared" si="1043"/>
        <v>0</v>
      </c>
      <c r="Q921" s="30"/>
      <c r="R921" s="30"/>
      <c r="S921" s="30"/>
    </row>
    <row r="922" spans="1:19" ht="12.75" hidden="1" customHeight="1">
      <c r="A922" s="12"/>
      <c r="B922" s="129" t="s">
        <v>164</v>
      </c>
      <c r="C922" s="135"/>
      <c r="D922" s="46">
        <f t="shared" ref="D922:S922" si="1057">D923</f>
        <v>0</v>
      </c>
      <c r="E922" s="46">
        <f t="shared" si="1057"/>
        <v>0</v>
      </c>
      <c r="F922" s="46">
        <f t="shared" si="1057"/>
        <v>0</v>
      </c>
      <c r="G922" s="46">
        <f t="shared" si="1057"/>
        <v>0</v>
      </c>
      <c r="H922" s="46">
        <f t="shared" si="1057"/>
        <v>0</v>
      </c>
      <c r="I922" s="46">
        <f t="shared" si="1057"/>
        <v>0</v>
      </c>
      <c r="J922" s="46">
        <f t="shared" si="1057"/>
        <v>0</v>
      </c>
      <c r="K922" s="201">
        <f t="shared" si="1057"/>
        <v>0</v>
      </c>
      <c r="L922" s="46">
        <f t="shared" si="1057"/>
        <v>0</v>
      </c>
      <c r="M922" s="46">
        <f t="shared" si="1057"/>
        <v>0</v>
      </c>
      <c r="N922" s="46">
        <f t="shared" si="1057"/>
        <v>0</v>
      </c>
      <c r="O922" s="30">
        <f t="shared" si="1038"/>
        <v>0</v>
      </c>
      <c r="P922" s="100">
        <f t="shared" si="1043"/>
        <v>0</v>
      </c>
      <c r="Q922" s="46">
        <f t="shared" si="1057"/>
        <v>0</v>
      </c>
      <c r="R922" s="46">
        <f t="shared" si="1057"/>
        <v>0</v>
      </c>
      <c r="S922" s="46">
        <f t="shared" si="1057"/>
        <v>0</v>
      </c>
    </row>
    <row r="923" spans="1:19" ht="12.75" hidden="1" customHeight="1">
      <c r="A923" s="12"/>
      <c r="B923" s="116" t="s">
        <v>193</v>
      </c>
      <c r="C923" s="135">
        <v>70</v>
      </c>
      <c r="D923" s="46">
        <v>0</v>
      </c>
      <c r="E923" s="46">
        <v>0</v>
      </c>
      <c r="F923" s="46">
        <v>0</v>
      </c>
      <c r="G923" s="46">
        <v>0</v>
      </c>
      <c r="H923" s="46">
        <v>0</v>
      </c>
      <c r="I923" s="46">
        <v>0</v>
      </c>
      <c r="J923" s="46"/>
      <c r="K923" s="201"/>
      <c r="L923" s="46"/>
      <c r="M923" s="46"/>
      <c r="N923" s="46"/>
      <c r="O923" s="30">
        <f t="shared" si="1038"/>
        <v>0</v>
      </c>
      <c r="P923" s="100">
        <f t="shared" si="1043"/>
        <v>0</v>
      </c>
      <c r="Q923" s="46">
        <v>0</v>
      </c>
      <c r="R923" s="46">
        <v>0</v>
      </c>
      <c r="S923" s="46">
        <v>0</v>
      </c>
    </row>
    <row r="924" spans="1:19" ht="22.5" customHeight="1">
      <c r="A924" s="12" t="s">
        <v>358</v>
      </c>
      <c r="B924" s="269" t="s">
        <v>592</v>
      </c>
      <c r="C924" s="243" t="s">
        <v>625</v>
      </c>
      <c r="D924" s="271">
        <f t="shared" ref="D924:S927" si="1058">D931+D940+D949+D959+D968</f>
        <v>12236</v>
      </c>
      <c r="E924" s="271">
        <f t="shared" si="1058"/>
        <v>12493</v>
      </c>
      <c r="F924" s="271">
        <f t="shared" si="1058"/>
        <v>12389</v>
      </c>
      <c r="G924" s="271">
        <f t="shared" si="1058"/>
        <v>12493</v>
      </c>
      <c r="H924" s="271">
        <f t="shared" ref="H924" si="1059">H931+H940+H949+H959+H968</f>
        <v>12103</v>
      </c>
      <c r="I924" s="271">
        <f t="shared" si="1058"/>
        <v>13993</v>
      </c>
      <c r="J924" s="271">
        <f t="shared" si="1058"/>
        <v>12916</v>
      </c>
      <c r="K924" s="272">
        <f t="shared" ref="K924:N924" si="1060">K931+K940+K949+K959+K968</f>
        <v>3190</v>
      </c>
      <c r="L924" s="271">
        <f t="shared" si="1060"/>
        <v>3276</v>
      </c>
      <c r="M924" s="271">
        <f t="shared" si="1060"/>
        <v>3340</v>
      </c>
      <c r="N924" s="271">
        <f t="shared" si="1060"/>
        <v>3110</v>
      </c>
      <c r="O924" s="273">
        <f t="shared" si="1038"/>
        <v>12916</v>
      </c>
      <c r="P924" s="271">
        <f t="shared" si="1043"/>
        <v>0</v>
      </c>
      <c r="Q924" s="271">
        <f t="shared" si="1058"/>
        <v>12375</v>
      </c>
      <c r="R924" s="271">
        <f t="shared" si="1058"/>
        <v>12375</v>
      </c>
      <c r="S924" s="271">
        <f t="shared" si="1058"/>
        <v>12375</v>
      </c>
    </row>
    <row r="925" spans="1:19" ht="14.25">
      <c r="A925" s="12"/>
      <c r="B925" s="129" t="s">
        <v>152</v>
      </c>
      <c r="C925" s="135"/>
      <c r="D925" s="138">
        <f t="shared" si="1058"/>
        <v>11991</v>
      </c>
      <c r="E925" s="138">
        <f t="shared" si="1058"/>
        <v>12449</v>
      </c>
      <c r="F925" s="138">
        <f t="shared" si="1058"/>
        <v>12345</v>
      </c>
      <c r="G925" s="138">
        <f t="shared" si="1058"/>
        <v>12449</v>
      </c>
      <c r="H925" s="138">
        <f t="shared" ref="H925" si="1061">H932+H941+H950+H960+H969</f>
        <v>12062</v>
      </c>
      <c r="I925" s="138">
        <f t="shared" si="1058"/>
        <v>13252</v>
      </c>
      <c r="J925" s="138">
        <f t="shared" si="1058"/>
        <v>12375</v>
      </c>
      <c r="K925" s="206">
        <f t="shared" ref="K925:N925" si="1062">K932+K941+K950+K960+K969</f>
        <v>3190</v>
      </c>
      <c r="L925" s="138">
        <f t="shared" si="1062"/>
        <v>3185</v>
      </c>
      <c r="M925" s="138">
        <f t="shared" si="1062"/>
        <v>3190</v>
      </c>
      <c r="N925" s="138">
        <f t="shared" si="1062"/>
        <v>2810</v>
      </c>
      <c r="O925" s="30">
        <f t="shared" si="1038"/>
        <v>12375</v>
      </c>
      <c r="P925" s="100">
        <f t="shared" si="1043"/>
        <v>0</v>
      </c>
      <c r="Q925" s="138">
        <f t="shared" si="1058"/>
        <v>12375</v>
      </c>
      <c r="R925" s="138">
        <f t="shared" si="1058"/>
        <v>12375</v>
      </c>
      <c r="S925" s="138">
        <f t="shared" si="1058"/>
        <v>12375</v>
      </c>
    </row>
    <row r="926" spans="1:19" ht="14.25">
      <c r="A926" s="12"/>
      <c r="B926" s="129" t="s">
        <v>153</v>
      </c>
      <c r="C926" s="37">
        <v>1</v>
      </c>
      <c r="D926" s="138">
        <f t="shared" si="1058"/>
        <v>11991</v>
      </c>
      <c r="E926" s="138">
        <f t="shared" si="1058"/>
        <v>12449</v>
      </c>
      <c r="F926" s="138">
        <f t="shared" si="1058"/>
        <v>12345</v>
      </c>
      <c r="G926" s="138">
        <f t="shared" si="1058"/>
        <v>12449</v>
      </c>
      <c r="H926" s="138">
        <f t="shared" ref="H926" si="1063">H933+H942+H951+H961+H970</f>
        <v>12062</v>
      </c>
      <c r="I926" s="138">
        <f t="shared" si="1058"/>
        <v>13252</v>
      </c>
      <c r="J926" s="138">
        <f t="shared" si="1058"/>
        <v>12375</v>
      </c>
      <c r="K926" s="206">
        <f t="shared" ref="K926:N926" si="1064">K933+K942+K951+K961+K970</f>
        <v>3190</v>
      </c>
      <c r="L926" s="138">
        <f t="shared" si="1064"/>
        <v>3185</v>
      </c>
      <c r="M926" s="138">
        <f t="shared" si="1064"/>
        <v>3190</v>
      </c>
      <c r="N926" s="138">
        <f t="shared" si="1064"/>
        <v>2810</v>
      </c>
      <c r="O926" s="30">
        <f t="shared" si="1038"/>
        <v>12375</v>
      </c>
      <c r="P926" s="100">
        <f t="shared" si="1043"/>
        <v>0</v>
      </c>
      <c r="Q926" s="138">
        <f t="shared" si="1058"/>
        <v>12375</v>
      </c>
      <c r="R926" s="138">
        <f t="shared" si="1058"/>
        <v>12375</v>
      </c>
      <c r="S926" s="138">
        <f t="shared" si="1058"/>
        <v>12375</v>
      </c>
    </row>
    <row r="927" spans="1:19" ht="14.25">
      <c r="A927" s="12"/>
      <c r="B927" s="129" t="s">
        <v>250</v>
      </c>
      <c r="C927" s="37" t="s">
        <v>291</v>
      </c>
      <c r="D927" s="138">
        <f t="shared" si="1058"/>
        <v>11991</v>
      </c>
      <c r="E927" s="138">
        <f t="shared" si="1058"/>
        <v>12449</v>
      </c>
      <c r="F927" s="138">
        <f t="shared" si="1058"/>
        <v>12345</v>
      </c>
      <c r="G927" s="138">
        <f t="shared" si="1058"/>
        <v>12449</v>
      </c>
      <c r="H927" s="138">
        <f t="shared" ref="H927" si="1065">H934+H943+H952+H962+H971</f>
        <v>12062</v>
      </c>
      <c r="I927" s="138">
        <f t="shared" si="1058"/>
        <v>13252</v>
      </c>
      <c r="J927" s="138">
        <f t="shared" si="1058"/>
        <v>12375</v>
      </c>
      <c r="K927" s="206">
        <f t="shared" ref="K927:N927" si="1066">K934+K943+K952+K962+K971</f>
        <v>3190</v>
      </c>
      <c r="L927" s="138">
        <f t="shared" si="1066"/>
        <v>3185</v>
      </c>
      <c r="M927" s="138">
        <f t="shared" si="1066"/>
        <v>3190</v>
      </c>
      <c r="N927" s="138">
        <f t="shared" si="1066"/>
        <v>2810</v>
      </c>
      <c r="O927" s="30">
        <f t="shared" si="1038"/>
        <v>12375</v>
      </c>
      <c r="P927" s="100">
        <f t="shared" si="1043"/>
        <v>0</v>
      </c>
      <c r="Q927" s="138">
        <f t="shared" si="1058"/>
        <v>12375</v>
      </c>
      <c r="R927" s="138">
        <f t="shared" si="1058"/>
        <v>12375</v>
      </c>
      <c r="S927" s="138">
        <f t="shared" si="1058"/>
        <v>12375</v>
      </c>
    </row>
    <row r="928" spans="1:19" ht="14.25">
      <c r="A928" s="12"/>
      <c r="B928" s="129" t="s">
        <v>508</v>
      </c>
      <c r="C928" s="37">
        <v>85.01</v>
      </c>
      <c r="D928" s="138">
        <f t="shared" ref="D928:S928" si="1067">D946</f>
        <v>0</v>
      </c>
      <c r="E928" s="138">
        <f t="shared" si="1067"/>
        <v>0</v>
      </c>
      <c r="F928" s="138">
        <f t="shared" si="1067"/>
        <v>0</v>
      </c>
      <c r="G928" s="138">
        <f t="shared" si="1067"/>
        <v>0</v>
      </c>
      <c r="H928" s="138">
        <f t="shared" ref="H928" si="1068">H946</f>
        <v>0</v>
      </c>
      <c r="I928" s="138">
        <f t="shared" si="1067"/>
        <v>0</v>
      </c>
      <c r="J928" s="138">
        <f t="shared" si="1067"/>
        <v>0</v>
      </c>
      <c r="K928" s="206">
        <f t="shared" ref="K928:N928" si="1069">K946</f>
        <v>0</v>
      </c>
      <c r="L928" s="138">
        <f t="shared" si="1069"/>
        <v>0</v>
      </c>
      <c r="M928" s="138">
        <f t="shared" si="1069"/>
        <v>0</v>
      </c>
      <c r="N928" s="138">
        <f t="shared" si="1069"/>
        <v>0</v>
      </c>
      <c r="O928" s="30">
        <f t="shared" si="1038"/>
        <v>0</v>
      </c>
      <c r="P928" s="100">
        <f t="shared" si="1043"/>
        <v>0</v>
      </c>
      <c r="Q928" s="138">
        <f t="shared" si="1067"/>
        <v>0</v>
      </c>
      <c r="R928" s="138">
        <f t="shared" si="1067"/>
        <v>0</v>
      </c>
      <c r="S928" s="138">
        <f t="shared" si="1067"/>
        <v>0</v>
      </c>
    </row>
    <row r="929" spans="1:19" ht="14.25">
      <c r="A929" s="12"/>
      <c r="B929" s="129" t="s">
        <v>164</v>
      </c>
      <c r="C929" s="135"/>
      <c r="D929" s="138">
        <f t="shared" ref="D929:S929" si="1070">D938+D947+D957+D966+D974</f>
        <v>245</v>
      </c>
      <c r="E929" s="138">
        <f t="shared" si="1070"/>
        <v>44</v>
      </c>
      <c r="F929" s="138">
        <f t="shared" si="1070"/>
        <v>44</v>
      </c>
      <c r="G929" s="138">
        <f t="shared" si="1070"/>
        <v>44</v>
      </c>
      <c r="H929" s="138">
        <f t="shared" ref="H929" si="1071">H938+H947+H957+H966+H974</f>
        <v>41</v>
      </c>
      <c r="I929" s="138">
        <f t="shared" si="1070"/>
        <v>741</v>
      </c>
      <c r="J929" s="138">
        <f t="shared" si="1070"/>
        <v>541</v>
      </c>
      <c r="K929" s="206">
        <f t="shared" ref="K929:N929" si="1072">K938+K947+K957+K966+K974</f>
        <v>0</v>
      </c>
      <c r="L929" s="138">
        <f t="shared" si="1072"/>
        <v>91</v>
      </c>
      <c r="M929" s="138">
        <f t="shared" si="1072"/>
        <v>150</v>
      </c>
      <c r="N929" s="138">
        <f t="shared" si="1072"/>
        <v>300</v>
      </c>
      <c r="O929" s="30">
        <f t="shared" si="1038"/>
        <v>541</v>
      </c>
      <c r="P929" s="100">
        <f t="shared" si="1043"/>
        <v>0</v>
      </c>
      <c r="Q929" s="138">
        <f t="shared" si="1070"/>
        <v>0</v>
      </c>
      <c r="R929" s="138">
        <f t="shared" si="1070"/>
        <v>0</v>
      </c>
      <c r="S929" s="138">
        <f t="shared" si="1070"/>
        <v>0</v>
      </c>
    </row>
    <row r="930" spans="1:19" ht="14.25">
      <c r="A930" s="12"/>
      <c r="B930" s="33" t="s">
        <v>170</v>
      </c>
      <c r="C930" s="37">
        <v>51</v>
      </c>
      <c r="D930" s="102">
        <f t="shared" ref="D930:S930" si="1073">D939+D948+D958+D966+D974</f>
        <v>245</v>
      </c>
      <c r="E930" s="102">
        <f t="shared" si="1073"/>
        <v>44</v>
      </c>
      <c r="F930" s="102">
        <f t="shared" si="1073"/>
        <v>44</v>
      </c>
      <c r="G930" s="102">
        <f t="shared" si="1073"/>
        <v>44</v>
      </c>
      <c r="H930" s="102">
        <f t="shared" ref="H930" si="1074">H939+H948+H958+H966+H974</f>
        <v>41</v>
      </c>
      <c r="I930" s="102">
        <f t="shared" si="1073"/>
        <v>741</v>
      </c>
      <c r="J930" s="102">
        <f t="shared" si="1073"/>
        <v>541</v>
      </c>
      <c r="K930" s="208">
        <f t="shared" ref="K930:N930" si="1075">K939+K948+K958+K966+K974</f>
        <v>0</v>
      </c>
      <c r="L930" s="102">
        <f t="shared" si="1075"/>
        <v>91</v>
      </c>
      <c r="M930" s="102">
        <f t="shared" si="1075"/>
        <v>150</v>
      </c>
      <c r="N930" s="102">
        <f t="shared" si="1075"/>
        <v>300</v>
      </c>
      <c r="O930" s="30">
        <f t="shared" si="1038"/>
        <v>541</v>
      </c>
      <c r="P930" s="100">
        <f t="shared" si="1043"/>
        <v>0</v>
      </c>
      <c r="Q930" s="102">
        <f t="shared" si="1073"/>
        <v>0</v>
      </c>
      <c r="R930" s="102">
        <f t="shared" si="1073"/>
        <v>0</v>
      </c>
      <c r="S930" s="102">
        <f t="shared" si="1073"/>
        <v>0</v>
      </c>
    </row>
    <row r="931" spans="1:19" ht="31.5" customHeight="1">
      <c r="A931" s="12" t="s">
        <v>359</v>
      </c>
      <c r="B931" s="269" t="s">
        <v>293</v>
      </c>
      <c r="C931" s="243" t="s">
        <v>626</v>
      </c>
      <c r="D931" s="271">
        <f t="shared" ref="D931:S931" si="1076">D932+D938</f>
        <v>2015</v>
      </c>
      <c r="E931" s="271">
        <f t="shared" si="1076"/>
        <v>2070</v>
      </c>
      <c r="F931" s="271">
        <f t="shared" si="1076"/>
        <v>1980</v>
      </c>
      <c r="G931" s="271">
        <f t="shared" si="1076"/>
        <v>2070</v>
      </c>
      <c r="H931" s="271">
        <f t="shared" ref="H931" si="1077">H932+H938</f>
        <v>2053</v>
      </c>
      <c r="I931" s="271">
        <f t="shared" si="1076"/>
        <v>2155</v>
      </c>
      <c r="J931" s="271">
        <f t="shared" si="1076"/>
        <v>2155</v>
      </c>
      <c r="K931" s="272">
        <f t="shared" ref="K931:N931" si="1078">K932+K938</f>
        <v>520</v>
      </c>
      <c r="L931" s="271">
        <f t="shared" si="1078"/>
        <v>570</v>
      </c>
      <c r="M931" s="271">
        <f t="shared" si="1078"/>
        <v>545</v>
      </c>
      <c r="N931" s="271">
        <f t="shared" si="1078"/>
        <v>520</v>
      </c>
      <c r="O931" s="273">
        <f t="shared" si="1038"/>
        <v>2155</v>
      </c>
      <c r="P931" s="271">
        <f t="shared" si="1043"/>
        <v>0</v>
      </c>
      <c r="Q931" s="271">
        <f t="shared" si="1076"/>
        <v>2105</v>
      </c>
      <c r="R931" s="271">
        <f t="shared" si="1076"/>
        <v>2105</v>
      </c>
      <c r="S931" s="271">
        <f t="shared" si="1076"/>
        <v>2105</v>
      </c>
    </row>
    <row r="932" spans="1:19" ht="14.25">
      <c r="A932" s="12"/>
      <c r="B932" s="129" t="s">
        <v>152</v>
      </c>
      <c r="C932" s="135"/>
      <c r="D932" s="138">
        <f t="shared" ref="D932:S933" si="1079">D933</f>
        <v>1903</v>
      </c>
      <c r="E932" s="138">
        <f t="shared" si="1079"/>
        <v>2070</v>
      </c>
      <c r="F932" s="138">
        <f t="shared" si="1079"/>
        <v>1980</v>
      </c>
      <c r="G932" s="138">
        <f t="shared" si="1079"/>
        <v>2070</v>
      </c>
      <c r="H932" s="138">
        <f t="shared" si="1079"/>
        <v>2053</v>
      </c>
      <c r="I932" s="138">
        <f t="shared" si="1079"/>
        <v>2105</v>
      </c>
      <c r="J932" s="138">
        <f t="shared" si="1079"/>
        <v>2105</v>
      </c>
      <c r="K932" s="206">
        <f t="shared" si="1079"/>
        <v>520</v>
      </c>
      <c r="L932" s="138">
        <f t="shared" si="1079"/>
        <v>520</v>
      </c>
      <c r="M932" s="138">
        <f t="shared" si="1079"/>
        <v>545</v>
      </c>
      <c r="N932" s="138">
        <f t="shared" si="1079"/>
        <v>520</v>
      </c>
      <c r="O932" s="30">
        <f t="shared" si="1038"/>
        <v>2105</v>
      </c>
      <c r="P932" s="100">
        <f t="shared" si="1043"/>
        <v>0</v>
      </c>
      <c r="Q932" s="138">
        <f t="shared" si="1079"/>
        <v>2105</v>
      </c>
      <c r="R932" s="138">
        <f t="shared" si="1079"/>
        <v>2105</v>
      </c>
      <c r="S932" s="138">
        <f t="shared" si="1079"/>
        <v>2105</v>
      </c>
    </row>
    <row r="933" spans="1:19" ht="14.25">
      <c r="A933" s="12"/>
      <c r="B933" s="116" t="s">
        <v>153</v>
      </c>
      <c r="C933" s="135">
        <v>1</v>
      </c>
      <c r="D933" s="102">
        <f t="shared" si="1079"/>
        <v>1903</v>
      </c>
      <c r="E933" s="102">
        <f t="shared" si="1079"/>
        <v>2070</v>
      </c>
      <c r="F933" s="102">
        <f t="shared" si="1079"/>
        <v>1980</v>
      </c>
      <c r="G933" s="102">
        <f t="shared" si="1079"/>
        <v>2070</v>
      </c>
      <c r="H933" s="102">
        <f t="shared" si="1079"/>
        <v>2053</v>
      </c>
      <c r="I933" s="102">
        <f t="shared" si="1079"/>
        <v>2105</v>
      </c>
      <c r="J933" s="102">
        <f t="shared" si="1079"/>
        <v>2105</v>
      </c>
      <c r="K933" s="208">
        <f t="shared" si="1079"/>
        <v>520</v>
      </c>
      <c r="L933" s="102">
        <f t="shared" si="1079"/>
        <v>520</v>
      </c>
      <c r="M933" s="102">
        <f t="shared" si="1079"/>
        <v>545</v>
      </c>
      <c r="N933" s="102">
        <f t="shared" si="1079"/>
        <v>520</v>
      </c>
      <c r="O933" s="30">
        <f t="shared" si="1038"/>
        <v>2105</v>
      </c>
      <c r="P933" s="100">
        <f t="shared" si="1043"/>
        <v>0</v>
      </c>
      <c r="Q933" s="102">
        <f t="shared" si="1079"/>
        <v>2105</v>
      </c>
      <c r="R933" s="102">
        <f t="shared" si="1079"/>
        <v>2105</v>
      </c>
      <c r="S933" s="102">
        <f t="shared" si="1079"/>
        <v>2105</v>
      </c>
    </row>
    <row r="934" spans="1:19" ht="14.25">
      <c r="A934" s="12"/>
      <c r="B934" s="116" t="s">
        <v>250</v>
      </c>
      <c r="C934" s="135" t="s">
        <v>291</v>
      </c>
      <c r="D934" s="102">
        <f t="shared" ref="D934:S934" si="1080">D935+D936</f>
        <v>1903</v>
      </c>
      <c r="E934" s="102">
        <f t="shared" si="1080"/>
        <v>2070</v>
      </c>
      <c r="F934" s="102">
        <f t="shared" si="1080"/>
        <v>1980</v>
      </c>
      <c r="G934" s="102">
        <f t="shared" si="1080"/>
        <v>2070</v>
      </c>
      <c r="H934" s="102">
        <f t="shared" ref="H934" si="1081">H935+H936</f>
        <v>2053</v>
      </c>
      <c r="I934" s="102">
        <f t="shared" si="1080"/>
        <v>2105</v>
      </c>
      <c r="J934" s="102">
        <f t="shared" si="1080"/>
        <v>2105</v>
      </c>
      <c r="K934" s="208">
        <f t="shared" ref="K934:N934" si="1082">K935+K936</f>
        <v>520</v>
      </c>
      <c r="L934" s="102">
        <f t="shared" si="1082"/>
        <v>520</v>
      </c>
      <c r="M934" s="102">
        <f t="shared" si="1082"/>
        <v>545</v>
      </c>
      <c r="N934" s="102">
        <f t="shared" si="1082"/>
        <v>520</v>
      </c>
      <c r="O934" s="30">
        <f t="shared" si="1038"/>
        <v>2105</v>
      </c>
      <c r="P934" s="100">
        <f t="shared" si="1043"/>
        <v>0</v>
      </c>
      <c r="Q934" s="102">
        <f t="shared" si="1080"/>
        <v>2105</v>
      </c>
      <c r="R934" s="102">
        <f t="shared" si="1080"/>
        <v>2105</v>
      </c>
      <c r="S934" s="102">
        <f t="shared" si="1080"/>
        <v>2105</v>
      </c>
    </row>
    <row r="935" spans="1:19" ht="12.75" customHeight="1">
      <c r="A935" s="12"/>
      <c r="B935" s="116" t="s">
        <v>154</v>
      </c>
      <c r="C935" s="135">
        <v>10</v>
      </c>
      <c r="D935" s="30">
        <v>1605</v>
      </c>
      <c r="E935" s="30">
        <v>1680</v>
      </c>
      <c r="F935" s="46">
        <v>1680</v>
      </c>
      <c r="G935" s="30">
        <v>1680</v>
      </c>
      <c r="H935" s="30">
        <v>1597</v>
      </c>
      <c r="I935" s="30">
        <v>1650</v>
      </c>
      <c r="J935" s="30">
        <v>1650</v>
      </c>
      <c r="K935" s="64">
        <v>420</v>
      </c>
      <c r="L935" s="30">
        <v>420</v>
      </c>
      <c r="M935" s="30">
        <v>420</v>
      </c>
      <c r="N935" s="30">
        <v>390</v>
      </c>
      <c r="O935" s="30">
        <f t="shared" si="1038"/>
        <v>1650</v>
      </c>
      <c r="P935" s="100">
        <f t="shared" si="1043"/>
        <v>0</v>
      </c>
      <c r="Q935" s="30">
        <v>1650</v>
      </c>
      <c r="R935" s="30">
        <v>1650</v>
      </c>
      <c r="S935" s="30">
        <v>1650</v>
      </c>
    </row>
    <row r="936" spans="1:19" ht="14.25" customHeight="1">
      <c r="A936" s="12"/>
      <c r="B936" s="116" t="s">
        <v>581</v>
      </c>
      <c r="C936" s="135">
        <v>20</v>
      </c>
      <c r="D936" s="30">
        <v>298</v>
      </c>
      <c r="E936" s="30">
        <v>390</v>
      </c>
      <c r="F936" s="46">
        <v>300</v>
      </c>
      <c r="G936" s="30">
        <v>390</v>
      </c>
      <c r="H936" s="30">
        <v>456</v>
      </c>
      <c r="I936" s="30">
        <v>455</v>
      </c>
      <c r="J936" s="30">
        <v>455</v>
      </c>
      <c r="K936" s="64">
        <v>100</v>
      </c>
      <c r="L936" s="30">
        <v>100</v>
      </c>
      <c r="M936" s="30">
        <v>125</v>
      </c>
      <c r="N936" s="30">
        <v>130</v>
      </c>
      <c r="O936" s="30">
        <f t="shared" si="1038"/>
        <v>455</v>
      </c>
      <c r="P936" s="100">
        <f t="shared" si="1043"/>
        <v>0</v>
      </c>
      <c r="Q936" s="30">
        <v>455</v>
      </c>
      <c r="R936" s="30">
        <v>455</v>
      </c>
      <c r="S936" s="30">
        <v>455</v>
      </c>
    </row>
    <row r="937" spans="1:19" ht="14.25" hidden="1" customHeight="1">
      <c r="A937" s="12"/>
      <c r="B937" s="129" t="s">
        <v>508</v>
      </c>
      <c r="C937" s="37">
        <v>85.01</v>
      </c>
      <c r="D937" s="46"/>
      <c r="E937" s="30"/>
      <c r="F937" s="46"/>
      <c r="G937" s="30"/>
      <c r="H937" s="30"/>
      <c r="I937" s="30"/>
      <c r="J937" s="30"/>
      <c r="K937" s="64"/>
      <c r="L937" s="30"/>
      <c r="M937" s="30"/>
      <c r="N937" s="30"/>
      <c r="O937" s="30">
        <f t="shared" si="1038"/>
        <v>0</v>
      </c>
      <c r="P937" s="100">
        <f t="shared" si="1043"/>
        <v>0</v>
      </c>
      <c r="Q937" s="30"/>
      <c r="R937" s="30"/>
      <c r="S937" s="30"/>
    </row>
    <row r="938" spans="1:19" ht="17.25" customHeight="1">
      <c r="A938" s="12"/>
      <c r="B938" s="129" t="s">
        <v>164</v>
      </c>
      <c r="C938" s="135"/>
      <c r="D938" s="102">
        <f t="shared" ref="D938:S938" si="1083">D939</f>
        <v>112</v>
      </c>
      <c r="E938" s="102">
        <f t="shared" si="1083"/>
        <v>0</v>
      </c>
      <c r="F938" s="102">
        <f t="shared" si="1083"/>
        <v>0</v>
      </c>
      <c r="G938" s="102">
        <f t="shared" si="1083"/>
        <v>0</v>
      </c>
      <c r="H938" s="102">
        <f t="shared" si="1083"/>
        <v>0</v>
      </c>
      <c r="I938" s="102">
        <f t="shared" si="1083"/>
        <v>50</v>
      </c>
      <c r="J938" s="102">
        <f t="shared" si="1083"/>
        <v>50</v>
      </c>
      <c r="K938" s="208">
        <f t="shared" si="1083"/>
        <v>0</v>
      </c>
      <c r="L938" s="102">
        <f t="shared" si="1083"/>
        <v>50</v>
      </c>
      <c r="M938" s="102">
        <f t="shared" si="1083"/>
        <v>0</v>
      </c>
      <c r="N938" s="102">
        <f t="shared" si="1083"/>
        <v>0</v>
      </c>
      <c r="O938" s="30">
        <f t="shared" si="1038"/>
        <v>50</v>
      </c>
      <c r="P938" s="100">
        <f t="shared" si="1043"/>
        <v>0</v>
      </c>
      <c r="Q938" s="102">
        <f t="shared" si="1083"/>
        <v>0</v>
      </c>
      <c r="R938" s="102">
        <f t="shared" si="1083"/>
        <v>0</v>
      </c>
      <c r="S938" s="102">
        <f t="shared" si="1083"/>
        <v>0</v>
      </c>
    </row>
    <row r="939" spans="1:19" ht="23.25" customHeight="1">
      <c r="A939" s="12"/>
      <c r="B939" s="116" t="s">
        <v>170</v>
      </c>
      <c r="C939" s="135" t="s">
        <v>171</v>
      </c>
      <c r="D939" s="46">
        <v>112</v>
      </c>
      <c r="E939" s="30"/>
      <c r="F939" s="46"/>
      <c r="G939" s="30">
        <v>0</v>
      </c>
      <c r="H939" s="30">
        <v>0</v>
      </c>
      <c r="I939" s="30">
        <v>50</v>
      </c>
      <c r="J939" s="30">
        <v>50</v>
      </c>
      <c r="K939" s="64"/>
      <c r="L939" s="30">
        <v>50</v>
      </c>
      <c r="M939" s="30"/>
      <c r="N939" s="30"/>
      <c r="O939" s="30">
        <f t="shared" si="1038"/>
        <v>50</v>
      </c>
      <c r="P939" s="100">
        <f t="shared" si="1043"/>
        <v>0</v>
      </c>
      <c r="Q939" s="30"/>
      <c r="R939" s="30"/>
      <c r="S939" s="30"/>
    </row>
    <row r="940" spans="1:19" ht="30.75" customHeight="1">
      <c r="A940" s="12" t="s">
        <v>360</v>
      </c>
      <c r="B940" s="269" t="s">
        <v>295</v>
      </c>
      <c r="C940" s="243" t="s">
        <v>627</v>
      </c>
      <c r="D940" s="271">
        <f t="shared" ref="D940:S940" si="1084">D941+D947</f>
        <v>2231</v>
      </c>
      <c r="E940" s="271">
        <f t="shared" si="1084"/>
        <v>2254</v>
      </c>
      <c r="F940" s="271">
        <f t="shared" si="1084"/>
        <v>2144</v>
      </c>
      <c r="G940" s="271">
        <f t="shared" si="1084"/>
        <v>2254</v>
      </c>
      <c r="H940" s="271">
        <f t="shared" ref="H940" si="1085">H941+H947</f>
        <v>2162</v>
      </c>
      <c r="I940" s="271">
        <f t="shared" si="1084"/>
        <v>2393</v>
      </c>
      <c r="J940" s="271">
        <f t="shared" si="1084"/>
        <v>1941</v>
      </c>
      <c r="K940" s="272">
        <f t="shared" ref="K940:N940" si="1086">K941+K947</f>
        <v>490</v>
      </c>
      <c r="L940" s="271">
        <f t="shared" si="1086"/>
        <v>531</v>
      </c>
      <c r="M940" s="271">
        <f t="shared" si="1086"/>
        <v>590</v>
      </c>
      <c r="N940" s="271">
        <f t="shared" si="1086"/>
        <v>330</v>
      </c>
      <c r="O940" s="273">
        <f t="shared" si="1038"/>
        <v>1941</v>
      </c>
      <c r="P940" s="271">
        <f t="shared" si="1043"/>
        <v>0</v>
      </c>
      <c r="Q940" s="271">
        <f t="shared" si="1084"/>
        <v>1750</v>
      </c>
      <c r="R940" s="271">
        <f t="shared" si="1084"/>
        <v>1750</v>
      </c>
      <c r="S940" s="271">
        <f t="shared" si="1084"/>
        <v>1750</v>
      </c>
    </row>
    <row r="941" spans="1:19" ht="14.25">
      <c r="A941" s="12"/>
      <c r="B941" s="129" t="s">
        <v>152</v>
      </c>
      <c r="C941" s="135"/>
      <c r="D941" s="138">
        <f t="shared" ref="D941:S941" si="1087">D942</f>
        <v>2098</v>
      </c>
      <c r="E941" s="138">
        <f t="shared" si="1087"/>
        <v>2210</v>
      </c>
      <c r="F941" s="138">
        <f t="shared" si="1087"/>
        <v>2100</v>
      </c>
      <c r="G941" s="138">
        <f t="shared" si="1087"/>
        <v>2210</v>
      </c>
      <c r="H941" s="138">
        <f t="shared" si="1087"/>
        <v>2121</v>
      </c>
      <c r="I941" s="138">
        <f t="shared" si="1087"/>
        <v>2202</v>
      </c>
      <c r="J941" s="138">
        <f t="shared" si="1087"/>
        <v>1750</v>
      </c>
      <c r="K941" s="206">
        <f t="shared" si="1087"/>
        <v>490</v>
      </c>
      <c r="L941" s="138">
        <f t="shared" si="1087"/>
        <v>490</v>
      </c>
      <c r="M941" s="138">
        <f t="shared" si="1087"/>
        <v>440</v>
      </c>
      <c r="N941" s="138">
        <f t="shared" si="1087"/>
        <v>330</v>
      </c>
      <c r="O941" s="30">
        <f t="shared" si="1038"/>
        <v>1750</v>
      </c>
      <c r="P941" s="100">
        <f t="shared" si="1043"/>
        <v>0</v>
      </c>
      <c r="Q941" s="138">
        <f t="shared" si="1087"/>
        <v>1750</v>
      </c>
      <c r="R941" s="138">
        <f t="shared" si="1087"/>
        <v>1750</v>
      </c>
      <c r="S941" s="138">
        <f t="shared" si="1087"/>
        <v>1750</v>
      </c>
    </row>
    <row r="942" spans="1:19" ht="14.25">
      <c r="A942" s="12"/>
      <c r="B942" s="116" t="s">
        <v>153</v>
      </c>
      <c r="C942" s="135">
        <v>1</v>
      </c>
      <c r="D942" s="102">
        <f t="shared" ref="D942:S942" si="1088">D943+D946</f>
        <v>2098</v>
      </c>
      <c r="E942" s="102">
        <f t="shared" si="1088"/>
        <v>2210</v>
      </c>
      <c r="F942" s="102">
        <f t="shared" si="1088"/>
        <v>2100</v>
      </c>
      <c r="G942" s="102">
        <f t="shared" si="1088"/>
        <v>2210</v>
      </c>
      <c r="H942" s="102">
        <f t="shared" ref="H942" si="1089">H943+H946</f>
        <v>2121</v>
      </c>
      <c r="I942" s="102">
        <f t="shared" si="1088"/>
        <v>2202</v>
      </c>
      <c r="J942" s="102">
        <f t="shared" si="1088"/>
        <v>1750</v>
      </c>
      <c r="K942" s="208">
        <f t="shared" ref="K942:N942" si="1090">K943+K946</f>
        <v>490</v>
      </c>
      <c r="L942" s="102">
        <f t="shared" si="1090"/>
        <v>490</v>
      </c>
      <c r="M942" s="102">
        <f t="shared" si="1090"/>
        <v>440</v>
      </c>
      <c r="N942" s="102">
        <f t="shared" si="1090"/>
        <v>330</v>
      </c>
      <c r="O942" s="30">
        <f t="shared" si="1038"/>
        <v>1750</v>
      </c>
      <c r="P942" s="100">
        <f t="shared" si="1043"/>
        <v>0</v>
      </c>
      <c r="Q942" s="102">
        <f t="shared" si="1088"/>
        <v>1750</v>
      </c>
      <c r="R942" s="102">
        <f t="shared" si="1088"/>
        <v>1750</v>
      </c>
      <c r="S942" s="102">
        <f t="shared" si="1088"/>
        <v>1750</v>
      </c>
    </row>
    <row r="943" spans="1:19" ht="15" customHeight="1">
      <c r="A943" s="12"/>
      <c r="B943" s="116" t="s">
        <v>250</v>
      </c>
      <c r="C943" s="135" t="s">
        <v>291</v>
      </c>
      <c r="D943" s="102">
        <f t="shared" ref="D943:S943" si="1091">D944+D945</f>
        <v>2098</v>
      </c>
      <c r="E943" s="102">
        <f t="shared" si="1091"/>
        <v>2210</v>
      </c>
      <c r="F943" s="102">
        <f t="shared" si="1091"/>
        <v>2100</v>
      </c>
      <c r="G943" s="102">
        <f t="shared" si="1091"/>
        <v>2210</v>
      </c>
      <c r="H943" s="102">
        <f t="shared" ref="H943" si="1092">H944+H945</f>
        <v>2121</v>
      </c>
      <c r="I943" s="102">
        <f t="shared" si="1091"/>
        <v>2202</v>
      </c>
      <c r="J943" s="102">
        <f t="shared" si="1091"/>
        <v>1750</v>
      </c>
      <c r="K943" s="208">
        <f t="shared" ref="K943:N943" si="1093">K944+K945</f>
        <v>490</v>
      </c>
      <c r="L943" s="102">
        <f t="shared" si="1093"/>
        <v>490</v>
      </c>
      <c r="M943" s="102">
        <f t="shared" si="1093"/>
        <v>440</v>
      </c>
      <c r="N943" s="102">
        <f t="shared" si="1093"/>
        <v>330</v>
      </c>
      <c r="O943" s="30">
        <f t="shared" si="1038"/>
        <v>1750</v>
      </c>
      <c r="P943" s="100">
        <f t="shared" si="1043"/>
        <v>0</v>
      </c>
      <c r="Q943" s="102">
        <f t="shared" si="1091"/>
        <v>1750</v>
      </c>
      <c r="R943" s="102">
        <f t="shared" si="1091"/>
        <v>1750</v>
      </c>
      <c r="S943" s="102">
        <f t="shared" si="1091"/>
        <v>1750</v>
      </c>
    </row>
    <row r="944" spans="1:19" ht="15.75" customHeight="1">
      <c r="A944" s="12"/>
      <c r="B944" s="116" t="s">
        <v>154</v>
      </c>
      <c r="C944" s="135">
        <v>10</v>
      </c>
      <c r="D944" s="30">
        <v>1247</v>
      </c>
      <c r="E944" s="30">
        <v>1350</v>
      </c>
      <c r="F944" s="46">
        <v>1350</v>
      </c>
      <c r="G944" s="30">
        <v>1350</v>
      </c>
      <c r="H944" s="30">
        <v>1263</v>
      </c>
      <c r="I944" s="30">
        <v>1343</v>
      </c>
      <c r="J944" s="30">
        <v>1350</v>
      </c>
      <c r="K944" s="64">
        <v>340</v>
      </c>
      <c r="L944" s="30">
        <v>340</v>
      </c>
      <c r="M944" s="30">
        <v>340</v>
      </c>
      <c r="N944" s="30">
        <v>330</v>
      </c>
      <c r="O944" s="30">
        <f t="shared" si="1038"/>
        <v>1350</v>
      </c>
      <c r="P944" s="100">
        <f t="shared" si="1043"/>
        <v>0</v>
      </c>
      <c r="Q944" s="30">
        <v>1350</v>
      </c>
      <c r="R944" s="30">
        <v>1350</v>
      </c>
      <c r="S944" s="30">
        <v>1350</v>
      </c>
    </row>
    <row r="945" spans="1:19" ht="16.5" customHeight="1">
      <c r="A945" s="12"/>
      <c r="B945" s="116" t="s">
        <v>581</v>
      </c>
      <c r="C945" s="135">
        <v>20</v>
      </c>
      <c r="D945" s="30">
        <v>851</v>
      </c>
      <c r="E945" s="30">
        <v>860</v>
      </c>
      <c r="F945" s="46">
        <v>750</v>
      </c>
      <c r="G945" s="30">
        <v>860</v>
      </c>
      <c r="H945" s="30">
        <v>858</v>
      </c>
      <c r="I945" s="30">
        <v>859</v>
      </c>
      <c r="J945" s="30">
        <v>400</v>
      </c>
      <c r="K945" s="64">
        <v>150</v>
      </c>
      <c r="L945" s="30">
        <v>150</v>
      </c>
      <c r="M945" s="30">
        <v>100</v>
      </c>
      <c r="N945" s="30">
        <v>0</v>
      </c>
      <c r="O945" s="30">
        <f t="shared" si="1038"/>
        <v>400</v>
      </c>
      <c r="P945" s="100">
        <f t="shared" si="1043"/>
        <v>0</v>
      </c>
      <c r="Q945" s="30">
        <v>400</v>
      </c>
      <c r="R945" s="30">
        <v>400</v>
      </c>
      <c r="S945" s="30">
        <v>400</v>
      </c>
    </row>
    <row r="946" spans="1:19" ht="12.75" hidden="1" customHeight="1">
      <c r="A946" s="12"/>
      <c r="B946" s="129" t="s">
        <v>508</v>
      </c>
      <c r="C946" s="37">
        <v>85.01</v>
      </c>
      <c r="D946" s="46"/>
      <c r="E946" s="30"/>
      <c r="F946" s="46"/>
      <c r="G946" s="30"/>
      <c r="H946" s="30"/>
      <c r="I946" s="30"/>
      <c r="J946" s="30"/>
      <c r="K946" s="64"/>
      <c r="L946" s="30"/>
      <c r="M946" s="30"/>
      <c r="N946" s="30"/>
      <c r="O946" s="30">
        <f t="shared" si="1038"/>
        <v>0</v>
      </c>
      <c r="P946" s="100">
        <f t="shared" si="1043"/>
        <v>0</v>
      </c>
      <c r="Q946" s="30"/>
      <c r="R946" s="30"/>
      <c r="S946" s="30"/>
    </row>
    <row r="947" spans="1:19" ht="15.75" customHeight="1">
      <c r="A947" s="12"/>
      <c r="B947" s="129" t="s">
        <v>164</v>
      </c>
      <c r="C947" s="135"/>
      <c r="D947" s="138">
        <f t="shared" ref="D947:S947" si="1094">D948</f>
        <v>133</v>
      </c>
      <c r="E947" s="138">
        <f t="shared" si="1094"/>
        <v>44</v>
      </c>
      <c r="F947" s="138">
        <f t="shared" si="1094"/>
        <v>44</v>
      </c>
      <c r="G947" s="138">
        <f t="shared" si="1094"/>
        <v>44</v>
      </c>
      <c r="H947" s="138">
        <f t="shared" si="1094"/>
        <v>41</v>
      </c>
      <c r="I947" s="138">
        <f t="shared" si="1094"/>
        <v>191</v>
      </c>
      <c r="J947" s="138">
        <f t="shared" si="1094"/>
        <v>191</v>
      </c>
      <c r="K947" s="206">
        <f t="shared" si="1094"/>
        <v>0</v>
      </c>
      <c r="L947" s="138">
        <f t="shared" si="1094"/>
        <v>41</v>
      </c>
      <c r="M947" s="138">
        <f t="shared" si="1094"/>
        <v>150</v>
      </c>
      <c r="N947" s="138">
        <f t="shared" si="1094"/>
        <v>0</v>
      </c>
      <c r="O947" s="30">
        <f t="shared" si="1038"/>
        <v>191</v>
      </c>
      <c r="P947" s="100">
        <f t="shared" si="1043"/>
        <v>0</v>
      </c>
      <c r="Q947" s="138">
        <f t="shared" si="1094"/>
        <v>0</v>
      </c>
      <c r="R947" s="138">
        <f t="shared" si="1094"/>
        <v>0</v>
      </c>
      <c r="S947" s="138">
        <f t="shared" si="1094"/>
        <v>0</v>
      </c>
    </row>
    <row r="948" spans="1:19" ht="14.25">
      <c r="A948" s="12"/>
      <c r="B948" s="116" t="s">
        <v>170</v>
      </c>
      <c r="C948" s="135" t="s">
        <v>171</v>
      </c>
      <c r="D948" s="46">
        <v>133</v>
      </c>
      <c r="E948" s="30">
        <v>44</v>
      </c>
      <c r="F948" s="46">
        <f>10+15+9+10</f>
        <v>44</v>
      </c>
      <c r="G948" s="30">
        <v>44</v>
      </c>
      <c r="H948" s="30">
        <v>41</v>
      </c>
      <c r="I948" s="30">
        <v>191</v>
      </c>
      <c r="J948" s="30">
        <v>191</v>
      </c>
      <c r="K948" s="64"/>
      <c r="L948" s="30">
        <v>41</v>
      </c>
      <c r="M948" s="30">
        <v>150</v>
      </c>
      <c r="N948" s="30"/>
      <c r="O948" s="30">
        <f t="shared" si="1038"/>
        <v>191</v>
      </c>
      <c r="P948" s="100">
        <f t="shared" si="1043"/>
        <v>0</v>
      </c>
      <c r="Q948" s="30"/>
      <c r="R948" s="30"/>
      <c r="S948" s="30"/>
    </row>
    <row r="949" spans="1:19" ht="16.5" customHeight="1">
      <c r="A949" s="12" t="s">
        <v>361</v>
      </c>
      <c r="B949" s="269" t="s">
        <v>362</v>
      </c>
      <c r="C949" s="243" t="s">
        <v>628</v>
      </c>
      <c r="D949" s="271">
        <f t="shared" ref="D949:S949" si="1095">D950+D957</f>
        <v>4536</v>
      </c>
      <c r="E949" s="271">
        <f t="shared" si="1095"/>
        <v>4555</v>
      </c>
      <c r="F949" s="271">
        <f t="shared" si="1095"/>
        <v>4715</v>
      </c>
      <c r="G949" s="271">
        <f t="shared" si="1095"/>
        <v>4555</v>
      </c>
      <c r="H949" s="271">
        <f t="shared" ref="H949" si="1096">H950+H957</f>
        <v>4472</v>
      </c>
      <c r="I949" s="271">
        <f t="shared" si="1095"/>
        <v>5380</v>
      </c>
      <c r="J949" s="271">
        <f t="shared" si="1095"/>
        <v>4980</v>
      </c>
      <c r="K949" s="272">
        <f t="shared" ref="K949:N949" si="1097">K950+K957</f>
        <v>1220</v>
      </c>
      <c r="L949" s="271">
        <f t="shared" si="1097"/>
        <v>1220</v>
      </c>
      <c r="M949" s="271">
        <f t="shared" si="1097"/>
        <v>1220</v>
      </c>
      <c r="N949" s="271">
        <f t="shared" si="1097"/>
        <v>1320</v>
      </c>
      <c r="O949" s="273">
        <f t="shared" si="1038"/>
        <v>4980</v>
      </c>
      <c r="P949" s="271">
        <f t="shared" si="1043"/>
        <v>0</v>
      </c>
      <c r="Q949" s="271">
        <f t="shared" si="1095"/>
        <v>4680</v>
      </c>
      <c r="R949" s="271">
        <f t="shared" si="1095"/>
        <v>4680</v>
      </c>
      <c r="S949" s="271">
        <f t="shared" si="1095"/>
        <v>4680</v>
      </c>
    </row>
    <row r="950" spans="1:19" ht="14.25">
      <c r="A950" s="12"/>
      <c r="B950" s="129" t="s">
        <v>152</v>
      </c>
      <c r="C950" s="135"/>
      <c r="D950" s="138">
        <f t="shared" ref="D950:S951" si="1098">D951</f>
        <v>4536</v>
      </c>
      <c r="E950" s="138">
        <f t="shared" si="1098"/>
        <v>4555</v>
      </c>
      <c r="F950" s="138">
        <f t="shared" si="1098"/>
        <v>4715</v>
      </c>
      <c r="G950" s="138">
        <f t="shared" si="1098"/>
        <v>4555</v>
      </c>
      <c r="H950" s="138">
        <f t="shared" si="1098"/>
        <v>4472</v>
      </c>
      <c r="I950" s="138">
        <f t="shared" si="1098"/>
        <v>4880</v>
      </c>
      <c r="J950" s="138">
        <f t="shared" si="1098"/>
        <v>4680</v>
      </c>
      <c r="K950" s="206">
        <f t="shared" si="1098"/>
        <v>1220</v>
      </c>
      <c r="L950" s="138">
        <f t="shared" si="1098"/>
        <v>1220</v>
      </c>
      <c r="M950" s="138">
        <f t="shared" si="1098"/>
        <v>1220</v>
      </c>
      <c r="N950" s="138">
        <f t="shared" si="1098"/>
        <v>1020</v>
      </c>
      <c r="O950" s="30">
        <f t="shared" si="1038"/>
        <v>4680</v>
      </c>
      <c r="P950" s="100">
        <f t="shared" si="1043"/>
        <v>0</v>
      </c>
      <c r="Q950" s="138">
        <f t="shared" si="1098"/>
        <v>4680</v>
      </c>
      <c r="R950" s="138">
        <f t="shared" si="1098"/>
        <v>4680</v>
      </c>
      <c r="S950" s="138">
        <f t="shared" si="1098"/>
        <v>4680</v>
      </c>
    </row>
    <row r="951" spans="1:19" ht="14.25">
      <c r="A951" s="12"/>
      <c r="B951" s="116" t="s">
        <v>153</v>
      </c>
      <c r="C951" s="135">
        <v>1</v>
      </c>
      <c r="D951" s="102">
        <f t="shared" si="1098"/>
        <v>4536</v>
      </c>
      <c r="E951" s="102">
        <f t="shared" si="1098"/>
        <v>4555</v>
      </c>
      <c r="F951" s="102">
        <f t="shared" si="1098"/>
        <v>4715</v>
      </c>
      <c r="G951" s="102">
        <f t="shared" si="1098"/>
        <v>4555</v>
      </c>
      <c r="H951" s="102">
        <f t="shared" si="1098"/>
        <v>4472</v>
      </c>
      <c r="I951" s="102">
        <f t="shared" si="1098"/>
        <v>4880</v>
      </c>
      <c r="J951" s="102">
        <f t="shared" si="1098"/>
        <v>4680</v>
      </c>
      <c r="K951" s="208">
        <f t="shared" si="1098"/>
        <v>1220</v>
      </c>
      <c r="L951" s="102">
        <f t="shared" si="1098"/>
        <v>1220</v>
      </c>
      <c r="M951" s="102">
        <f t="shared" si="1098"/>
        <v>1220</v>
      </c>
      <c r="N951" s="102">
        <f t="shared" si="1098"/>
        <v>1020</v>
      </c>
      <c r="O951" s="30">
        <f t="shared" si="1038"/>
        <v>4680</v>
      </c>
      <c r="P951" s="100">
        <f t="shared" si="1043"/>
        <v>0</v>
      </c>
      <c r="Q951" s="102">
        <f t="shared" si="1098"/>
        <v>4680</v>
      </c>
      <c r="R951" s="102">
        <f t="shared" si="1098"/>
        <v>4680</v>
      </c>
      <c r="S951" s="102">
        <f t="shared" si="1098"/>
        <v>4680</v>
      </c>
    </row>
    <row r="952" spans="1:19" ht="14.25">
      <c r="A952" s="12"/>
      <c r="B952" s="116" t="s">
        <v>250</v>
      </c>
      <c r="C952" s="135" t="s">
        <v>291</v>
      </c>
      <c r="D952" s="102">
        <f t="shared" ref="D952:S952" si="1099">D953+D954+D955</f>
        <v>4536</v>
      </c>
      <c r="E952" s="102">
        <f t="shared" si="1099"/>
        <v>4555</v>
      </c>
      <c r="F952" s="102">
        <f t="shared" si="1099"/>
        <v>4715</v>
      </c>
      <c r="G952" s="102">
        <f t="shared" si="1099"/>
        <v>4555</v>
      </c>
      <c r="H952" s="102">
        <f t="shared" ref="H952" si="1100">H953+H954+H955</f>
        <v>4472</v>
      </c>
      <c r="I952" s="102">
        <f t="shared" si="1099"/>
        <v>4880</v>
      </c>
      <c r="J952" s="102">
        <f t="shared" si="1099"/>
        <v>4680</v>
      </c>
      <c r="K952" s="208">
        <f t="shared" ref="K952:N952" si="1101">K953+K954+K955</f>
        <v>1220</v>
      </c>
      <c r="L952" s="102">
        <f t="shared" si="1101"/>
        <v>1220</v>
      </c>
      <c r="M952" s="102">
        <f t="shared" si="1101"/>
        <v>1220</v>
      </c>
      <c r="N952" s="102">
        <f t="shared" si="1101"/>
        <v>1020</v>
      </c>
      <c r="O952" s="30">
        <f t="shared" si="1038"/>
        <v>4680</v>
      </c>
      <c r="P952" s="100">
        <f t="shared" si="1043"/>
        <v>0</v>
      </c>
      <c r="Q952" s="102">
        <f t="shared" si="1099"/>
        <v>4680</v>
      </c>
      <c r="R952" s="102">
        <f t="shared" si="1099"/>
        <v>4680</v>
      </c>
      <c r="S952" s="102">
        <f t="shared" si="1099"/>
        <v>4680</v>
      </c>
    </row>
    <row r="953" spans="1:19" ht="15.75" customHeight="1">
      <c r="A953" s="12"/>
      <c r="B953" s="116" t="s">
        <v>154</v>
      </c>
      <c r="C953" s="135">
        <v>10</v>
      </c>
      <c r="D953" s="30">
        <v>3814</v>
      </c>
      <c r="E953" s="30">
        <v>3840</v>
      </c>
      <c r="F953" s="46">
        <v>4000</v>
      </c>
      <c r="G953" s="30">
        <v>3840</v>
      </c>
      <c r="H953" s="30">
        <v>3801</v>
      </c>
      <c r="I953" s="30">
        <v>4000</v>
      </c>
      <c r="J953" s="30">
        <v>4000</v>
      </c>
      <c r="K953" s="64">
        <v>1050</v>
      </c>
      <c r="L953" s="30">
        <v>1050</v>
      </c>
      <c r="M953" s="30">
        <v>1050</v>
      </c>
      <c r="N953" s="30">
        <v>850</v>
      </c>
      <c r="O953" s="30">
        <f t="shared" si="1038"/>
        <v>4000</v>
      </c>
      <c r="P953" s="100">
        <f t="shared" si="1043"/>
        <v>0</v>
      </c>
      <c r="Q953" s="30">
        <v>4000</v>
      </c>
      <c r="R953" s="30">
        <v>4000</v>
      </c>
      <c r="S953" s="30">
        <v>4000</v>
      </c>
    </row>
    <row r="954" spans="1:19" ht="15" customHeight="1">
      <c r="A954" s="12"/>
      <c r="B954" s="116" t="s">
        <v>581</v>
      </c>
      <c r="C954" s="135">
        <v>20</v>
      </c>
      <c r="D954" s="30">
        <v>661</v>
      </c>
      <c r="E954" s="30">
        <v>635</v>
      </c>
      <c r="F954" s="46">
        <v>635</v>
      </c>
      <c r="G954" s="30">
        <v>635</v>
      </c>
      <c r="H954" s="30">
        <v>594</v>
      </c>
      <c r="I954" s="30">
        <v>800</v>
      </c>
      <c r="J954" s="30">
        <v>600</v>
      </c>
      <c r="K954" s="64">
        <v>150</v>
      </c>
      <c r="L954" s="30">
        <v>150</v>
      </c>
      <c r="M954" s="30">
        <v>150</v>
      </c>
      <c r="N954" s="30">
        <v>150</v>
      </c>
      <c r="O954" s="30">
        <f t="shared" si="1038"/>
        <v>600</v>
      </c>
      <c r="P954" s="100">
        <f t="shared" si="1043"/>
        <v>0</v>
      </c>
      <c r="Q954" s="30">
        <v>600</v>
      </c>
      <c r="R954" s="30">
        <v>600</v>
      </c>
      <c r="S954" s="30">
        <v>600</v>
      </c>
    </row>
    <row r="955" spans="1:19" ht="13.5" customHeight="1">
      <c r="A955" s="12"/>
      <c r="B955" s="116" t="s">
        <v>449</v>
      </c>
      <c r="C955" s="135">
        <v>59</v>
      </c>
      <c r="D955" s="30">
        <v>61</v>
      </c>
      <c r="E955" s="30">
        <v>80</v>
      </c>
      <c r="F955" s="46">
        <v>80</v>
      </c>
      <c r="G955" s="30">
        <v>80</v>
      </c>
      <c r="H955" s="30">
        <v>77</v>
      </c>
      <c r="I955" s="30">
        <v>80</v>
      </c>
      <c r="J955" s="30">
        <v>80</v>
      </c>
      <c r="K955" s="64">
        <v>20</v>
      </c>
      <c r="L955" s="30">
        <v>20</v>
      </c>
      <c r="M955" s="30">
        <v>20</v>
      </c>
      <c r="N955" s="30">
        <v>20</v>
      </c>
      <c r="O955" s="30">
        <f t="shared" si="1038"/>
        <v>80</v>
      </c>
      <c r="P955" s="100">
        <f t="shared" si="1043"/>
        <v>0</v>
      </c>
      <c r="Q955" s="30">
        <v>80</v>
      </c>
      <c r="R955" s="30">
        <v>80</v>
      </c>
      <c r="S955" s="30">
        <v>80</v>
      </c>
    </row>
    <row r="956" spans="1:19" ht="13.5" hidden="1" customHeight="1">
      <c r="A956" s="12"/>
      <c r="B956" s="129" t="s">
        <v>508</v>
      </c>
      <c r="C956" s="37">
        <v>85.01</v>
      </c>
      <c r="D956" s="46"/>
      <c r="E956" s="30"/>
      <c r="F956" s="46"/>
      <c r="G956" s="30">
        <v>0</v>
      </c>
      <c r="H956" s="30">
        <v>0</v>
      </c>
      <c r="I956" s="30"/>
      <c r="J956" s="30"/>
      <c r="K956" s="64"/>
      <c r="L956" s="30"/>
      <c r="M956" s="30"/>
      <c r="N956" s="30"/>
      <c r="O956" s="30">
        <f t="shared" si="1038"/>
        <v>0</v>
      </c>
      <c r="P956" s="100">
        <f t="shared" si="1043"/>
        <v>0</v>
      </c>
      <c r="Q956" s="30"/>
      <c r="R956" s="30"/>
      <c r="S956" s="30"/>
    </row>
    <row r="957" spans="1:19" ht="13.5" customHeight="1">
      <c r="A957" s="12"/>
      <c r="B957" s="129" t="s">
        <v>164</v>
      </c>
      <c r="C957" s="135"/>
      <c r="D957" s="138">
        <f t="shared" ref="D957:S957" si="1102">D958</f>
        <v>0</v>
      </c>
      <c r="E957" s="138">
        <f t="shared" si="1102"/>
        <v>0</v>
      </c>
      <c r="F957" s="138">
        <f t="shared" si="1102"/>
        <v>0</v>
      </c>
      <c r="G957" s="138">
        <f t="shared" si="1102"/>
        <v>0</v>
      </c>
      <c r="H957" s="138">
        <f t="shared" si="1102"/>
        <v>0</v>
      </c>
      <c r="I957" s="138">
        <f t="shared" si="1102"/>
        <v>500</v>
      </c>
      <c r="J957" s="138">
        <f t="shared" si="1102"/>
        <v>300</v>
      </c>
      <c r="K957" s="206">
        <f t="shared" si="1102"/>
        <v>0</v>
      </c>
      <c r="L957" s="138">
        <f t="shared" si="1102"/>
        <v>0</v>
      </c>
      <c r="M957" s="138">
        <f t="shared" si="1102"/>
        <v>0</v>
      </c>
      <c r="N957" s="138">
        <f t="shared" si="1102"/>
        <v>300</v>
      </c>
      <c r="O957" s="30">
        <f t="shared" si="1038"/>
        <v>300</v>
      </c>
      <c r="P957" s="100">
        <f t="shared" si="1043"/>
        <v>0</v>
      </c>
      <c r="Q957" s="138">
        <f t="shared" si="1102"/>
        <v>0</v>
      </c>
      <c r="R957" s="138">
        <f t="shared" si="1102"/>
        <v>0</v>
      </c>
      <c r="S957" s="138">
        <f t="shared" si="1102"/>
        <v>0</v>
      </c>
    </row>
    <row r="958" spans="1:19" ht="18.75" customHeight="1">
      <c r="A958" s="12"/>
      <c r="B958" s="116" t="s">
        <v>170</v>
      </c>
      <c r="C958" s="135" t="s">
        <v>171</v>
      </c>
      <c r="D958" s="46">
        <v>0</v>
      </c>
      <c r="E958" s="30"/>
      <c r="F958" s="46">
        <v>0</v>
      </c>
      <c r="G958" s="30">
        <v>0</v>
      </c>
      <c r="H958" s="30">
        <v>0</v>
      </c>
      <c r="I958" s="30">
        <v>500</v>
      </c>
      <c r="J958" s="30">
        <v>300</v>
      </c>
      <c r="K958" s="64">
        <v>0</v>
      </c>
      <c r="L958" s="30">
        <v>0</v>
      </c>
      <c r="M958" s="30">
        <v>0</v>
      </c>
      <c r="N958" s="30">
        <v>300</v>
      </c>
      <c r="O958" s="30">
        <f t="shared" si="1038"/>
        <v>300</v>
      </c>
      <c r="P958" s="100">
        <f t="shared" si="1043"/>
        <v>0</v>
      </c>
      <c r="Q958" s="30"/>
      <c r="R958" s="30"/>
      <c r="S958" s="30"/>
    </row>
    <row r="959" spans="1:19" ht="22.5" customHeight="1">
      <c r="A959" s="12" t="s">
        <v>363</v>
      </c>
      <c r="B959" s="269" t="s">
        <v>364</v>
      </c>
      <c r="C959" s="243" t="s">
        <v>628</v>
      </c>
      <c r="D959" s="271">
        <f t="shared" ref="D959:S959" si="1103">D960+D966</f>
        <v>1738</v>
      </c>
      <c r="E959" s="271">
        <f t="shared" si="1103"/>
        <v>1764</v>
      </c>
      <c r="F959" s="271">
        <f t="shared" si="1103"/>
        <v>1700</v>
      </c>
      <c r="G959" s="271">
        <f t="shared" si="1103"/>
        <v>1764</v>
      </c>
      <c r="H959" s="271">
        <f t="shared" ref="H959" si="1104">H960+H966</f>
        <v>1680</v>
      </c>
      <c r="I959" s="271">
        <f t="shared" si="1103"/>
        <v>2000</v>
      </c>
      <c r="J959" s="271">
        <f t="shared" si="1103"/>
        <v>1915</v>
      </c>
      <c r="K959" s="272">
        <f t="shared" ref="K959:N959" si="1105">K960+K966</f>
        <v>480</v>
      </c>
      <c r="L959" s="271">
        <f t="shared" si="1105"/>
        <v>475</v>
      </c>
      <c r="M959" s="271">
        <f t="shared" si="1105"/>
        <v>485</v>
      </c>
      <c r="N959" s="271">
        <f t="shared" si="1105"/>
        <v>475</v>
      </c>
      <c r="O959" s="273">
        <f t="shared" si="1038"/>
        <v>1915</v>
      </c>
      <c r="P959" s="271">
        <f t="shared" si="1043"/>
        <v>0</v>
      </c>
      <c r="Q959" s="271">
        <f t="shared" si="1103"/>
        <v>1915</v>
      </c>
      <c r="R959" s="271">
        <f t="shared" si="1103"/>
        <v>1915</v>
      </c>
      <c r="S959" s="271">
        <f t="shared" si="1103"/>
        <v>1915</v>
      </c>
    </row>
    <row r="960" spans="1:19" ht="15" customHeight="1">
      <c r="A960" s="12"/>
      <c r="B960" s="129" t="s">
        <v>152</v>
      </c>
      <c r="C960" s="135"/>
      <c r="D960" s="102">
        <f t="shared" ref="D960:S961" si="1106">D961</f>
        <v>1738</v>
      </c>
      <c r="E960" s="102">
        <f t="shared" si="1106"/>
        <v>1764</v>
      </c>
      <c r="F960" s="102">
        <f t="shared" si="1106"/>
        <v>1700</v>
      </c>
      <c r="G960" s="102">
        <f t="shared" si="1106"/>
        <v>1764</v>
      </c>
      <c r="H960" s="102">
        <f t="shared" si="1106"/>
        <v>1680</v>
      </c>
      <c r="I960" s="102">
        <f t="shared" si="1106"/>
        <v>2000</v>
      </c>
      <c r="J960" s="102">
        <f t="shared" si="1106"/>
        <v>1915</v>
      </c>
      <c r="K960" s="208">
        <f t="shared" si="1106"/>
        <v>480</v>
      </c>
      <c r="L960" s="102">
        <f t="shared" si="1106"/>
        <v>475</v>
      </c>
      <c r="M960" s="102">
        <f t="shared" si="1106"/>
        <v>485</v>
      </c>
      <c r="N960" s="102">
        <f t="shared" si="1106"/>
        <v>475</v>
      </c>
      <c r="O960" s="30">
        <f t="shared" si="1038"/>
        <v>1915</v>
      </c>
      <c r="P960" s="100">
        <f t="shared" si="1043"/>
        <v>0</v>
      </c>
      <c r="Q960" s="102">
        <f t="shared" si="1106"/>
        <v>1915</v>
      </c>
      <c r="R960" s="102">
        <f t="shared" si="1106"/>
        <v>1915</v>
      </c>
      <c r="S960" s="102">
        <f t="shared" si="1106"/>
        <v>1915</v>
      </c>
    </row>
    <row r="961" spans="1:19" ht="15" customHeight="1">
      <c r="A961" s="12"/>
      <c r="B961" s="116" t="s">
        <v>153</v>
      </c>
      <c r="C961" s="135">
        <v>1</v>
      </c>
      <c r="D961" s="102">
        <f t="shared" si="1106"/>
        <v>1738</v>
      </c>
      <c r="E961" s="102">
        <f t="shared" si="1106"/>
        <v>1764</v>
      </c>
      <c r="F961" s="102">
        <f t="shared" si="1106"/>
        <v>1700</v>
      </c>
      <c r="G961" s="102">
        <f t="shared" si="1106"/>
        <v>1764</v>
      </c>
      <c r="H961" s="102">
        <f t="shared" si="1106"/>
        <v>1680</v>
      </c>
      <c r="I961" s="102">
        <f t="shared" si="1106"/>
        <v>2000</v>
      </c>
      <c r="J961" s="102">
        <f t="shared" si="1106"/>
        <v>1915</v>
      </c>
      <c r="K961" s="208">
        <f t="shared" si="1106"/>
        <v>480</v>
      </c>
      <c r="L961" s="102">
        <f t="shared" si="1106"/>
        <v>475</v>
      </c>
      <c r="M961" s="102">
        <f t="shared" si="1106"/>
        <v>485</v>
      </c>
      <c r="N961" s="102">
        <f t="shared" si="1106"/>
        <v>475</v>
      </c>
      <c r="O961" s="30">
        <f t="shared" si="1038"/>
        <v>1915</v>
      </c>
      <c r="P961" s="100">
        <f t="shared" si="1043"/>
        <v>0</v>
      </c>
      <c r="Q961" s="102">
        <f t="shared" si="1106"/>
        <v>1915</v>
      </c>
      <c r="R961" s="102">
        <f t="shared" si="1106"/>
        <v>1915</v>
      </c>
      <c r="S961" s="102">
        <f t="shared" si="1106"/>
        <v>1915</v>
      </c>
    </row>
    <row r="962" spans="1:19" ht="15" customHeight="1">
      <c r="A962" s="12"/>
      <c r="B962" s="116" t="s">
        <v>250</v>
      </c>
      <c r="C962" s="135" t="s">
        <v>291</v>
      </c>
      <c r="D962" s="102">
        <f t="shared" ref="D962:S962" si="1107">D963+D964</f>
        <v>1738</v>
      </c>
      <c r="E962" s="102">
        <f t="shared" si="1107"/>
        <v>1764</v>
      </c>
      <c r="F962" s="102">
        <f t="shared" si="1107"/>
        <v>1700</v>
      </c>
      <c r="G962" s="102">
        <f t="shared" si="1107"/>
        <v>1764</v>
      </c>
      <c r="H962" s="102">
        <f t="shared" ref="H962" si="1108">H963+H964</f>
        <v>1680</v>
      </c>
      <c r="I962" s="102">
        <f t="shared" si="1107"/>
        <v>2000</v>
      </c>
      <c r="J962" s="102">
        <f t="shared" si="1107"/>
        <v>1915</v>
      </c>
      <c r="K962" s="208">
        <f t="shared" ref="K962:N962" si="1109">K963+K964</f>
        <v>480</v>
      </c>
      <c r="L962" s="102">
        <f t="shared" si="1109"/>
        <v>475</v>
      </c>
      <c r="M962" s="102">
        <f t="shared" si="1109"/>
        <v>485</v>
      </c>
      <c r="N962" s="102">
        <f t="shared" si="1109"/>
        <v>475</v>
      </c>
      <c r="O962" s="30">
        <f t="shared" si="1038"/>
        <v>1915</v>
      </c>
      <c r="P962" s="100">
        <f t="shared" si="1043"/>
        <v>0</v>
      </c>
      <c r="Q962" s="102">
        <f t="shared" si="1107"/>
        <v>1915</v>
      </c>
      <c r="R962" s="102">
        <f t="shared" si="1107"/>
        <v>1915</v>
      </c>
      <c r="S962" s="102">
        <f t="shared" si="1107"/>
        <v>1915</v>
      </c>
    </row>
    <row r="963" spans="1:19" ht="15" customHeight="1">
      <c r="A963" s="12"/>
      <c r="B963" s="116" t="s">
        <v>154</v>
      </c>
      <c r="C963" s="135">
        <v>10</v>
      </c>
      <c r="D963" s="30">
        <v>1248</v>
      </c>
      <c r="E963" s="30">
        <v>1300</v>
      </c>
      <c r="F963" s="46">
        <v>1300</v>
      </c>
      <c r="G963" s="30">
        <v>1300</v>
      </c>
      <c r="H963" s="30">
        <v>1219</v>
      </c>
      <c r="I963" s="30">
        <v>1455</v>
      </c>
      <c r="J963" s="30">
        <v>1455</v>
      </c>
      <c r="K963" s="64">
        <v>365</v>
      </c>
      <c r="L963" s="30">
        <v>360</v>
      </c>
      <c r="M963" s="30">
        <v>370</v>
      </c>
      <c r="N963" s="30">
        <v>360</v>
      </c>
      <c r="O963" s="30">
        <f t="shared" si="1038"/>
        <v>1455</v>
      </c>
      <c r="P963" s="100">
        <f t="shared" si="1043"/>
        <v>0</v>
      </c>
      <c r="Q963" s="30">
        <v>1455</v>
      </c>
      <c r="R963" s="30">
        <v>1455</v>
      </c>
      <c r="S963" s="30">
        <v>1455</v>
      </c>
    </row>
    <row r="964" spans="1:19" ht="15" customHeight="1">
      <c r="A964" s="12"/>
      <c r="B964" s="116" t="s">
        <v>581</v>
      </c>
      <c r="C964" s="135">
        <v>20</v>
      </c>
      <c r="D964" s="30">
        <v>490</v>
      </c>
      <c r="E964" s="30">
        <v>464</v>
      </c>
      <c r="F964" s="46">
        <v>400</v>
      </c>
      <c r="G964" s="30">
        <v>464</v>
      </c>
      <c r="H964" s="30">
        <v>461</v>
      </c>
      <c r="I964" s="30">
        <v>545</v>
      </c>
      <c r="J964" s="30">
        <v>460</v>
      </c>
      <c r="K964" s="64">
        <v>115</v>
      </c>
      <c r="L964" s="30">
        <v>115</v>
      </c>
      <c r="M964" s="30">
        <v>115</v>
      </c>
      <c r="N964" s="30">
        <v>115</v>
      </c>
      <c r="O964" s="30">
        <f t="shared" si="1038"/>
        <v>460</v>
      </c>
      <c r="P964" s="100">
        <f t="shared" si="1043"/>
        <v>0</v>
      </c>
      <c r="Q964" s="30">
        <v>460</v>
      </c>
      <c r="R964" s="30">
        <v>460</v>
      </c>
      <c r="S964" s="30">
        <v>460</v>
      </c>
    </row>
    <row r="965" spans="1:19" ht="0.75" customHeight="1">
      <c r="A965" s="12"/>
      <c r="B965" s="129" t="s">
        <v>508</v>
      </c>
      <c r="C965" s="37">
        <v>85.01</v>
      </c>
      <c r="D965" s="46"/>
      <c r="E965" s="30"/>
      <c r="F965" s="46"/>
      <c r="G965" s="30"/>
      <c r="H965" s="31"/>
      <c r="I965" s="30"/>
      <c r="J965" s="30"/>
      <c r="K965" s="64"/>
      <c r="L965" s="30"/>
      <c r="M965" s="30"/>
      <c r="N965" s="30"/>
      <c r="O965" s="30">
        <f t="shared" si="1038"/>
        <v>0</v>
      </c>
      <c r="P965" s="100">
        <f t="shared" si="1043"/>
        <v>0</v>
      </c>
      <c r="Q965" s="30"/>
      <c r="R965" s="30"/>
      <c r="S965" s="30"/>
    </row>
    <row r="966" spans="1:19" ht="15" hidden="1" customHeight="1">
      <c r="A966" s="12"/>
      <c r="B966" s="129" t="s">
        <v>164</v>
      </c>
      <c r="C966" s="135"/>
      <c r="D966" s="138">
        <f t="shared" ref="D966" si="1110">D967</f>
        <v>0</v>
      </c>
      <c r="E966" s="30"/>
      <c r="F966" s="138">
        <f t="shared" ref="F966" si="1111">F967</f>
        <v>0</v>
      </c>
      <c r="G966" s="30"/>
      <c r="H966" s="31"/>
      <c r="I966" s="30"/>
      <c r="J966" s="30"/>
      <c r="K966" s="64"/>
      <c r="L966" s="30"/>
      <c r="M966" s="30"/>
      <c r="N966" s="30"/>
      <c r="O966" s="30">
        <f t="shared" si="1038"/>
        <v>0</v>
      </c>
      <c r="P966" s="100">
        <f t="shared" si="1043"/>
        <v>0</v>
      </c>
      <c r="Q966" s="30"/>
      <c r="R966" s="30"/>
      <c r="S966" s="30"/>
    </row>
    <row r="967" spans="1:19" ht="15" hidden="1" customHeight="1">
      <c r="A967" s="12"/>
      <c r="B967" s="116" t="s">
        <v>170</v>
      </c>
      <c r="C967" s="135" t="s">
        <v>171</v>
      </c>
      <c r="D967" s="46">
        <v>0</v>
      </c>
      <c r="E967" s="30"/>
      <c r="F967" s="46">
        <v>0</v>
      </c>
      <c r="G967" s="30"/>
      <c r="H967" s="31"/>
      <c r="I967" s="30"/>
      <c r="J967" s="30"/>
      <c r="K967" s="64"/>
      <c r="L967" s="30"/>
      <c r="M967" s="30"/>
      <c r="N967" s="30"/>
      <c r="O967" s="30">
        <f t="shared" si="1038"/>
        <v>0</v>
      </c>
      <c r="P967" s="100">
        <f t="shared" si="1043"/>
        <v>0</v>
      </c>
      <c r="Q967" s="30"/>
      <c r="R967" s="30"/>
      <c r="S967" s="30"/>
    </row>
    <row r="968" spans="1:19" ht="31.5" customHeight="1">
      <c r="A968" s="12" t="s">
        <v>365</v>
      </c>
      <c r="B968" s="269" t="s">
        <v>366</v>
      </c>
      <c r="C968" s="243" t="s">
        <v>628</v>
      </c>
      <c r="D968" s="271">
        <f t="shared" ref="D968:S968" si="1112">D969+D974</f>
        <v>1716</v>
      </c>
      <c r="E968" s="271">
        <f t="shared" si="1112"/>
        <v>1850</v>
      </c>
      <c r="F968" s="271">
        <f t="shared" si="1112"/>
        <v>1850</v>
      </c>
      <c r="G968" s="271">
        <f t="shared" si="1112"/>
        <v>1850</v>
      </c>
      <c r="H968" s="271">
        <f t="shared" ref="H968" si="1113">H969+H974</f>
        <v>1736</v>
      </c>
      <c r="I968" s="271">
        <f t="shared" si="1112"/>
        <v>2065</v>
      </c>
      <c r="J968" s="271">
        <f t="shared" si="1112"/>
        <v>1925</v>
      </c>
      <c r="K968" s="272">
        <f t="shared" ref="K968:N968" si="1114">K969+K974</f>
        <v>480</v>
      </c>
      <c r="L968" s="271">
        <f t="shared" si="1114"/>
        <v>480</v>
      </c>
      <c r="M968" s="271">
        <f t="shared" si="1114"/>
        <v>500</v>
      </c>
      <c r="N968" s="271">
        <f t="shared" si="1114"/>
        <v>465</v>
      </c>
      <c r="O968" s="273">
        <f t="shared" si="1038"/>
        <v>1925</v>
      </c>
      <c r="P968" s="271">
        <f t="shared" si="1043"/>
        <v>0</v>
      </c>
      <c r="Q968" s="271">
        <f t="shared" si="1112"/>
        <v>1925</v>
      </c>
      <c r="R968" s="271">
        <f t="shared" si="1112"/>
        <v>1925</v>
      </c>
      <c r="S968" s="271">
        <f t="shared" si="1112"/>
        <v>1925</v>
      </c>
    </row>
    <row r="969" spans="1:19" ht="15" customHeight="1">
      <c r="A969" s="12"/>
      <c r="B969" s="129" t="s">
        <v>152</v>
      </c>
      <c r="C969" s="135"/>
      <c r="D969" s="138">
        <f t="shared" ref="D969:S970" si="1115">D970</f>
        <v>1716</v>
      </c>
      <c r="E969" s="138">
        <f t="shared" si="1115"/>
        <v>1850</v>
      </c>
      <c r="F969" s="138">
        <f t="shared" si="1115"/>
        <v>1850</v>
      </c>
      <c r="G969" s="138">
        <f t="shared" si="1115"/>
        <v>1850</v>
      </c>
      <c r="H969" s="138">
        <f t="shared" si="1115"/>
        <v>1736</v>
      </c>
      <c r="I969" s="138">
        <f t="shared" si="1115"/>
        <v>2065</v>
      </c>
      <c r="J969" s="138">
        <f t="shared" si="1115"/>
        <v>1925</v>
      </c>
      <c r="K969" s="206">
        <f t="shared" si="1115"/>
        <v>480</v>
      </c>
      <c r="L969" s="138">
        <f t="shared" si="1115"/>
        <v>480</v>
      </c>
      <c r="M969" s="138">
        <f t="shared" si="1115"/>
        <v>500</v>
      </c>
      <c r="N969" s="138">
        <f t="shared" si="1115"/>
        <v>465</v>
      </c>
      <c r="O969" s="30">
        <f t="shared" si="1038"/>
        <v>1925</v>
      </c>
      <c r="P969" s="100">
        <f t="shared" si="1043"/>
        <v>0</v>
      </c>
      <c r="Q969" s="138">
        <f t="shared" si="1115"/>
        <v>1925</v>
      </c>
      <c r="R969" s="138">
        <f t="shared" si="1115"/>
        <v>1925</v>
      </c>
      <c r="S969" s="138">
        <f t="shared" si="1115"/>
        <v>1925</v>
      </c>
    </row>
    <row r="970" spans="1:19" ht="15" customHeight="1">
      <c r="A970" s="12"/>
      <c r="B970" s="116" t="s">
        <v>153</v>
      </c>
      <c r="C970" s="135">
        <v>1</v>
      </c>
      <c r="D970" s="102">
        <f t="shared" si="1115"/>
        <v>1716</v>
      </c>
      <c r="E970" s="102">
        <f t="shared" si="1115"/>
        <v>1850</v>
      </c>
      <c r="F970" s="102">
        <f t="shared" si="1115"/>
        <v>1850</v>
      </c>
      <c r="G970" s="102">
        <f t="shared" si="1115"/>
        <v>1850</v>
      </c>
      <c r="H970" s="102">
        <f t="shared" si="1115"/>
        <v>1736</v>
      </c>
      <c r="I970" s="102">
        <f t="shared" si="1115"/>
        <v>2065</v>
      </c>
      <c r="J970" s="102">
        <f t="shared" si="1115"/>
        <v>1925</v>
      </c>
      <c r="K970" s="208">
        <f t="shared" si="1115"/>
        <v>480</v>
      </c>
      <c r="L970" s="102">
        <f t="shared" si="1115"/>
        <v>480</v>
      </c>
      <c r="M970" s="102">
        <f t="shared" si="1115"/>
        <v>500</v>
      </c>
      <c r="N970" s="102">
        <f t="shared" si="1115"/>
        <v>465</v>
      </c>
      <c r="O970" s="30">
        <f t="shared" si="1038"/>
        <v>1925</v>
      </c>
      <c r="P970" s="100">
        <f t="shared" si="1043"/>
        <v>0</v>
      </c>
      <c r="Q970" s="102">
        <f t="shared" si="1115"/>
        <v>1925</v>
      </c>
      <c r="R970" s="102">
        <f t="shared" si="1115"/>
        <v>1925</v>
      </c>
      <c r="S970" s="102">
        <f t="shared" si="1115"/>
        <v>1925</v>
      </c>
    </row>
    <row r="971" spans="1:19" ht="15" customHeight="1">
      <c r="A971" s="12"/>
      <c r="B971" s="116" t="s">
        <v>250</v>
      </c>
      <c r="C971" s="135" t="s">
        <v>291</v>
      </c>
      <c r="D971" s="102">
        <f t="shared" ref="D971:S971" si="1116">D972+D973</f>
        <v>1716</v>
      </c>
      <c r="E971" s="102">
        <f t="shared" si="1116"/>
        <v>1850</v>
      </c>
      <c r="F971" s="102">
        <f t="shared" si="1116"/>
        <v>1850</v>
      </c>
      <c r="G971" s="102">
        <f t="shared" si="1116"/>
        <v>1850</v>
      </c>
      <c r="H971" s="102">
        <f t="shared" ref="H971" si="1117">H972+H973</f>
        <v>1736</v>
      </c>
      <c r="I971" s="102">
        <f t="shared" si="1116"/>
        <v>2065</v>
      </c>
      <c r="J971" s="102">
        <f t="shared" si="1116"/>
        <v>1925</v>
      </c>
      <c r="K971" s="208">
        <f t="shared" ref="K971:N971" si="1118">K972+K973</f>
        <v>480</v>
      </c>
      <c r="L971" s="102">
        <f t="shared" si="1118"/>
        <v>480</v>
      </c>
      <c r="M971" s="102">
        <f t="shared" si="1118"/>
        <v>500</v>
      </c>
      <c r="N971" s="102">
        <f t="shared" si="1118"/>
        <v>465</v>
      </c>
      <c r="O971" s="30">
        <f t="shared" si="1038"/>
        <v>1925</v>
      </c>
      <c r="P971" s="100">
        <f t="shared" si="1043"/>
        <v>0</v>
      </c>
      <c r="Q971" s="102">
        <f t="shared" si="1116"/>
        <v>1925</v>
      </c>
      <c r="R971" s="102">
        <f t="shared" si="1116"/>
        <v>1925</v>
      </c>
      <c r="S971" s="102">
        <f t="shared" si="1116"/>
        <v>1925</v>
      </c>
    </row>
    <row r="972" spans="1:19" ht="15" customHeight="1">
      <c r="A972" s="12"/>
      <c r="B972" s="116" t="s">
        <v>154</v>
      </c>
      <c r="C972" s="135">
        <v>10</v>
      </c>
      <c r="D972" s="30">
        <v>1299</v>
      </c>
      <c r="E972" s="30">
        <v>1450</v>
      </c>
      <c r="F972" s="46">
        <v>1450</v>
      </c>
      <c r="G972" s="30">
        <v>1450</v>
      </c>
      <c r="H972" s="30">
        <v>1351</v>
      </c>
      <c r="I972" s="30">
        <v>1540</v>
      </c>
      <c r="J972" s="30">
        <v>1540</v>
      </c>
      <c r="K972" s="64">
        <v>390</v>
      </c>
      <c r="L972" s="30">
        <v>390</v>
      </c>
      <c r="M972" s="30">
        <v>400</v>
      </c>
      <c r="N972" s="30">
        <v>360</v>
      </c>
      <c r="O972" s="30">
        <f t="shared" ref="O972:O1035" si="1119">K972+L972+M972+N972</f>
        <v>1540</v>
      </c>
      <c r="P972" s="100">
        <f t="shared" si="1043"/>
        <v>0</v>
      </c>
      <c r="Q972" s="30">
        <v>1540</v>
      </c>
      <c r="R972" s="30">
        <v>1540</v>
      </c>
      <c r="S972" s="30">
        <v>1540</v>
      </c>
    </row>
    <row r="973" spans="1:19" ht="14.25" customHeight="1">
      <c r="A973" s="12"/>
      <c r="B973" s="116" t="s">
        <v>155</v>
      </c>
      <c r="C973" s="135">
        <v>20</v>
      </c>
      <c r="D973" s="30">
        <v>417</v>
      </c>
      <c r="E973" s="30">
        <v>400</v>
      </c>
      <c r="F973" s="46">
        <v>400</v>
      </c>
      <c r="G973" s="30">
        <v>400</v>
      </c>
      <c r="H973" s="30">
        <v>385</v>
      </c>
      <c r="I973" s="30">
        <v>525</v>
      </c>
      <c r="J973" s="30">
        <v>385</v>
      </c>
      <c r="K973" s="64">
        <v>90</v>
      </c>
      <c r="L973" s="30">
        <v>90</v>
      </c>
      <c r="M973" s="30">
        <v>100</v>
      </c>
      <c r="N973" s="30">
        <v>105</v>
      </c>
      <c r="O973" s="30">
        <f t="shared" si="1119"/>
        <v>385</v>
      </c>
      <c r="P973" s="100">
        <f t="shared" ref="P973:P1036" si="1120">J973-O973</f>
        <v>0</v>
      </c>
      <c r="Q973" s="30">
        <v>385</v>
      </c>
      <c r="R973" s="30">
        <v>385</v>
      </c>
      <c r="S973" s="30">
        <v>385</v>
      </c>
    </row>
    <row r="974" spans="1:19" ht="15.75" hidden="1" customHeight="1">
      <c r="A974" s="12"/>
      <c r="B974" s="129" t="s">
        <v>164</v>
      </c>
      <c r="C974" s="135"/>
      <c r="D974" s="102">
        <f t="shared" ref="D974" si="1121">D975</f>
        <v>0</v>
      </c>
      <c r="E974" s="30"/>
      <c r="F974" s="102">
        <f t="shared" ref="F974" si="1122">F975</f>
        <v>0</v>
      </c>
      <c r="G974" s="30"/>
      <c r="H974" s="31"/>
      <c r="I974" s="30"/>
      <c r="J974" s="30"/>
      <c r="K974" s="64"/>
      <c r="L974" s="30"/>
      <c r="M974" s="30"/>
      <c r="N974" s="30"/>
      <c r="O974" s="30">
        <f t="shared" si="1119"/>
        <v>0</v>
      </c>
      <c r="P974" s="100">
        <f t="shared" si="1120"/>
        <v>0</v>
      </c>
      <c r="Q974" s="30"/>
      <c r="R974" s="30"/>
      <c r="S974" s="30"/>
    </row>
    <row r="975" spans="1:19" ht="15" hidden="1" customHeight="1">
      <c r="A975" s="12"/>
      <c r="B975" s="116" t="s">
        <v>170</v>
      </c>
      <c r="C975" s="135" t="s">
        <v>171</v>
      </c>
      <c r="D975" s="46"/>
      <c r="E975" s="30"/>
      <c r="F975" s="46"/>
      <c r="G975" s="30"/>
      <c r="H975" s="31"/>
      <c r="I975" s="30"/>
      <c r="J975" s="30"/>
      <c r="K975" s="64"/>
      <c r="L975" s="30"/>
      <c r="M975" s="30"/>
      <c r="N975" s="30"/>
      <c r="O975" s="30">
        <f t="shared" si="1119"/>
        <v>0</v>
      </c>
      <c r="P975" s="100">
        <f t="shared" si="1120"/>
        <v>0</v>
      </c>
      <c r="Q975" s="30"/>
      <c r="R975" s="30"/>
      <c r="S975" s="30"/>
    </row>
    <row r="976" spans="1:19" ht="26.25" customHeight="1">
      <c r="A976" s="12" t="s">
        <v>367</v>
      </c>
      <c r="B976" s="269" t="s">
        <v>612</v>
      </c>
      <c r="C976" s="243" t="s">
        <v>368</v>
      </c>
      <c r="D976" s="271">
        <f t="shared" ref="D976:S978" si="1123">D977</f>
        <v>375</v>
      </c>
      <c r="E976" s="271">
        <f t="shared" si="1123"/>
        <v>700</v>
      </c>
      <c r="F976" s="271">
        <f t="shared" si="1123"/>
        <v>700</v>
      </c>
      <c r="G976" s="271">
        <f t="shared" si="1123"/>
        <v>700</v>
      </c>
      <c r="H976" s="271">
        <f t="shared" si="1123"/>
        <v>301.8</v>
      </c>
      <c r="I976" s="271">
        <f t="shared" si="1123"/>
        <v>100</v>
      </c>
      <c r="J976" s="271">
        <f t="shared" si="1123"/>
        <v>100</v>
      </c>
      <c r="K976" s="272">
        <f t="shared" si="1123"/>
        <v>0</v>
      </c>
      <c r="L976" s="271">
        <f t="shared" si="1123"/>
        <v>100</v>
      </c>
      <c r="M976" s="271">
        <f t="shared" si="1123"/>
        <v>0</v>
      </c>
      <c r="N976" s="271">
        <f t="shared" si="1123"/>
        <v>0</v>
      </c>
      <c r="O976" s="273">
        <f t="shared" si="1119"/>
        <v>100</v>
      </c>
      <c r="P976" s="271">
        <f t="shared" si="1120"/>
        <v>0</v>
      </c>
      <c r="Q976" s="271">
        <f t="shared" si="1123"/>
        <v>0</v>
      </c>
      <c r="R976" s="271">
        <f t="shared" si="1123"/>
        <v>0</v>
      </c>
      <c r="S976" s="271">
        <f t="shared" si="1123"/>
        <v>0</v>
      </c>
    </row>
    <row r="977" spans="1:19" ht="14.25">
      <c r="A977" s="12"/>
      <c r="B977" s="129" t="s">
        <v>152</v>
      </c>
      <c r="C977" s="135"/>
      <c r="D977" s="138">
        <f t="shared" si="1123"/>
        <v>375</v>
      </c>
      <c r="E977" s="138">
        <f t="shared" si="1123"/>
        <v>700</v>
      </c>
      <c r="F977" s="138">
        <f t="shared" si="1123"/>
        <v>700</v>
      </c>
      <c r="G977" s="138">
        <f t="shared" si="1123"/>
        <v>700</v>
      </c>
      <c r="H977" s="138">
        <f t="shared" si="1123"/>
        <v>301.8</v>
      </c>
      <c r="I977" s="138">
        <f t="shared" si="1123"/>
        <v>100</v>
      </c>
      <c r="J977" s="138">
        <f t="shared" si="1123"/>
        <v>100</v>
      </c>
      <c r="K977" s="206">
        <f t="shared" si="1123"/>
        <v>0</v>
      </c>
      <c r="L977" s="138">
        <f t="shared" si="1123"/>
        <v>100</v>
      </c>
      <c r="M977" s="138">
        <f t="shared" si="1123"/>
        <v>0</v>
      </c>
      <c r="N977" s="138">
        <f t="shared" si="1123"/>
        <v>0</v>
      </c>
      <c r="O977" s="30">
        <f t="shared" si="1119"/>
        <v>100</v>
      </c>
      <c r="P977" s="100">
        <f t="shared" si="1120"/>
        <v>0</v>
      </c>
      <c r="Q977" s="138">
        <f t="shared" si="1123"/>
        <v>0</v>
      </c>
      <c r="R977" s="138">
        <f t="shared" si="1123"/>
        <v>0</v>
      </c>
      <c r="S977" s="138">
        <f t="shared" si="1123"/>
        <v>0</v>
      </c>
    </row>
    <row r="978" spans="1:19" ht="14.25">
      <c r="A978" s="12"/>
      <c r="B978" s="116" t="s">
        <v>153</v>
      </c>
      <c r="C978" s="135">
        <v>1</v>
      </c>
      <c r="D978" s="102">
        <f t="shared" si="1123"/>
        <v>375</v>
      </c>
      <c r="E978" s="102">
        <f t="shared" si="1123"/>
        <v>700</v>
      </c>
      <c r="F978" s="102">
        <f t="shared" si="1123"/>
        <v>700</v>
      </c>
      <c r="G978" s="102">
        <f t="shared" si="1123"/>
        <v>700</v>
      </c>
      <c r="H978" s="102">
        <f t="shared" si="1123"/>
        <v>301.8</v>
      </c>
      <c r="I978" s="102">
        <f t="shared" si="1123"/>
        <v>100</v>
      </c>
      <c r="J978" s="102">
        <f t="shared" si="1123"/>
        <v>100</v>
      </c>
      <c r="K978" s="208">
        <f t="shared" si="1123"/>
        <v>0</v>
      </c>
      <c r="L978" s="102">
        <f t="shared" si="1123"/>
        <v>100</v>
      </c>
      <c r="M978" s="102">
        <f t="shared" si="1123"/>
        <v>0</v>
      </c>
      <c r="N978" s="102">
        <f t="shared" si="1123"/>
        <v>0</v>
      </c>
      <c r="O978" s="30">
        <f t="shared" si="1119"/>
        <v>100</v>
      </c>
      <c r="P978" s="100">
        <f t="shared" si="1120"/>
        <v>0</v>
      </c>
      <c r="Q978" s="102">
        <f t="shared" si="1123"/>
        <v>0</v>
      </c>
      <c r="R978" s="102">
        <f t="shared" si="1123"/>
        <v>0</v>
      </c>
      <c r="S978" s="102">
        <f t="shared" si="1123"/>
        <v>0</v>
      </c>
    </row>
    <row r="979" spans="1:19" ht="21.75" customHeight="1">
      <c r="A979" s="12"/>
      <c r="B979" s="116" t="s">
        <v>257</v>
      </c>
      <c r="C979" s="135" t="s">
        <v>268</v>
      </c>
      <c r="D979" s="46">
        <v>375</v>
      </c>
      <c r="E979" s="30">
        <v>700</v>
      </c>
      <c r="F979" s="46">
        <f t="shared" ref="F979" si="1124">600+100</f>
        <v>700</v>
      </c>
      <c r="G979" s="30">
        <v>700</v>
      </c>
      <c r="H979" s="30">
        <v>301.8</v>
      </c>
      <c r="I979" s="30">
        <v>100</v>
      </c>
      <c r="J979" s="30">
        <v>100</v>
      </c>
      <c r="K979" s="64">
        <v>0</v>
      </c>
      <c r="L979" s="30">
        <v>100</v>
      </c>
      <c r="M979" s="30">
        <v>0</v>
      </c>
      <c r="N979" s="30">
        <v>0</v>
      </c>
      <c r="O979" s="30">
        <f t="shared" si="1119"/>
        <v>100</v>
      </c>
      <c r="P979" s="100">
        <f t="shared" si="1120"/>
        <v>0</v>
      </c>
      <c r="Q979" s="30"/>
      <c r="R979" s="30"/>
      <c r="S979" s="30"/>
    </row>
    <row r="980" spans="1:19" ht="17.25" hidden="1" customHeight="1">
      <c r="A980" s="12"/>
      <c r="B980" s="129" t="s">
        <v>599</v>
      </c>
      <c r="C980" s="135" t="s">
        <v>368</v>
      </c>
      <c r="D980" s="104">
        <f t="shared" ref="D980:D981" si="1125">D981</f>
        <v>161</v>
      </c>
      <c r="E980" s="30"/>
      <c r="F980" s="104">
        <f t="shared" ref="F980:F981" si="1126">F981</f>
        <v>0</v>
      </c>
      <c r="G980" s="30"/>
      <c r="H980" s="31"/>
      <c r="I980" s="30"/>
      <c r="J980" s="30"/>
      <c r="K980" s="64"/>
      <c r="L980" s="30"/>
      <c r="M980" s="30"/>
      <c r="N980" s="30"/>
      <c r="O980" s="30">
        <f t="shared" si="1119"/>
        <v>0</v>
      </c>
      <c r="P980" s="100">
        <f t="shared" si="1120"/>
        <v>0</v>
      </c>
      <c r="Q980" s="30"/>
      <c r="R980" s="30"/>
      <c r="S980" s="30"/>
    </row>
    <row r="981" spans="1:19" ht="17.25" hidden="1" customHeight="1">
      <c r="A981" s="12"/>
      <c r="B981" s="129" t="s">
        <v>152</v>
      </c>
      <c r="C981" s="135"/>
      <c r="D981" s="104">
        <f t="shared" si="1125"/>
        <v>161</v>
      </c>
      <c r="E981" s="30"/>
      <c r="F981" s="104">
        <f t="shared" si="1126"/>
        <v>0</v>
      </c>
      <c r="G981" s="30"/>
      <c r="H981" s="31"/>
      <c r="I981" s="30"/>
      <c r="J981" s="30"/>
      <c r="K981" s="64"/>
      <c r="L981" s="30"/>
      <c r="M981" s="30"/>
      <c r="N981" s="30"/>
      <c r="O981" s="30">
        <f t="shared" si="1119"/>
        <v>0</v>
      </c>
      <c r="P981" s="100">
        <f t="shared" si="1120"/>
        <v>0</v>
      </c>
      <c r="Q981" s="30"/>
      <c r="R981" s="30"/>
      <c r="S981" s="30"/>
    </row>
    <row r="982" spans="1:19" ht="18" hidden="1" customHeight="1">
      <c r="A982" s="12"/>
      <c r="B982" s="116" t="s">
        <v>153</v>
      </c>
      <c r="C982" s="135">
        <v>1</v>
      </c>
      <c r="D982" s="104">
        <f t="shared" ref="D982" si="1127">D983+D984</f>
        <v>161</v>
      </c>
      <c r="E982" s="30"/>
      <c r="F982" s="104">
        <f t="shared" ref="F982" si="1128">F983+F984</f>
        <v>0</v>
      </c>
      <c r="G982" s="30"/>
      <c r="H982" s="31"/>
      <c r="I982" s="30"/>
      <c r="J982" s="30"/>
      <c r="K982" s="64"/>
      <c r="L982" s="30"/>
      <c r="M982" s="30"/>
      <c r="N982" s="30"/>
      <c r="O982" s="30">
        <f t="shared" si="1119"/>
        <v>0</v>
      </c>
      <c r="P982" s="100">
        <f t="shared" si="1120"/>
        <v>0</v>
      </c>
      <c r="Q982" s="30"/>
      <c r="R982" s="30"/>
      <c r="S982" s="30"/>
    </row>
    <row r="983" spans="1:19" ht="46.5" hidden="1" customHeight="1">
      <c r="A983" s="12"/>
      <c r="B983" s="261" t="s">
        <v>600</v>
      </c>
      <c r="C983" s="155" t="s">
        <v>603</v>
      </c>
      <c r="D983" s="46">
        <v>159</v>
      </c>
      <c r="E983" s="30"/>
      <c r="F983" s="46"/>
      <c r="G983" s="30"/>
      <c r="H983" s="31"/>
      <c r="I983" s="30"/>
      <c r="J983" s="30"/>
      <c r="K983" s="64"/>
      <c r="L983" s="30"/>
      <c r="M983" s="30"/>
      <c r="N983" s="30"/>
      <c r="O983" s="30">
        <f t="shared" si="1119"/>
        <v>0</v>
      </c>
      <c r="P983" s="100">
        <f t="shared" si="1120"/>
        <v>0</v>
      </c>
      <c r="Q983" s="30"/>
      <c r="R983" s="30"/>
      <c r="S983" s="30"/>
    </row>
    <row r="984" spans="1:19" ht="39" hidden="1" customHeight="1">
      <c r="A984" s="12"/>
      <c r="B984" s="261" t="s">
        <v>601</v>
      </c>
      <c r="C984" s="155" t="s">
        <v>602</v>
      </c>
      <c r="D984" s="46">
        <v>2</v>
      </c>
      <c r="E984" s="30"/>
      <c r="F984" s="46"/>
      <c r="G984" s="30"/>
      <c r="H984" s="31"/>
      <c r="I984" s="30"/>
      <c r="J984" s="30"/>
      <c r="K984" s="64"/>
      <c r="L984" s="30"/>
      <c r="M984" s="30"/>
      <c r="N984" s="30"/>
      <c r="O984" s="30">
        <f t="shared" si="1119"/>
        <v>0</v>
      </c>
      <c r="P984" s="100">
        <f t="shared" si="1120"/>
        <v>0</v>
      </c>
      <c r="Q984" s="30"/>
      <c r="R984" s="30"/>
      <c r="S984" s="30"/>
    </row>
    <row r="985" spans="1:19" ht="26.25" customHeight="1">
      <c r="A985" s="180" t="s">
        <v>5</v>
      </c>
      <c r="B985" s="262" t="s">
        <v>676</v>
      </c>
      <c r="C985" s="137">
        <v>69.02</v>
      </c>
      <c r="D985" s="153">
        <f t="shared" ref="D985:S987" si="1129">D997+D1041</f>
        <v>2869.97</v>
      </c>
      <c r="E985" s="153">
        <f t="shared" si="1129"/>
        <v>2959</v>
      </c>
      <c r="F985" s="153">
        <f t="shared" si="1129"/>
        <v>2924</v>
      </c>
      <c r="G985" s="153">
        <f t="shared" si="1129"/>
        <v>2959</v>
      </c>
      <c r="H985" s="153">
        <f t="shared" ref="H985" si="1130">H997+H1041</f>
        <v>2758</v>
      </c>
      <c r="I985" s="153">
        <f t="shared" si="1129"/>
        <v>4309</v>
      </c>
      <c r="J985" s="153">
        <f t="shared" si="1129"/>
        <v>3627</v>
      </c>
      <c r="K985" s="213">
        <f t="shared" ref="K985:N985" si="1131">K997+K1041</f>
        <v>1178</v>
      </c>
      <c r="L985" s="153">
        <f t="shared" si="1131"/>
        <v>789</v>
      </c>
      <c r="M985" s="153">
        <f t="shared" si="1131"/>
        <v>900</v>
      </c>
      <c r="N985" s="153">
        <f t="shared" si="1131"/>
        <v>760</v>
      </c>
      <c r="O985" s="30">
        <f t="shared" si="1119"/>
        <v>3627</v>
      </c>
      <c r="P985" s="100">
        <f t="shared" si="1120"/>
        <v>0</v>
      </c>
      <c r="Q985" s="153">
        <f t="shared" si="1129"/>
        <v>3165</v>
      </c>
      <c r="R985" s="153">
        <f t="shared" si="1129"/>
        <v>3200</v>
      </c>
      <c r="S985" s="153">
        <f t="shared" si="1129"/>
        <v>3300</v>
      </c>
    </row>
    <row r="986" spans="1:19" ht="18" customHeight="1">
      <c r="A986" s="12"/>
      <c r="B986" s="129" t="s">
        <v>152</v>
      </c>
      <c r="C986" s="37"/>
      <c r="D986" s="153">
        <f t="shared" si="1129"/>
        <v>2675.7299999999996</v>
      </c>
      <c r="E986" s="153">
        <f t="shared" si="1129"/>
        <v>2909</v>
      </c>
      <c r="F986" s="153">
        <f t="shared" si="1129"/>
        <v>2874</v>
      </c>
      <c r="G986" s="153">
        <f t="shared" si="1129"/>
        <v>2909</v>
      </c>
      <c r="H986" s="153">
        <f t="shared" ref="H986" si="1132">H998+H1042</f>
        <v>2719</v>
      </c>
      <c r="I986" s="153">
        <f t="shared" si="1129"/>
        <v>3527</v>
      </c>
      <c r="J986" s="153">
        <f t="shared" si="1129"/>
        <v>3145</v>
      </c>
      <c r="K986" s="213">
        <f t="shared" ref="K986:N986" si="1133">K998+K1042</f>
        <v>825</v>
      </c>
      <c r="L986" s="153">
        <f t="shared" si="1133"/>
        <v>760</v>
      </c>
      <c r="M986" s="153">
        <f t="shared" si="1133"/>
        <v>800</v>
      </c>
      <c r="N986" s="153">
        <f t="shared" si="1133"/>
        <v>760</v>
      </c>
      <c r="O986" s="30">
        <f t="shared" si="1119"/>
        <v>3145</v>
      </c>
      <c r="P986" s="100">
        <f t="shared" si="1120"/>
        <v>0</v>
      </c>
      <c r="Q986" s="153">
        <f t="shared" si="1129"/>
        <v>3165</v>
      </c>
      <c r="R986" s="153">
        <f t="shared" si="1129"/>
        <v>3200</v>
      </c>
      <c r="S986" s="153">
        <f t="shared" si="1129"/>
        <v>3300</v>
      </c>
    </row>
    <row r="987" spans="1:19" ht="14.25">
      <c r="A987" s="12"/>
      <c r="B987" s="116" t="s">
        <v>153</v>
      </c>
      <c r="C987" s="135">
        <v>1</v>
      </c>
      <c r="D987" s="102">
        <f t="shared" si="1129"/>
        <v>2697.49</v>
      </c>
      <c r="E987" s="102">
        <f t="shared" si="1129"/>
        <v>2919</v>
      </c>
      <c r="F987" s="102">
        <f t="shared" si="1129"/>
        <v>2874</v>
      </c>
      <c r="G987" s="102">
        <f t="shared" si="1129"/>
        <v>2919</v>
      </c>
      <c r="H987" s="102">
        <f t="shared" ref="H987" si="1134">H999+H1043</f>
        <v>2729</v>
      </c>
      <c r="I987" s="102">
        <f t="shared" si="1129"/>
        <v>3527</v>
      </c>
      <c r="J987" s="102">
        <f t="shared" si="1129"/>
        <v>3145</v>
      </c>
      <c r="K987" s="208">
        <f t="shared" ref="K987:N987" si="1135">K999+K1043</f>
        <v>825</v>
      </c>
      <c r="L987" s="102">
        <f t="shared" si="1135"/>
        <v>760</v>
      </c>
      <c r="M987" s="102">
        <f t="shared" si="1135"/>
        <v>800</v>
      </c>
      <c r="N987" s="102">
        <f t="shared" si="1135"/>
        <v>760</v>
      </c>
      <c r="O987" s="30">
        <f t="shared" si="1119"/>
        <v>3145</v>
      </c>
      <c r="P987" s="100">
        <f t="shared" si="1120"/>
        <v>0</v>
      </c>
      <c r="Q987" s="102">
        <f t="shared" si="1129"/>
        <v>3165</v>
      </c>
      <c r="R987" s="102">
        <f t="shared" si="1129"/>
        <v>3200</v>
      </c>
      <c r="S987" s="102">
        <f t="shared" si="1129"/>
        <v>3300</v>
      </c>
    </row>
    <row r="988" spans="1:19" ht="14.25">
      <c r="A988" s="12"/>
      <c r="B988" s="116" t="s">
        <v>154</v>
      </c>
      <c r="C988" s="135">
        <v>10</v>
      </c>
      <c r="D988" s="102">
        <f t="shared" ref="D988:S988" si="1136">D1000</f>
        <v>1760.22</v>
      </c>
      <c r="E988" s="102">
        <f t="shared" si="1136"/>
        <v>2035</v>
      </c>
      <c r="F988" s="102">
        <f t="shared" si="1136"/>
        <v>2035</v>
      </c>
      <c r="G988" s="102">
        <f t="shared" si="1136"/>
        <v>2035</v>
      </c>
      <c r="H988" s="102">
        <f t="shared" ref="H988" si="1137">H1000</f>
        <v>1887</v>
      </c>
      <c r="I988" s="102">
        <f t="shared" si="1136"/>
        <v>2282</v>
      </c>
      <c r="J988" s="102">
        <f t="shared" si="1136"/>
        <v>2280</v>
      </c>
      <c r="K988" s="208">
        <f t="shared" ref="K988:N988" si="1138">K1000</f>
        <v>560</v>
      </c>
      <c r="L988" s="102">
        <f t="shared" si="1138"/>
        <v>560</v>
      </c>
      <c r="M988" s="102">
        <f t="shared" si="1138"/>
        <v>600</v>
      </c>
      <c r="N988" s="102">
        <f t="shared" si="1138"/>
        <v>560</v>
      </c>
      <c r="O988" s="30">
        <f t="shared" si="1119"/>
        <v>2280</v>
      </c>
      <c r="P988" s="100">
        <f t="shared" si="1120"/>
        <v>0</v>
      </c>
      <c r="Q988" s="102">
        <f t="shared" si="1136"/>
        <v>2300</v>
      </c>
      <c r="R988" s="102">
        <f t="shared" si="1136"/>
        <v>2400</v>
      </c>
      <c r="S988" s="102">
        <f t="shared" si="1136"/>
        <v>2500</v>
      </c>
    </row>
    <row r="989" spans="1:19" ht="14.25">
      <c r="A989" s="12"/>
      <c r="B989" s="116" t="s">
        <v>581</v>
      </c>
      <c r="C989" s="135">
        <v>20</v>
      </c>
      <c r="D989" s="102">
        <f t="shared" ref="D989:S989" si="1139">D1001+D1044</f>
        <v>937.27</v>
      </c>
      <c r="E989" s="102">
        <f t="shared" si="1139"/>
        <v>884</v>
      </c>
      <c r="F989" s="102">
        <f t="shared" si="1139"/>
        <v>839</v>
      </c>
      <c r="G989" s="102">
        <f t="shared" si="1139"/>
        <v>884</v>
      </c>
      <c r="H989" s="102">
        <f t="shared" ref="H989" si="1140">H1001+H1044</f>
        <v>842</v>
      </c>
      <c r="I989" s="102">
        <f t="shared" si="1139"/>
        <v>1245</v>
      </c>
      <c r="J989" s="102">
        <f t="shared" si="1139"/>
        <v>865</v>
      </c>
      <c r="K989" s="208">
        <f t="shared" ref="K989:N989" si="1141">K1001+K1044</f>
        <v>265</v>
      </c>
      <c r="L989" s="102">
        <f t="shared" si="1141"/>
        <v>200</v>
      </c>
      <c r="M989" s="102">
        <f t="shared" si="1141"/>
        <v>200</v>
      </c>
      <c r="N989" s="102">
        <f t="shared" si="1141"/>
        <v>200</v>
      </c>
      <c r="O989" s="30">
        <f t="shared" si="1119"/>
        <v>865</v>
      </c>
      <c r="P989" s="100">
        <f t="shared" si="1120"/>
        <v>0</v>
      </c>
      <c r="Q989" s="102">
        <f t="shared" si="1139"/>
        <v>865</v>
      </c>
      <c r="R989" s="102">
        <f t="shared" si="1139"/>
        <v>800</v>
      </c>
      <c r="S989" s="102">
        <f t="shared" si="1139"/>
        <v>800</v>
      </c>
    </row>
    <row r="990" spans="1:19" ht="30" hidden="1" customHeight="1">
      <c r="A990" s="12"/>
      <c r="B990" s="120" t="s">
        <v>163</v>
      </c>
      <c r="C990" s="135" t="s">
        <v>251</v>
      </c>
      <c r="D990" s="102">
        <f>D1014</f>
        <v>-21.76</v>
      </c>
      <c r="E990" s="102">
        <f t="shared" ref="E990:S990" si="1142">E1014</f>
        <v>-10</v>
      </c>
      <c r="F990" s="102">
        <f t="shared" si="1142"/>
        <v>0</v>
      </c>
      <c r="G990" s="102">
        <f t="shared" si="1142"/>
        <v>-10</v>
      </c>
      <c r="H990" s="102">
        <f t="shared" ref="H990" si="1143">H1014</f>
        <v>-10</v>
      </c>
      <c r="I990" s="102">
        <f t="shared" si="1142"/>
        <v>0</v>
      </c>
      <c r="J990" s="102">
        <f t="shared" si="1142"/>
        <v>0</v>
      </c>
      <c r="K990" s="208">
        <f t="shared" ref="K990:N990" si="1144">K1014</f>
        <v>0</v>
      </c>
      <c r="L990" s="102">
        <f t="shared" si="1144"/>
        <v>0</v>
      </c>
      <c r="M990" s="102">
        <f t="shared" si="1144"/>
        <v>0</v>
      </c>
      <c r="N990" s="102">
        <f t="shared" si="1144"/>
        <v>0</v>
      </c>
      <c r="O990" s="30">
        <f t="shared" si="1119"/>
        <v>0</v>
      </c>
      <c r="P990" s="100">
        <f t="shared" si="1120"/>
        <v>0</v>
      </c>
      <c r="Q990" s="102">
        <f t="shared" si="1142"/>
        <v>0</v>
      </c>
      <c r="R990" s="102">
        <f t="shared" si="1142"/>
        <v>0</v>
      </c>
      <c r="S990" s="102">
        <f t="shared" si="1142"/>
        <v>0</v>
      </c>
    </row>
    <row r="991" spans="1:19" ht="14.25" customHeight="1">
      <c r="A991" s="12"/>
      <c r="B991" s="129" t="s">
        <v>164</v>
      </c>
      <c r="C991" s="135"/>
      <c r="D991" s="138">
        <f t="shared" ref="D991:S991" si="1145">D1003+D1045</f>
        <v>194.24</v>
      </c>
      <c r="E991" s="138">
        <f t="shared" si="1145"/>
        <v>50</v>
      </c>
      <c r="F991" s="138">
        <f t="shared" si="1145"/>
        <v>50</v>
      </c>
      <c r="G991" s="138">
        <f t="shared" si="1145"/>
        <v>50</v>
      </c>
      <c r="H991" s="138">
        <f t="shared" ref="H991" si="1146">H1003+H1045</f>
        <v>49</v>
      </c>
      <c r="I991" s="138">
        <f t="shared" si="1145"/>
        <v>782</v>
      </c>
      <c r="J991" s="138">
        <f t="shared" si="1145"/>
        <v>482</v>
      </c>
      <c r="K991" s="206">
        <f t="shared" ref="K991:N991" si="1147">K1003+K1045</f>
        <v>353</v>
      </c>
      <c r="L991" s="138">
        <f t="shared" si="1147"/>
        <v>29</v>
      </c>
      <c r="M991" s="138">
        <f t="shared" si="1147"/>
        <v>100</v>
      </c>
      <c r="N991" s="138">
        <f t="shared" si="1147"/>
        <v>0</v>
      </c>
      <c r="O991" s="30">
        <f t="shared" si="1119"/>
        <v>482</v>
      </c>
      <c r="P991" s="100">
        <f t="shared" si="1120"/>
        <v>0</v>
      </c>
      <c r="Q991" s="138">
        <f t="shared" si="1145"/>
        <v>0</v>
      </c>
      <c r="R991" s="138">
        <f t="shared" si="1145"/>
        <v>0</v>
      </c>
      <c r="S991" s="138">
        <f t="shared" si="1145"/>
        <v>0</v>
      </c>
    </row>
    <row r="992" spans="1:19" ht="14.25" hidden="1" customHeight="1">
      <c r="A992" s="12"/>
      <c r="B992" s="129"/>
      <c r="C992" s="135"/>
      <c r="D992" s="46"/>
      <c r="E992" s="30"/>
      <c r="F992" s="46"/>
      <c r="G992" s="30"/>
      <c r="H992" s="30"/>
      <c r="I992" s="30"/>
      <c r="J992" s="30"/>
      <c r="K992" s="64"/>
      <c r="L992" s="30"/>
      <c r="M992" s="30"/>
      <c r="N992" s="30"/>
      <c r="O992" s="30">
        <f t="shared" si="1119"/>
        <v>0</v>
      </c>
      <c r="P992" s="100">
        <f t="shared" si="1120"/>
        <v>0</v>
      </c>
      <c r="Q992" s="30"/>
      <c r="R992" s="30"/>
      <c r="S992" s="30"/>
    </row>
    <row r="993" spans="1:19" ht="15" customHeight="1">
      <c r="A993" s="12"/>
      <c r="B993" s="129" t="s">
        <v>173</v>
      </c>
      <c r="C993" s="135">
        <v>56</v>
      </c>
      <c r="D993" s="30">
        <f t="shared" ref="D993" si="1148">D1006</f>
        <v>0</v>
      </c>
      <c r="E993" s="30">
        <f>E1006</f>
        <v>219.62</v>
      </c>
      <c r="F993" s="30">
        <f t="shared" ref="F993:S993" si="1149">F1006</f>
        <v>0</v>
      </c>
      <c r="G993" s="30">
        <f t="shared" si="1149"/>
        <v>219.62</v>
      </c>
      <c r="H993" s="30">
        <f t="shared" ref="H993" si="1150">H1006</f>
        <v>0</v>
      </c>
      <c r="I993" s="30">
        <f t="shared" si="1149"/>
        <v>353</v>
      </c>
      <c r="J993" s="84">
        <f t="shared" si="1149"/>
        <v>353</v>
      </c>
      <c r="K993" s="215">
        <f t="shared" ref="K993:N993" si="1151">K1006</f>
        <v>353</v>
      </c>
      <c r="L993" s="84">
        <f t="shared" si="1151"/>
        <v>0</v>
      </c>
      <c r="M993" s="84">
        <f t="shared" si="1151"/>
        <v>0</v>
      </c>
      <c r="N993" s="84">
        <f t="shared" si="1151"/>
        <v>0</v>
      </c>
      <c r="O993" s="30">
        <f t="shared" si="1119"/>
        <v>353</v>
      </c>
      <c r="P993" s="100">
        <f t="shared" si="1120"/>
        <v>0</v>
      </c>
      <c r="Q993" s="30">
        <f t="shared" si="1149"/>
        <v>0</v>
      </c>
      <c r="R993" s="30">
        <f t="shared" si="1149"/>
        <v>0</v>
      </c>
      <c r="S993" s="30">
        <f t="shared" si="1149"/>
        <v>0</v>
      </c>
    </row>
    <row r="994" spans="1:19" ht="29.25" hidden="1" customHeight="1">
      <c r="A994" s="12"/>
      <c r="B994" s="129" t="s">
        <v>173</v>
      </c>
      <c r="C994" s="135">
        <v>58</v>
      </c>
      <c r="D994" s="46"/>
      <c r="E994" s="30"/>
      <c r="F994" s="46"/>
      <c r="G994" s="30"/>
      <c r="H994" s="30"/>
      <c r="I994" s="30"/>
      <c r="J994" s="30"/>
      <c r="K994" s="64"/>
      <c r="L994" s="30"/>
      <c r="M994" s="30"/>
      <c r="N994" s="30"/>
      <c r="O994" s="30">
        <f t="shared" si="1119"/>
        <v>0</v>
      </c>
      <c r="P994" s="100">
        <f t="shared" si="1120"/>
        <v>0</v>
      </c>
      <c r="Q994" s="30"/>
      <c r="R994" s="30"/>
      <c r="S994" s="30"/>
    </row>
    <row r="995" spans="1:19" ht="15.75" customHeight="1">
      <c r="A995" s="12"/>
      <c r="B995" s="116" t="s">
        <v>193</v>
      </c>
      <c r="C995" s="135">
        <v>70</v>
      </c>
      <c r="D995" s="102">
        <f t="shared" ref="D995:S996" si="1152">D1007</f>
        <v>194.24</v>
      </c>
      <c r="E995" s="102">
        <f t="shared" si="1152"/>
        <v>50</v>
      </c>
      <c r="F995" s="102">
        <f t="shared" si="1152"/>
        <v>50</v>
      </c>
      <c r="G995" s="102">
        <f t="shared" si="1152"/>
        <v>50</v>
      </c>
      <c r="H995" s="102">
        <f t="shared" ref="H995" si="1153">H1007</f>
        <v>49</v>
      </c>
      <c r="I995" s="102">
        <f t="shared" si="1152"/>
        <v>429</v>
      </c>
      <c r="J995" s="102">
        <f t="shared" si="1152"/>
        <v>129</v>
      </c>
      <c r="K995" s="208">
        <f t="shared" ref="K995:N995" si="1154">K1007</f>
        <v>0</v>
      </c>
      <c r="L995" s="102">
        <f t="shared" si="1154"/>
        <v>29</v>
      </c>
      <c r="M995" s="102">
        <f t="shared" si="1154"/>
        <v>100</v>
      </c>
      <c r="N995" s="102">
        <f t="shared" si="1154"/>
        <v>0</v>
      </c>
      <c r="O995" s="30">
        <f t="shared" si="1119"/>
        <v>129</v>
      </c>
      <c r="P995" s="100">
        <f t="shared" si="1120"/>
        <v>0</v>
      </c>
      <c r="Q995" s="102">
        <f t="shared" si="1152"/>
        <v>0</v>
      </c>
      <c r="R995" s="102">
        <f t="shared" si="1152"/>
        <v>0</v>
      </c>
      <c r="S995" s="102">
        <f t="shared" si="1152"/>
        <v>0</v>
      </c>
    </row>
    <row r="996" spans="1:19" ht="46.5" hidden="1" customHeight="1">
      <c r="A996" s="12"/>
      <c r="B996" s="120" t="s">
        <v>645</v>
      </c>
      <c r="C996" s="135" t="s">
        <v>647</v>
      </c>
      <c r="D996" s="102">
        <f>D1008</f>
        <v>0</v>
      </c>
      <c r="E996" s="102">
        <f t="shared" si="1152"/>
        <v>-219.62</v>
      </c>
      <c r="F996" s="102">
        <f t="shared" si="1152"/>
        <v>0</v>
      </c>
      <c r="G996" s="102">
        <f t="shared" si="1152"/>
        <v>-219.62</v>
      </c>
      <c r="H996" s="102">
        <f t="shared" ref="H996" si="1155">H1008</f>
        <v>0</v>
      </c>
      <c r="I996" s="102">
        <f t="shared" si="1152"/>
        <v>0</v>
      </c>
      <c r="J996" s="102">
        <f t="shared" si="1152"/>
        <v>0</v>
      </c>
      <c r="K996" s="208">
        <f t="shared" ref="K996:N996" si="1156">K1008</f>
        <v>0</v>
      </c>
      <c r="L996" s="102">
        <f t="shared" si="1156"/>
        <v>0</v>
      </c>
      <c r="M996" s="102">
        <f t="shared" si="1156"/>
        <v>0</v>
      </c>
      <c r="N996" s="102">
        <f t="shared" si="1156"/>
        <v>0</v>
      </c>
      <c r="O996" s="30">
        <f t="shared" si="1119"/>
        <v>0</v>
      </c>
      <c r="P996" s="100">
        <f t="shared" si="1120"/>
        <v>0</v>
      </c>
      <c r="Q996" s="102">
        <f t="shared" si="1152"/>
        <v>0</v>
      </c>
      <c r="R996" s="102">
        <f t="shared" si="1152"/>
        <v>0</v>
      </c>
      <c r="S996" s="102">
        <f t="shared" si="1152"/>
        <v>0</v>
      </c>
    </row>
    <row r="997" spans="1:19" ht="14.25">
      <c r="A997" s="180">
        <v>1</v>
      </c>
      <c r="B997" s="249" t="s">
        <v>593</v>
      </c>
      <c r="C997" s="242">
        <v>70.02</v>
      </c>
      <c r="D997" s="140">
        <f t="shared" ref="D997:S997" si="1157">D1009+D1020+D1026+D1030+D1017</f>
        <v>2869.97</v>
      </c>
      <c r="E997" s="140">
        <f t="shared" si="1157"/>
        <v>2920</v>
      </c>
      <c r="F997" s="140">
        <f t="shared" si="1157"/>
        <v>2885</v>
      </c>
      <c r="G997" s="140">
        <f t="shared" si="1157"/>
        <v>2920</v>
      </c>
      <c r="H997" s="140">
        <f t="shared" ref="H997" si="1158">H1009+H1020+H1026+H1030+H1017</f>
        <v>2758</v>
      </c>
      <c r="I997" s="140">
        <f t="shared" si="1157"/>
        <v>4244</v>
      </c>
      <c r="J997" s="140">
        <f t="shared" si="1157"/>
        <v>3562</v>
      </c>
      <c r="K997" s="209">
        <f t="shared" ref="K997:N997" si="1159">K1009+K1020+K1026+K1030+K1017</f>
        <v>1113</v>
      </c>
      <c r="L997" s="140">
        <f t="shared" si="1159"/>
        <v>789</v>
      </c>
      <c r="M997" s="140">
        <f t="shared" si="1159"/>
        <v>900</v>
      </c>
      <c r="N997" s="140">
        <f t="shared" si="1159"/>
        <v>760</v>
      </c>
      <c r="O997" s="30">
        <f t="shared" si="1119"/>
        <v>3562</v>
      </c>
      <c r="P997" s="100">
        <f t="shared" si="1120"/>
        <v>0</v>
      </c>
      <c r="Q997" s="151">
        <f t="shared" si="1157"/>
        <v>3100</v>
      </c>
      <c r="R997" s="151">
        <f t="shared" si="1157"/>
        <v>3200</v>
      </c>
      <c r="S997" s="151">
        <f t="shared" si="1157"/>
        <v>3300</v>
      </c>
    </row>
    <row r="998" spans="1:19" ht="14.25">
      <c r="A998" s="12"/>
      <c r="B998" s="129" t="s">
        <v>152</v>
      </c>
      <c r="C998" s="37"/>
      <c r="D998" s="138">
        <f t="shared" ref="D998:S999" si="1160">D1010+D1031</f>
        <v>2675.7299999999996</v>
      </c>
      <c r="E998" s="138">
        <f t="shared" si="1160"/>
        <v>2870</v>
      </c>
      <c r="F998" s="138">
        <f t="shared" si="1160"/>
        <v>2835</v>
      </c>
      <c r="G998" s="138">
        <f t="shared" si="1160"/>
        <v>2870</v>
      </c>
      <c r="H998" s="138">
        <f t="shared" ref="H998" si="1161">H1010+H1031</f>
        <v>2719</v>
      </c>
      <c r="I998" s="138">
        <f t="shared" si="1160"/>
        <v>3462</v>
      </c>
      <c r="J998" s="138">
        <f t="shared" si="1160"/>
        <v>3080</v>
      </c>
      <c r="K998" s="206">
        <f t="shared" ref="K998:N998" si="1162">K1010+K1031</f>
        <v>760</v>
      </c>
      <c r="L998" s="138">
        <f t="shared" si="1162"/>
        <v>760</v>
      </c>
      <c r="M998" s="138">
        <f t="shared" si="1162"/>
        <v>800</v>
      </c>
      <c r="N998" s="138">
        <f t="shared" si="1162"/>
        <v>760</v>
      </c>
      <c r="O998" s="30">
        <f t="shared" si="1119"/>
        <v>3080</v>
      </c>
      <c r="P998" s="100">
        <f t="shared" si="1120"/>
        <v>0</v>
      </c>
      <c r="Q998" s="138">
        <f t="shared" si="1160"/>
        <v>3100</v>
      </c>
      <c r="R998" s="138">
        <f t="shared" si="1160"/>
        <v>3200</v>
      </c>
      <c r="S998" s="138">
        <f t="shared" si="1160"/>
        <v>3300</v>
      </c>
    </row>
    <row r="999" spans="1:19" ht="14.25">
      <c r="A999" s="12"/>
      <c r="B999" s="116" t="s">
        <v>153</v>
      </c>
      <c r="C999" s="37">
        <v>1</v>
      </c>
      <c r="D999" s="138">
        <f t="shared" si="1160"/>
        <v>2697.49</v>
      </c>
      <c r="E999" s="138">
        <f t="shared" si="1160"/>
        <v>2880</v>
      </c>
      <c r="F999" s="138">
        <f t="shared" si="1160"/>
        <v>2835</v>
      </c>
      <c r="G999" s="138">
        <f t="shared" si="1160"/>
        <v>2880</v>
      </c>
      <c r="H999" s="138">
        <f t="shared" ref="H999" si="1163">H1011+H1032</f>
        <v>2729</v>
      </c>
      <c r="I999" s="138">
        <f t="shared" si="1160"/>
        <v>3462</v>
      </c>
      <c r="J999" s="138">
        <f t="shared" si="1160"/>
        <v>3080</v>
      </c>
      <c r="K999" s="206">
        <f t="shared" ref="K999:N999" si="1164">K1011+K1032</f>
        <v>760</v>
      </c>
      <c r="L999" s="138">
        <f t="shared" si="1164"/>
        <v>760</v>
      </c>
      <c r="M999" s="138">
        <f t="shared" si="1164"/>
        <v>800</v>
      </c>
      <c r="N999" s="138">
        <f t="shared" si="1164"/>
        <v>760</v>
      </c>
      <c r="O999" s="30">
        <f t="shared" si="1119"/>
        <v>3080</v>
      </c>
      <c r="P999" s="100">
        <f t="shared" si="1120"/>
        <v>0</v>
      </c>
      <c r="Q999" s="138">
        <f t="shared" si="1160"/>
        <v>3100</v>
      </c>
      <c r="R999" s="138">
        <f t="shared" si="1160"/>
        <v>3200</v>
      </c>
      <c r="S999" s="138">
        <f t="shared" si="1160"/>
        <v>3300</v>
      </c>
    </row>
    <row r="1000" spans="1:19" ht="14.25">
      <c r="A1000" s="12"/>
      <c r="B1000" s="116" t="s">
        <v>154</v>
      </c>
      <c r="C1000" s="37">
        <v>10</v>
      </c>
      <c r="D1000" s="138">
        <f t="shared" ref="D1000:S1000" si="1165">D1012</f>
        <v>1760.22</v>
      </c>
      <c r="E1000" s="138">
        <f t="shared" si="1165"/>
        <v>2035</v>
      </c>
      <c r="F1000" s="138">
        <f t="shared" si="1165"/>
        <v>2035</v>
      </c>
      <c r="G1000" s="138">
        <f t="shared" si="1165"/>
        <v>2035</v>
      </c>
      <c r="H1000" s="138">
        <f t="shared" ref="H1000" si="1166">H1012</f>
        <v>1887</v>
      </c>
      <c r="I1000" s="138">
        <f t="shared" si="1165"/>
        <v>2282</v>
      </c>
      <c r="J1000" s="138">
        <f t="shared" si="1165"/>
        <v>2280</v>
      </c>
      <c r="K1000" s="206">
        <f t="shared" ref="K1000:N1000" si="1167">K1012</f>
        <v>560</v>
      </c>
      <c r="L1000" s="138">
        <f t="shared" si="1167"/>
        <v>560</v>
      </c>
      <c r="M1000" s="138">
        <f t="shared" si="1167"/>
        <v>600</v>
      </c>
      <c r="N1000" s="138">
        <f t="shared" si="1167"/>
        <v>560</v>
      </c>
      <c r="O1000" s="30">
        <f t="shared" si="1119"/>
        <v>2280</v>
      </c>
      <c r="P1000" s="100">
        <f t="shared" si="1120"/>
        <v>0</v>
      </c>
      <c r="Q1000" s="138">
        <f t="shared" si="1165"/>
        <v>2300</v>
      </c>
      <c r="R1000" s="138">
        <f t="shared" si="1165"/>
        <v>2400</v>
      </c>
      <c r="S1000" s="138">
        <f t="shared" si="1165"/>
        <v>2500</v>
      </c>
    </row>
    <row r="1001" spans="1:19" ht="14.25">
      <c r="A1001" s="12"/>
      <c r="B1001" s="116" t="s">
        <v>581</v>
      </c>
      <c r="C1001" s="37">
        <v>20</v>
      </c>
      <c r="D1001" s="138">
        <f t="shared" ref="D1001:S1001" si="1168">D1013+D1033</f>
        <v>937.27</v>
      </c>
      <c r="E1001" s="138">
        <f t="shared" si="1168"/>
        <v>845</v>
      </c>
      <c r="F1001" s="138">
        <f t="shared" si="1168"/>
        <v>800</v>
      </c>
      <c r="G1001" s="138">
        <f t="shared" si="1168"/>
        <v>845</v>
      </c>
      <c r="H1001" s="138">
        <f t="shared" ref="H1001" si="1169">H1013+H1033</f>
        <v>842</v>
      </c>
      <c r="I1001" s="138">
        <f t="shared" si="1168"/>
        <v>1180</v>
      </c>
      <c r="J1001" s="138">
        <f t="shared" si="1168"/>
        <v>800</v>
      </c>
      <c r="K1001" s="206">
        <f t="shared" ref="K1001:N1001" si="1170">K1013+K1033</f>
        <v>200</v>
      </c>
      <c r="L1001" s="138">
        <f t="shared" si="1170"/>
        <v>200</v>
      </c>
      <c r="M1001" s="138">
        <f t="shared" si="1170"/>
        <v>200</v>
      </c>
      <c r="N1001" s="138">
        <f t="shared" si="1170"/>
        <v>200</v>
      </c>
      <c r="O1001" s="30">
        <f t="shared" si="1119"/>
        <v>800</v>
      </c>
      <c r="P1001" s="100">
        <f t="shared" si="1120"/>
        <v>0</v>
      </c>
      <c r="Q1001" s="138">
        <f t="shared" si="1168"/>
        <v>800</v>
      </c>
      <c r="R1001" s="138">
        <f t="shared" si="1168"/>
        <v>800</v>
      </c>
      <c r="S1001" s="138">
        <f t="shared" si="1168"/>
        <v>800</v>
      </c>
    </row>
    <row r="1002" spans="1:19" ht="20.25" customHeight="1">
      <c r="A1002" s="12"/>
      <c r="B1002" s="116" t="s">
        <v>163</v>
      </c>
      <c r="C1002" s="135" t="s">
        <v>251</v>
      </c>
      <c r="D1002" s="138">
        <f>D1014</f>
        <v>-21.76</v>
      </c>
      <c r="E1002" s="138">
        <f t="shared" ref="E1002:S1002" si="1171">E1014</f>
        <v>-10</v>
      </c>
      <c r="F1002" s="138">
        <f t="shared" si="1171"/>
        <v>0</v>
      </c>
      <c r="G1002" s="138">
        <f t="shared" si="1171"/>
        <v>-10</v>
      </c>
      <c r="H1002" s="138">
        <f t="shared" ref="H1002" si="1172">H1014</f>
        <v>-10</v>
      </c>
      <c r="I1002" s="138">
        <f t="shared" si="1171"/>
        <v>0</v>
      </c>
      <c r="J1002" s="138">
        <f t="shared" si="1171"/>
        <v>0</v>
      </c>
      <c r="K1002" s="206">
        <f t="shared" ref="K1002:N1002" si="1173">K1014</f>
        <v>0</v>
      </c>
      <c r="L1002" s="138">
        <f t="shared" si="1173"/>
        <v>0</v>
      </c>
      <c r="M1002" s="138">
        <f t="shared" si="1173"/>
        <v>0</v>
      </c>
      <c r="N1002" s="138">
        <f t="shared" si="1173"/>
        <v>0</v>
      </c>
      <c r="O1002" s="30">
        <f t="shared" si="1119"/>
        <v>0</v>
      </c>
      <c r="P1002" s="100">
        <f t="shared" si="1120"/>
        <v>0</v>
      </c>
      <c r="Q1002" s="138">
        <f t="shared" si="1171"/>
        <v>0</v>
      </c>
      <c r="R1002" s="138">
        <f t="shared" si="1171"/>
        <v>0</v>
      </c>
      <c r="S1002" s="138">
        <f t="shared" si="1171"/>
        <v>0</v>
      </c>
    </row>
    <row r="1003" spans="1:19" ht="19.5" customHeight="1">
      <c r="A1003" s="12"/>
      <c r="B1003" s="129" t="s">
        <v>164</v>
      </c>
      <c r="C1003" s="37"/>
      <c r="D1003" s="138">
        <f t="shared" ref="D1003:S1003" si="1174">D1015+D1021+D1027+D1034+D1018</f>
        <v>194.24</v>
      </c>
      <c r="E1003" s="138">
        <f>E1015+E1021+E1027+E1034+E1018</f>
        <v>50</v>
      </c>
      <c r="F1003" s="138">
        <f t="shared" ref="F1003" si="1175">F1015+F1021+F1027+F1034+F1018</f>
        <v>50</v>
      </c>
      <c r="G1003" s="138">
        <f t="shared" si="1174"/>
        <v>50</v>
      </c>
      <c r="H1003" s="138">
        <f t="shared" ref="H1003" si="1176">H1015+H1021+H1027+H1034+H1018</f>
        <v>49</v>
      </c>
      <c r="I1003" s="138">
        <f t="shared" si="1174"/>
        <v>782</v>
      </c>
      <c r="J1003" s="138">
        <f t="shared" si="1174"/>
        <v>482</v>
      </c>
      <c r="K1003" s="206">
        <f t="shared" ref="K1003:N1003" si="1177">K1015+K1021+K1027+K1034+K1018</f>
        <v>353</v>
      </c>
      <c r="L1003" s="138">
        <f t="shared" si="1177"/>
        <v>29</v>
      </c>
      <c r="M1003" s="138">
        <f t="shared" si="1177"/>
        <v>100</v>
      </c>
      <c r="N1003" s="138">
        <f t="shared" si="1177"/>
        <v>0</v>
      </c>
      <c r="O1003" s="30">
        <f t="shared" si="1119"/>
        <v>482</v>
      </c>
      <c r="P1003" s="100">
        <f t="shared" si="1120"/>
        <v>0</v>
      </c>
      <c r="Q1003" s="138">
        <f t="shared" si="1174"/>
        <v>0</v>
      </c>
      <c r="R1003" s="138">
        <f t="shared" si="1174"/>
        <v>0</v>
      </c>
      <c r="S1003" s="138">
        <f t="shared" si="1174"/>
        <v>0</v>
      </c>
    </row>
    <row r="1004" spans="1:19" ht="0.75" hidden="1" customHeight="1">
      <c r="A1004" s="12"/>
      <c r="B1004" s="129" t="s">
        <v>173</v>
      </c>
      <c r="C1004" s="37">
        <v>56</v>
      </c>
      <c r="D1004" s="46"/>
      <c r="E1004" s="30"/>
      <c r="F1004" s="46"/>
      <c r="G1004" s="30"/>
      <c r="H1004" s="30"/>
      <c r="I1004" s="30"/>
      <c r="J1004" s="30"/>
      <c r="K1004" s="64"/>
      <c r="L1004" s="30"/>
      <c r="M1004" s="30"/>
      <c r="N1004" s="30"/>
      <c r="O1004" s="30">
        <f t="shared" si="1119"/>
        <v>0</v>
      </c>
      <c r="P1004" s="100">
        <f t="shared" si="1120"/>
        <v>0</v>
      </c>
      <c r="Q1004" s="30"/>
      <c r="R1004" s="30"/>
      <c r="S1004" s="30"/>
    </row>
    <row r="1005" spans="1:19" ht="14.25" hidden="1" customHeight="1">
      <c r="A1005" s="12"/>
      <c r="B1005" s="129" t="s">
        <v>173</v>
      </c>
      <c r="C1005" s="37">
        <v>58</v>
      </c>
      <c r="D1005" s="46"/>
      <c r="E1005" s="30"/>
      <c r="F1005" s="46"/>
      <c r="G1005" s="30"/>
      <c r="H1005" s="30"/>
      <c r="I1005" s="30"/>
      <c r="J1005" s="30"/>
      <c r="K1005" s="64"/>
      <c r="L1005" s="30"/>
      <c r="M1005" s="30"/>
      <c r="N1005" s="30"/>
      <c r="O1005" s="30">
        <f t="shared" si="1119"/>
        <v>0</v>
      </c>
      <c r="P1005" s="100">
        <f t="shared" si="1120"/>
        <v>0</v>
      </c>
      <c r="Q1005" s="30"/>
      <c r="R1005" s="30"/>
      <c r="S1005" s="30"/>
    </row>
    <row r="1006" spans="1:19" ht="14.25" customHeight="1">
      <c r="A1006" s="12"/>
      <c r="B1006" s="129" t="s">
        <v>173</v>
      </c>
      <c r="C1006" s="135">
        <v>56</v>
      </c>
      <c r="D1006" s="30">
        <f t="shared" ref="D1006" si="1178">D1029</f>
        <v>0</v>
      </c>
      <c r="E1006" s="30">
        <f>E1029</f>
        <v>219.62</v>
      </c>
      <c r="F1006" s="30">
        <f t="shared" ref="F1006:S1006" si="1179">F1029</f>
        <v>0</v>
      </c>
      <c r="G1006" s="30">
        <f t="shared" si="1179"/>
        <v>219.62</v>
      </c>
      <c r="H1006" s="30">
        <f t="shared" ref="H1006" si="1180">H1029</f>
        <v>0</v>
      </c>
      <c r="I1006" s="30">
        <f t="shared" si="1179"/>
        <v>353</v>
      </c>
      <c r="J1006" s="30">
        <f t="shared" si="1179"/>
        <v>353</v>
      </c>
      <c r="K1006" s="64">
        <v>353</v>
      </c>
      <c r="L1006" s="30"/>
      <c r="M1006" s="30"/>
      <c r="N1006" s="30"/>
      <c r="O1006" s="30">
        <f t="shared" si="1119"/>
        <v>353</v>
      </c>
      <c r="P1006" s="100">
        <f t="shared" si="1120"/>
        <v>0</v>
      </c>
      <c r="Q1006" s="30">
        <f t="shared" si="1179"/>
        <v>0</v>
      </c>
      <c r="R1006" s="30">
        <f t="shared" si="1179"/>
        <v>0</v>
      </c>
      <c r="S1006" s="30">
        <f t="shared" si="1179"/>
        <v>0</v>
      </c>
    </row>
    <row r="1007" spans="1:19" ht="14.25">
      <c r="A1007" s="12"/>
      <c r="B1007" s="116" t="s">
        <v>193</v>
      </c>
      <c r="C1007" s="37">
        <v>70</v>
      </c>
      <c r="D1007" s="138">
        <f t="shared" ref="D1007:S1007" si="1181">D1016+D1019</f>
        <v>194.24</v>
      </c>
      <c r="E1007" s="138">
        <f t="shared" si="1181"/>
        <v>50</v>
      </c>
      <c r="F1007" s="138">
        <f t="shared" si="1181"/>
        <v>50</v>
      </c>
      <c r="G1007" s="138">
        <f t="shared" si="1181"/>
        <v>50</v>
      </c>
      <c r="H1007" s="138">
        <f t="shared" ref="H1007" si="1182">H1016+H1019</f>
        <v>49</v>
      </c>
      <c r="I1007" s="138">
        <f t="shared" si="1181"/>
        <v>429</v>
      </c>
      <c r="J1007" s="138">
        <f t="shared" si="1181"/>
        <v>129</v>
      </c>
      <c r="K1007" s="206">
        <f t="shared" ref="K1007:N1007" si="1183">K1016+K1019</f>
        <v>0</v>
      </c>
      <c r="L1007" s="138">
        <f t="shared" si="1183"/>
        <v>29</v>
      </c>
      <c r="M1007" s="138">
        <f t="shared" si="1183"/>
        <v>100</v>
      </c>
      <c r="N1007" s="138">
        <f t="shared" si="1183"/>
        <v>0</v>
      </c>
      <c r="O1007" s="30">
        <f t="shared" si="1119"/>
        <v>129</v>
      </c>
      <c r="P1007" s="100">
        <f t="shared" si="1120"/>
        <v>0</v>
      </c>
      <c r="Q1007" s="138">
        <f t="shared" si="1181"/>
        <v>0</v>
      </c>
      <c r="R1007" s="138">
        <f t="shared" si="1181"/>
        <v>0</v>
      </c>
      <c r="S1007" s="138">
        <f t="shared" si="1181"/>
        <v>0</v>
      </c>
    </row>
    <row r="1008" spans="1:19" ht="29.25" hidden="1" customHeight="1">
      <c r="A1008" s="12"/>
      <c r="B1008" s="120" t="s">
        <v>645</v>
      </c>
      <c r="C1008" s="135" t="s">
        <v>647</v>
      </c>
      <c r="D1008" s="138">
        <f t="shared" ref="D1008" si="1184">D1040</f>
        <v>0</v>
      </c>
      <c r="E1008" s="138">
        <f>E1040</f>
        <v>-219.62</v>
      </c>
      <c r="F1008" s="138">
        <f t="shared" ref="F1008:S1008" si="1185">F1040</f>
        <v>0</v>
      </c>
      <c r="G1008" s="138">
        <f t="shared" si="1185"/>
        <v>-219.62</v>
      </c>
      <c r="H1008" s="138">
        <f t="shared" ref="H1008" si="1186">H1040</f>
        <v>0</v>
      </c>
      <c r="I1008" s="138">
        <f t="shared" si="1185"/>
        <v>0</v>
      </c>
      <c r="J1008" s="138">
        <f t="shared" si="1185"/>
        <v>0</v>
      </c>
      <c r="K1008" s="206">
        <f t="shared" ref="K1008:N1008" si="1187">K1040</f>
        <v>0</v>
      </c>
      <c r="L1008" s="138">
        <f t="shared" si="1187"/>
        <v>0</v>
      </c>
      <c r="M1008" s="138">
        <f t="shared" si="1187"/>
        <v>0</v>
      </c>
      <c r="N1008" s="138">
        <f t="shared" si="1187"/>
        <v>0</v>
      </c>
      <c r="O1008" s="30">
        <f t="shared" si="1119"/>
        <v>0</v>
      </c>
      <c r="P1008" s="100">
        <f t="shared" si="1120"/>
        <v>0</v>
      </c>
      <c r="Q1008" s="138">
        <f t="shared" si="1185"/>
        <v>0</v>
      </c>
      <c r="R1008" s="138">
        <f t="shared" si="1185"/>
        <v>0</v>
      </c>
      <c r="S1008" s="138">
        <f t="shared" si="1185"/>
        <v>0</v>
      </c>
    </row>
    <row r="1009" spans="1:19" ht="25.5">
      <c r="A1009" s="12" t="s">
        <v>255</v>
      </c>
      <c r="B1009" s="269" t="s">
        <v>369</v>
      </c>
      <c r="C1009" s="270" t="s">
        <v>370</v>
      </c>
      <c r="D1009" s="271">
        <f t="shared" ref="D1009:S1009" si="1188">D1010+D1015</f>
        <v>2720.0299999999997</v>
      </c>
      <c r="E1009" s="271">
        <f t="shared" si="1188"/>
        <v>2920</v>
      </c>
      <c r="F1009" s="271">
        <f t="shared" si="1188"/>
        <v>2885</v>
      </c>
      <c r="G1009" s="271">
        <f>G1010+G1015</f>
        <v>2920</v>
      </c>
      <c r="H1009" s="271">
        <f>H1010+H1014+H1015</f>
        <v>2758</v>
      </c>
      <c r="I1009" s="271">
        <f t="shared" si="1188"/>
        <v>3891</v>
      </c>
      <c r="J1009" s="271">
        <f t="shared" si="1188"/>
        <v>3209</v>
      </c>
      <c r="K1009" s="272">
        <f t="shared" ref="K1009:N1009" si="1189">K1010+K1015</f>
        <v>760</v>
      </c>
      <c r="L1009" s="271">
        <f t="shared" si="1189"/>
        <v>789</v>
      </c>
      <c r="M1009" s="271">
        <f t="shared" si="1189"/>
        <v>900</v>
      </c>
      <c r="N1009" s="271">
        <f t="shared" si="1189"/>
        <v>760</v>
      </c>
      <c r="O1009" s="273">
        <f t="shared" si="1119"/>
        <v>3209</v>
      </c>
      <c r="P1009" s="271">
        <f t="shared" si="1120"/>
        <v>0</v>
      </c>
      <c r="Q1009" s="271">
        <f t="shared" si="1188"/>
        <v>3100</v>
      </c>
      <c r="R1009" s="271">
        <f t="shared" si="1188"/>
        <v>3200</v>
      </c>
      <c r="S1009" s="271">
        <f t="shared" si="1188"/>
        <v>3300</v>
      </c>
    </row>
    <row r="1010" spans="1:19" ht="14.25">
      <c r="A1010" s="12"/>
      <c r="B1010" s="129" t="s">
        <v>152</v>
      </c>
      <c r="C1010" s="135"/>
      <c r="D1010" s="138">
        <f t="shared" ref="D1010:S1010" si="1190">D1011+D1014</f>
        <v>2675.7299999999996</v>
      </c>
      <c r="E1010" s="138">
        <f t="shared" si="1190"/>
        <v>2870</v>
      </c>
      <c r="F1010" s="138">
        <f>F1011+F1014</f>
        <v>2835</v>
      </c>
      <c r="G1010" s="138">
        <f>G1011+G1014</f>
        <v>2870</v>
      </c>
      <c r="H1010" s="138">
        <f>H1011+H1014</f>
        <v>2719</v>
      </c>
      <c r="I1010" s="138">
        <f t="shared" si="1190"/>
        <v>3462</v>
      </c>
      <c r="J1010" s="138">
        <f t="shared" si="1190"/>
        <v>3080</v>
      </c>
      <c r="K1010" s="206">
        <f t="shared" ref="K1010:N1010" si="1191">K1011+K1014</f>
        <v>760</v>
      </c>
      <c r="L1010" s="138">
        <f t="shared" si="1191"/>
        <v>760</v>
      </c>
      <c r="M1010" s="138">
        <f t="shared" si="1191"/>
        <v>800</v>
      </c>
      <c r="N1010" s="138">
        <f t="shared" si="1191"/>
        <v>760</v>
      </c>
      <c r="O1010" s="30">
        <f t="shared" si="1119"/>
        <v>3080</v>
      </c>
      <c r="P1010" s="100">
        <f t="shared" si="1120"/>
        <v>0</v>
      </c>
      <c r="Q1010" s="138">
        <f t="shared" si="1190"/>
        <v>3100</v>
      </c>
      <c r="R1010" s="138">
        <f t="shared" si="1190"/>
        <v>3200</v>
      </c>
      <c r="S1010" s="138">
        <f t="shared" si="1190"/>
        <v>3300</v>
      </c>
    </row>
    <row r="1011" spans="1:19" ht="14.25">
      <c r="A1011" s="12"/>
      <c r="B1011" s="116" t="s">
        <v>153</v>
      </c>
      <c r="C1011" s="135">
        <v>1</v>
      </c>
      <c r="D1011" s="102">
        <f t="shared" ref="D1011:S1011" si="1192">D1012+D1013</f>
        <v>2697.49</v>
      </c>
      <c r="E1011" s="102">
        <f t="shared" si="1192"/>
        <v>2880</v>
      </c>
      <c r="F1011" s="102">
        <f t="shared" si="1192"/>
        <v>2835</v>
      </c>
      <c r="G1011" s="102">
        <f>G1012+G1013</f>
        <v>2880</v>
      </c>
      <c r="H1011" s="102">
        <f>H1012+H1013</f>
        <v>2729</v>
      </c>
      <c r="I1011" s="102">
        <f t="shared" si="1192"/>
        <v>3462</v>
      </c>
      <c r="J1011" s="102">
        <f t="shared" si="1192"/>
        <v>3080</v>
      </c>
      <c r="K1011" s="208">
        <f t="shared" ref="K1011:N1011" si="1193">K1012+K1013</f>
        <v>760</v>
      </c>
      <c r="L1011" s="102">
        <f t="shared" si="1193"/>
        <v>760</v>
      </c>
      <c r="M1011" s="102">
        <f t="shared" si="1193"/>
        <v>800</v>
      </c>
      <c r="N1011" s="102">
        <f t="shared" si="1193"/>
        <v>760</v>
      </c>
      <c r="O1011" s="30">
        <f t="shared" si="1119"/>
        <v>3080</v>
      </c>
      <c r="P1011" s="100">
        <f t="shared" si="1120"/>
        <v>0</v>
      </c>
      <c r="Q1011" s="102">
        <f t="shared" si="1192"/>
        <v>3100</v>
      </c>
      <c r="R1011" s="102">
        <f t="shared" si="1192"/>
        <v>3200</v>
      </c>
      <c r="S1011" s="102">
        <f t="shared" si="1192"/>
        <v>3300</v>
      </c>
    </row>
    <row r="1012" spans="1:19" ht="14.25">
      <c r="A1012" s="12"/>
      <c r="B1012" s="116" t="s">
        <v>154</v>
      </c>
      <c r="C1012" s="135">
        <v>10</v>
      </c>
      <c r="D1012" s="46">
        <v>1760.22</v>
      </c>
      <c r="E1012" s="30">
        <v>2035</v>
      </c>
      <c r="F1012" s="46">
        <v>2035</v>
      </c>
      <c r="G1012" s="30">
        <v>2035</v>
      </c>
      <c r="H1012" s="30">
        <v>1887</v>
      </c>
      <c r="I1012" s="30">
        <v>2282</v>
      </c>
      <c r="J1012" s="30">
        <v>2280</v>
      </c>
      <c r="K1012" s="64">
        <v>560</v>
      </c>
      <c r="L1012" s="30">
        <v>560</v>
      </c>
      <c r="M1012" s="30">
        <v>600</v>
      </c>
      <c r="N1012" s="30">
        <v>560</v>
      </c>
      <c r="O1012" s="30">
        <f t="shared" si="1119"/>
        <v>2280</v>
      </c>
      <c r="P1012" s="100">
        <f t="shared" si="1120"/>
        <v>0</v>
      </c>
      <c r="Q1012" s="30">
        <v>2300</v>
      </c>
      <c r="R1012" s="30">
        <v>2400</v>
      </c>
      <c r="S1012" s="30">
        <v>2500</v>
      </c>
    </row>
    <row r="1013" spans="1:19" ht="17.25" customHeight="1">
      <c r="A1013" s="12"/>
      <c r="B1013" s="116" t="s">
        <v>581</v>
      </c>
      <c r="C1013" s="135">
        <v>20</v>
      </c>
      <c r="D1013" s="46">
        <v>937.27</v>
      </c>
      <c r="E1013" s="30">
        <v>845</v>
      </c>
      <c r="F1013" s="46">
        <v>800</v>
      </c>
      <c r="G1013" s="30">
        <v>845</v>
      </c>
      <c r="H1013" s="30">
        <v>842</v>
      </c>
      <c r="I1013" s="30">
        <v>1180</v>
      </c>
      <c r="J1013" s="30">
        <v>800</v>
      </c>
      <c r="K1013" s="64">
        <v>200</v>
      </c>
      <c r="L1013" s="30">
        <v>200</v>
      </c>
      <c r="M1013" s="30">
        <v>200</v>
      </c>
      <c r="N1013" s="30">
        <v>200</v>
      </c>
      <c r="O1013" s="30">
        <f t="shared" si="1119"/>
        <v>800</v>
      </c>
      <c r="P1013" s="100">
        <f t="shared" si="1120"/>
        <v>0</v>
      </c>
      <c r="Q1013" s="30">
        <v>800</v>
      </c>
      <c r="R1013" s="30">
        <v>800</v>
      </c>
      <c r="S1013" s="30">
        <v>800</v>
      </c>
    </row>
    <row r="1014" spans="1:19" ht="15" hidden="1" customHeight="1">
      <c r="A1014" s="12"/>
      <c r="B1014" s="116" t="s">
        <v>163</v>
      </c>
      <c r="C1014" s="135" t="s">
        <v>251</v>
      </c>
      <c r="D1014" s="46">
        <v>-21.76</v>
      </c>
      <c r="E1014" s="30">
        <v>-10</v>
      </c>
      <c r="F1014" s="46"/>
      <c r="G1014" s="30">
        <v>-10</v>
      </c>
      <c r="H1014" s="30">
        <v>-10</v>
      </c>
      <c r="I1014" s="30"/>
      <c r="J1014" s="30"/>
      <c r="K1014" s="64"/>
      <c r="L1014" s="30"/>
      <c r="M1014" s="30"/>
      <c r="N1014" s="30"/>
      <c r="O1014" s="30">
        <f t="shared" si="1119"/>
        <v>0</v>
      </c>
      <c r="P1014" s="100">
        <f t="shared" si="1120"/>
        <v>0</v>
      </c>
      <c r="Q1014" s="30"/>
      <c r="R1014" s="30"/>
      <c r="S1014" s="30"/>
    </row>
    <row r="1015" spans="1:19" ht="18.75" customHeight="1">
      <c r="A1015" s="12"/>
      <c r="B1015" s="129" t="s">
        <v>164</v>
      </c>
      <c r="C1015" s="135"/>
      <c r="D1015" s="138">
        <f t="shared" ref="D1015:S1015" si="1194">D1016</f>
        <v>44.3</v>
      </c>
      <c r="E1015" s="138">
        <f t="shared" si="1194"/>
        <v>50</v>
      </c>
      <c r="F1015" s="138">
        <f t="shared" si="1194"/>
        <v>50</v>
      </c>
      <c r="G1015" s="138">
        <f t="shared" si="1194"/>
        <v>50</v>
      </c>
      <c r="H1015" s="138">
        <f t="shared" si="1194"/>
        <v>49</v>
      </c>
      <c r="I1015" s="138">
        <f t="shared" si="1194"/>
        <v>429</v>
      </c>
      <c r="J1015" s="138">
        <f t="shared" si="1194"/>
        <v>129</v>
      </c>
      <c r="K1015" s="206">
        <f t="shared" si="1194"/>
        <v>0</v>
      </c>
      <c r="L1015" s="138">
        <f t="shared" si="1194"/>
        <v>29</v>
      </c>
      <c r="M1015" s="138">
        <f t="shared" si="1194"/>
        <v>100</v>
      </c>
      <c r="N1015" s="138">
        <f t="shared" si="1194"/>
        <v>0</v>
      </c>
      <c r="O1015" s="30">
        <f t="shared" si="1119"/>
        <v>129</v>
      </c>
      <c r="P1015" s="100">
        <f t="shared" si="1120"/>
        <v>0</v>
      </c>
      <c r="Q1015" s="138">
        <f t="shared" si="1194"/>
        <v>0</v>
      </c>
      <c r="R1015" s="138">
        <f t="shared" si="1194"/>
        <v>0</v>
      </c>
      <c r="S1015" s="138">
        <f t="shared" si="1194"/>
        <v>0</v>
      </c>
    </row>
    <row r="1016" spans="1:19" ht="17.25" customHeight="1">
      <c r="A1016" s="12"/>
      <c r="B1016" s="116" t="s">
        <v>193</v>
      </c>
      <c r="C1016" s="135">
        <v>70</v>
      </c>
      <c r="D1016" s="46">
        <v>44.3</v>
      </c>
      <c r="E1016" s="30">
        <v>50</v>
      </c>
      <c r="F1016" s="46">
        <v>50</v>
      </c>
      <c r="G1016" s="30">
        <v>50</v>
      </c>
      <c r="H1016" s="30">
        <v>49</v>
      </c>
      <c r="I1016" s="30">
        <v>429</v>
      </c>
      <c r="J1016" s="30">
        <v>129</v>
      </c>
      <c r="K1016" s="64"/>
      <c r="L1016" s="30">
        <v>29</v>
      </c>
      <c r="M1016" s="30">
        <v>100</v>
      </c>
      <c r="N1016" s="30"/>
      <c r="O1016" s="30">
        <f t="shared" si="1119"/>
        <v>129</v>
      </c>
      <c r="P1016" s="100">
        <f t="shared" si="1120"/>
        <v>0</v>
      </c>
      <c r="Q1016" s="30"/>
      <c r="R1016" s="30"/>
      <c r="S1016" s="30"/>
    </row>
    <row r="1017" spans="1:19" ht="17.25" hidden="1" customHeight="1">
      <c r="A1017" s="12"/>
      <c r="B1017" s="129" t="s">
        <v>598</v>
      </c>
      <c r="C1017" s="37" t="s">
        <v>370</v>
      </c>
      <c r="D1017" s="104">
        <f t="shared" ref="D1017:S1018" si="1195">D1018</f>
        <v>149.94</v>
      </c>
      <c r="E1017" s="104">
        <f t="shared" si="1195"/>
        <v>0</v>
      </c>
      <c r="F1017" s="104">
        <f t="shared" si="1195"/>
        <v>0</v>
      </c>
      <c r="G1017" s="104">
        <f t="shared" si="1195"/>
        <v>0</v>
      </c>
      <c r="H1017" s="104">
        <f t="shared" si="1195"/>
        <v>0</v>
      </c>
      <c r="I1017" s="104">
        <f t="shared" si="1195"/>
        <v>0</v>
      </c>
      <c r="J1017" s="104">
        <f t="shared" si="1195"/>
        <v>0</v>
      </c>
      <c r="K1017" s="196">
        <f t="shared" si="1195"/>
        <v>0</v>
      </c>
      <c r="L1017" s="104">
        <f t="shared" si="1195"/>
        <v>0</v>
      </c>
      <c r="M1017" s="104">
        <f t="shared" si="1195"/>
        <v>0</v>
      </c>
      <c r="N1017" s="104">
        <f t="shared" si="1195"/>
        <v>0</v>
      </c>
      <c r="O1017" s="30">
        <f t="shared" si="1119"/>
        <v>0</v>
      </c>
      <c r="P1017" s="100">
        <f t="shared" si="1120"/>
        <v>0</v>
      </c>
      <c r="Q1017" s="104">
        <f t="shared" si="1195"/>
        <v>0</v>
      </c>
      <c r="R1017" s="104">
        <f t="shared" si="1195"/>
        <v>0</v>
      </c>
      <c r="S1017" s="104">
        <f t="shared" si="1195"/>
        <v>0</v>
      </c>
    </row>
    <row r="1018" spans="1:19" ht="17.25" hidden="1" customHeight="1">
      <c r="A1018" s="12"/>
      <c r="B1018" s="129" t="s">
        <v>164</v>
      </c>
      <c r="C1018" s="135"/>
      <c r="D1018" s="104">
        <f t="shared" si="1195"/>
        <v>149.94</v>
      </c>
      <c r="E1018" s="30"/>
      <c r="F1018" s="104">
        <f t="shared" si="1195"/>
        <v>0</v>
      </c>
      <c r="G1018" s="30"/>
      <c r="H1018" s="30"/>
      <c r="I1018" s="30"/>
      <c r="J1018" s="30"/>
      <c r="K1018" s="64"/>
      <c r="L1018" s="30"/>
      <c r="M1018" s="30"/>
      <c r="N1018" s="30"/>
      <c r="O1018" s="30">
        <f t="shared" si="1119"/>
        <v>0</v>
      </c>
      <c r="P1018" s="100">
        <f t="shared" si="1120"/>
        <v>0</v>
      </c>
      <c r="Q1018" s="30"/>
      <c r="R1018" s="30"/>
      <c r="S1018" s="30"/>
    </row>
    <row r="1019" spans="1:19" ht="17.25" hidden="1" customHeight="1">
      <c r="A1019" s="12"/>
      <c r="B1019" s="116" t="s">
        <v>193</v>
      </c>
      <c r="C1019" s="135">
        <v>70</v>
      </c>
      <c r="D1019" s="46">
        <v>149.94</v>
      </c>
      <c r="E1019" s="30">
        <v>0</v>
      </c>
      <c r="F1019" s="46">
        <v>0</v>
      </c>
      <c r="G1019" s="30">
        <v>0</v>
      </c>
      <c r="H1019" s="30">
        <v>0</v>
      </c>
      <c r="I1019" s="30"/>
      <c r="J1019" s="30"/>
      <c r="K1019" s="64"/>
      <c r="L1019" s="30"/>
      <c r="M1019" s="30"/>
      <c r="N1019" s="30"/>
      <c r="O1019" s="30">
        <f t="shared" si="1119"/>
        <v>0</v>
      </c>
      <c r="P1019" s="100">
        <f t="shared" si="1120"/>
        <v>0</v>
      </c>
      <c r="Q1019" s="30"/>
      <c r="R1019" s="30"/>
      <c r="S1019" s="30"/>
    </row>
    <row r="1020" spans="1:19" ht="27" hidden="1" customHeight="1">
      <c r="A1020" s="12" t="s">
        <v>273</v>
      </c>
      <c r="B1020" s="33" t="s">
        <v>371</v>
      </c>
      <c r="C1020" s="37" t="s">
        <v>370</v>
      </c>
      <c r="D1020" s="138">
        <f t="shared" ref="D1020:D1021" si="1196">D1021</f>
        <v>0</v>
      </c>
      <c r="E1020" s="30"/>
      <c r="F1020" s="138">
        <f t="shared" ref="F1020:F1021" si="1197">F1021</f>
        <v>0</v>
      </c>
      <c r="G1020" s="30"/>
      <c r="H1020" s="30"/>
      <c r="I1020" s="30"/>
      <c r="J1020" s="30"/>
      <c r="K1020" s="64"/>
      <c r="L1020" s="30"/>
      <c r="M1020" s="30"/>
      <c r="N1020" s="30"/>
      <c r="O1020" s="30">
        <f t="shared" si="1119"/>
        <v>0</v>
      </c>
      <c r="P1020" s="100">
        <f t="shared" si="1120"/>
        <v>0</v>
      </c>
      <c r="Q1020" s="30"/>
      <c r="R1020" s="30"/>
      <c r="S1020" s="30"/>
    </row>
    <row r="1021" spans="1:19" ht="19.5" hidden="1" customHeight="1">
      <c r="A1021" s="12"/>
      <c r="B1021" s="129" t="s">
        <v>164</v>
      </c>
      <c r="C1021" s="135"/>
      <c r="D1021" s="138">
        <f t="shared" si="1196"/>
        <v>0</v>
      </c>
      <c r="E1021" s="30"/>
      <c r="F1021" s="138">
        <f t="shared" si="1197"/>
        <v>0</v>
      </c>
      <c r="G1021" s="30"/>
      <c r="H1021" s="30"/>
      <c r="I1021" s="30"/>
      <c r="J1021" s="30"/>
      <c r="K1021" s="64"/>
      <c r="L1021" s="30"/>
      <c r="M1021" s="30"/>
      <c r="N1021" s="30"/>
      <c r="O1021" s="30">
        <f t="shared" si="1119"/>
        <v>0</v>
      </c>
      <c r="P1021" s="100">
        <f t="shared" si="1120"/>
        <v>0</v>
      </c>
      <c r="Q1021" s="30"/>
      <c r="R1021" s="30"/>
      <c r="S1021" s="30"/>
    </row>
    <row r="1022" spans="1:19" ht="18" hidden="1" customHeight="1">
      <c r="A1022" s="12"/>
      <c r="B1022" s="116" t="s">
        <v>173</v>
      </c>
      <c r="C1022" s="135">
        <v>56</v>
      </c>
      <c r="D1022" s="102">
        <f t="shared" ref="D1022" si="1198">D1023+D1024+D1025</f>
        <v>0</v>
      </c>
      <c r="E1022" s="30"/>
      <c r="F1022" s="102">
        <f t="shared" ref="F1022" si="1199">F1023+F1024+F1025</f>
        <v>0</v>
      </c>
      <c r="G1022" s="30"/>
      <c r="H1022" s="30"/>
      <c r="I1022" s="30"/>
      <c r="J1022" s="30"/>
      <c r="K1022" s="64"/>
      <c r="L1022" s="30"/>
      <c r="M1022" s="30"/>
      <c r="N1022" s="30"/>
      <c r="O1022" s="30">
        <f t="shared" si="1119"/>
        <v>0</v>
      </c>
      <c r="P1022" s="100">
        <f t="shared" si="1120"/>
        <v>0</v>
      </c>
      <c r="Q1022" s="30"/>
      <c r="R1022" s="30"/>
      <c r="S1022" s="30"/>
    </row>
    <row r="1023" spans="1:19" ht="24" hidden="1" customHeight="1">
      <c r="A1023" s="12"/>
      <c r="B1023" s="116" t="s">
        <v>204</v>
      </c>
      <c r="C1023" s="135" t="s">
        <v>205</v>
      </c>
      <c r="D1023" s="46"/>
      <c r="E1023" s="30"/>
      <c r="F1023" s="46"/>
      <c r="G1023" s="30"/>
      <c r="H1023" s="30"/>
      <c r="I1023" s="30"/>
      <c r="J1023" s="30"/>
      <c r="K1023" s="64"/>
      <c r="L1023" s="30"/>
      <c r="M1023" s="30"/>
      <c r="N1023" s="30"/>
      <c r="O1023" s="30">
        <f t="shared" si="1119"/>
        <v>0</v>
      </c>
      <c r="P1023" s="100">
        <f t="shared" si="1120"/>
        <v>0</v>
      </c>
      <c r="Q1023" s="30"/>
      <c r="R1023" s="30"/>
      <c r="S1023" s="30"/>
    </row>
    <row r="1024" spans="1:19" ht="24" hidden="1" customHeight="1">
      <c r="A1024" s="12"/>
      <c r="B1024" s="116" t="s">
        <v>206</v>
      </c>
      <c r="C1024" s="135" t="s">
        <v>207</v>
      </c>
      <c r="D1024" s="46"/>
      <c r="E1024" s="30"/>
      <c r="F1024" s="46"/>
      <c r="G1024" s="30"/>
      <c r="H1024" s="30"/>
      <c r="I1024" s="30"/>
      <c r="J1024" s="30"/>
      <c r="K1024" s="64"/>
      <c r="L1024" s="30"/>
      <c r="M1024" s="30"/>
      <c r="N1024" s="30"/>
      <c r="O1024" s="30">
        <f t="shared" si="1119"/>
        <v>0</v>
      </c>
      <c r="P1024" s="100">
        <f t="shared" si="1120"/>
        <v>0</v>
      </c>
      <c r="Q1024" s="30"/>
      <c r="R1024" s="30"/>
      <c r="S1024" s="30"/>
    </row>
    <row r="1025" spans="1:19" ht="14.25" hidden="1" customHeight="1">
      <c r="A1025" s="12"/>
      <c r="B1025" s="116" t="s">
        <v>209</v>
      </c>
      <c r="C1025" s="135" t="s">
        <v>208</v>
      </c>
      <c r="D1025" s="46"/>
      <c r="E1025" s="30"/>
      <c r="F1025" s="46"/>
      <c r="G1025" s="30"/>
      <c r="H1025" s="30"/>
      <c r="I1025" s="30"/>
      <c r="J1025" s="30"/>
      <c r="K1025" s="64"/>
      <c r="L1025" s="30"/>
      <c r="M1025" s="30"/>
      <c r="N1025" s="30"/>
      <c r="O1025" s="30">
        <f t="shared" si="1119"/>
        <v>0</v>
      </c>
      <c r="P1025" s="100">
        <f t="shared" si="1120"/>
        <v>0</v>
      </c>
      <c r="Q1025" s="30"/>
      <c r="R1025" s="30"/>
      <c r="S1025" s="30"/>
    </row>
    <row r="1026" spans="1:19" ht="35.25" customHeight="1">
      <c r="A1026" s="12" t="s">
        <v>372</v>
      </c>
      <c r="B1026" s="269" t="s">
        <v>373</v>
      </c>
      <c r="C1026" s="270" t="s">
        <v>374</v>
      </c>
      <c r="D1026" s="271">
        <f t="shared" ref="D1026" si="1200">D1028+D1040</f>
        <v>0</v>
      </c>
      <c r="E1026" s="271">
        <f>E1028+E1040</f>
        <v>0</v>
      </c>
      <c r="F1026" s="271">
        <f t="shared" ref="F1026:S1026" si="1201">F1028+F1040</f>
        <v>0</v>
      </c>
      <c r="G1026" s="271">
        <f t="shared" si="1201"/>
        <v>0</v>
      </c>
      <c r="H1026" s="271">
        <f t="shared" ref="H1026" si="1202">H1028+H1040</f>
        <v>0</v>
      </c>
      <c r="I1026" s="271">
        <f t="shared" si="1201"/>
        <v>353</v>
      </c>
      <c r="J1026" s="271">
        <f t="shared" si="1201"/>
        <v>353</v>
      </c>
      <c r="K1026" s="272">
        <f t="shared" ref="K1026:N1026" si="1203">K1028+K1040</f>
        <v>353</v>
      </c>
      <c r="L1026" s="271">
        <f t="shared" si="1203"/>
        <v>0</v>
      </c>
      <c r="M1026" s="271">
        <f t="shared" si="1203"/>
        <v>0</v>
      </c>
      <c r="N1026" s="271">
        <f t="shared" si="1203"/>
        <v>0</v>
      </c>
      <c r="O1026" s="273">
        <f t="shared" si="1119"/>
        <v>353</v>
      </c>
      <c r="P1026" s="271">
        <f t="shared" si="1120"/>
        <v>0</v>
      </c>
      <c r="Q1026" s="271">
        <f t="shared" si="1201"/>
        <v>0</v>
      </c>
      <c r="R1026" s="271">
        <f t="shared" si="1201"/>
        <v>0</v>
      </c>
      <c r="S1026" s="271">
        <f t="shared" si="1201"/>
        <v>0</v>
      </c>
    </row>
    <row r="1027" spans="1:19" ht="19.5" customHeight="1">
      <c r="A1027" s="12"/>
      <c r="B1027" s="129" t="s">
        <v>164</v>
      </c>
      <c r="C1027" s="135"/>
      <c r="D1027" s="102">
        <f t="shared" ref="D1027" si="1204">D1028+D1040</f>
        <v>0</v>
      </c>
      <c r="E1027" s="102">
        <f>E1028+E1040</f>
        <v>0</v>
      </c>
      <c r="F1027" s="102">
        <f t="shared" ref="F1027:S1027" si="1205">F1028+F1040</f>
        <v>0</v>
      </c>
      <c r="G1027" s="102">
        <f t="shared" si="1205"/>
        <v>0</v>
      </c>
      <c r="H1027" s="102">
        <f t="shared" ref="H1027" si="1206">H1028+H1040</f>
        <v>0</v>
      </c>
      <c r="I1027" s="102">
        <f t="shared" si="1205"/>
        <v>353</v>
      </c>
      <c r="J1027" s="102">
        <f t="shared" si="1205"/>
        <v>353</v>
      </c>
      <c r="K1027" s="208">
        <f t="shared" ref="K1027:N1027" si="1207">K1028+K1040</f>
        <v>353</v>
      </c>
      <c r="L1027" s="102">
        <f t="shared" si="1207"/>
        <v>0</v>
      </c>
      <c r="M1027" s="102">
        <f t="shared" si="1207"/>
        <v>0</v>
      </c>
      <c r="N1027" s="102">
        <f t="shared" si="1207"/>
        <v>0</v>
      </c>
      <c r="O1027" s="30">
        <f t="shared" si="1119"/>
        <v>353</v>
      </c>
      <c r="P1027" s="100">
        <f t="shared" si="1120"/>
        <v>0</v>
      </c>
      <c r="Q1027" s="102">
        <f t="shared" si="1205"/>
        <v>0</v>
      </c>
      <c r="R1027" s="102">
        <f t="shared" si="1205"/>
        <v>0</v>
      </c>
      <c r="S1027" s="102">
        <f t="shared" si="1205"/>
        <v>0</v>
      </c>
    </row>
    <row r="1028" spans="1:19" ht="14.25" customHeight="1">
      <c r="A1028" s="12"/>
      <c r="B1028" s="116" t="s">
        <v>173</v>
      </c>
      <c r="C1028" s="135">
        <v>56</v>
      </c>
      <c r="D1028" s="102">
        <f t="shared" ref="D1028:S1028" si="1208">D1029</f>
        <v>0</v>
      </c>
      <c r="E1028" s="102">
        <f t="shared" si="1208"/>
        <v>219.62</v>
      </c>
      <c r="F1028" s="102">
        <f t="shared" si="1208"/>
        <v>0</v>
      </c>
      <c r="G1028" s="102">
        <f t="shared" si="1208"/>
        <v>219.62</v>
      </c>
      <c r="H1028" s="102">
        <f t="shared" si="1208"/>
        <v>0</v>
      </c>
      <c r="I1028" s="102">
        <f t="shared" si="1208"/>
        <v>353</v>
      </c>
      <c r="J1028" s="102">
        <f t="shared" si="1208"/>
        <v>353</v>
      </c>
      <c r="K1028" s="208">
        <f t="shared" si="1208"/>
        <v>353</v>
      </c>
      <c r="L1028" s="102">
        <f t="shared" si="1208"/>
        <v>0</v>
      </c>
      <c r="M1028" s="102">
        <f t="shared" si="1208"/>
        <v>0</v>
      </c>
      <c r="N1028" s="102">
        <f t="shared" si="1208"/>
        <v>0</v>
      </c>
      <c r="O1028" s="30">
        <f t="shared" si="1119"/>
        <v>353</v>
      </c>
      <c r="P1028" s="100">
        <f t="shared" si="1120"/>
        <v>0</v>
      </c>
      <c r="Q1028" s="102">
        <f t="shared" si="1208"/>
        <v>0</v>
      </c>
      <c r="R1028" s="102">
        <f t="shared" si="1208"/>
        <v>0</v>
      </c>
      <c r="S1028" s="102">
        <f t="shared" si="1208"/>
        <v>0</v>
      </c>
    </row>
    <row r="1029" spans="1:19" ht="18" customHeight="1">
      <c r="A1029" s="12"/>
      <c r="B1029" s="116" t="s">
        <v>209</v>
      </c>
      <c r="C1029" s="135" t="s">
        <v>305</v>
      </c>
      <c r="D1029" s="46"/>
      <c r="E1029" s="30">
        <v>219.62</v>
      </c>
      <c r="F1029" s="46"/>
      <c r="G1029" s="30">
        <v>219.62</v>
      </c>
      <c r="H1029" s="30"/>
      <c r="I1029" s="30">
        <v>353</v>
      </c>
      <c r="J1029" s="30">
        <v>353</v>
      </c>
      <c r="K1029" s="64">
        <v>353</v>
      </c>
      <c r="L1029" s="30"/>
      <c r="M1029" s="30"/>
      <c r="N1029" s="30"/>
      <c r="O1029" s="30">
        <f t="shared" si="1119"/>
        <v>353</v>
      </c>
      <c r="P1029" s="100">
        <f t="shared" si="1120"/>
        <v>0</v>
      </c>
      <c r="Q1029" s="30"/>
      <c r="R1029" s="30"/>
      <c r="S1029" s="30"/>
    </row>
    <row r="1030" spans="1:19" ht="72" hidden="1" customHeight="1">
      <c r="A1030" s="12" t="s">
        <v>375</v>
      </c>
      <c r="B1030" s="33" t="s">
        <v>411</v>
      </c>
      <c r="C1030" s="37" t="s">
        <v>374</v>
      </c>
      <c r="D1030" s="105">
        <f t="shared" ref="D1030" si="1209">D1031+D1034</f>
        <v>0</v>
      </c>
      <c r="E1030" s="30"/>
      <c r="F1030" s="105">
        <f t="shared" ref="F1030" si="1210">F1031+F1034</f>
        <v>0</v>
      </c>
      <c r="G1030" s="30"/>
      <c r="H1030" s="31"/>
      <c r="I1030" s="30"/>
      <c r="J1030" s="30"/>
      <c r="K1030" s="64"/>
      <c r="L1030" s="30"/>
      <c r="M1030" s="30"/>
      <c r="N1030" s="30"/>
      <c r="O1030" s="30">
        <f t="shared" si="1119"/>
        <v>0</v>
      </c>
      <c r="P1030" s="100">
        <f t="shared" si="1120"/>
        <v>0</v>
      </c>
      <c r="Q1030" s="30"/>
      <c r="R1030" s="30"/>
      <c r="S1030" s="30"/>
    </row>
    <row r="1031" spans="1:19" ht="24.75" hidden="1" customHeight="1">
      <c r="A1031" s="12"/>
      <c r="B1031" s="129" t="s">
        <v>152</v>
      </c>
      <c r="C1031" s="37"/>
      <c r="D1031" s="46"/>
      <c r="E1031" s="30"/>
      <c r="F1031" s="46"/>
      <c r="G1031" s="30"/>
      <c r="H1031" s="31"/>
      <c r="I1031" s="30"/>
      <c r="J1031" s="30"/>
      <c r="K1031" s="64"/>
      <c r="L1031" s="30"/>
      <c r="M1031" s="30"/>
      <c r="N1031" s="30"/>
      <c r="O1031" s="30">
        <f t="shared" si="1119"/>
        <v>0</v>
      </c>
      <c r="P1031" s="100">
        <f t="shared" si="1120"/>
        <v>0</v>
      </c>
      <c r="Q1031" s="30"/>
      <c r="R1031" s="30"/>
      <c r="S1031" s="30"/>
    </row>
    <row r="1032" spans="1:19" s="1" customFormat="1" ht="24.75" hidden="1" customHeight="1">
      <c r="A1032" s="12"/>
      <c r="B1032" s="116" t="s">
        <v>153</v>
      </c>
      <c r="C1032" s="37">
        <v>1</v>
      </c>
      <c r="D1032" s="156"/>
      <c r="E1032" s="32"/>
      <c r="F1032" s="156"/>
      <c r="G1032" s="32"/>
      <c r="H1032" s="45"/>
      <c r="I1032" s="32"/>
      <c r="J1032" s="32"/>
      <c r="K1032" s="216"/>
      <c r="L1032" s="32"/>
      <c r="M1032" s="32"/>
      <c r="N1032" s="32"/>
      <c r="O1032" s="30">
        <f t="shared" si="1119"/>
        <v>0</v>
      </c>
      <c r="P1032" s="100">
        <f t="shared" si="1120"/>
        <v>0</v>
      </c>
      <c r="Q1032" s="32"/>
      <c r="R1032" s="32"/>
      <c r="S1032" s="32"/>
    </row>
    <row r="1033" spans="1:19" s="1" customFormat="1" ht="24.75" hidden="1" customHeight="1">
      <c r="A1033" s="12"/>
      <c r="B1033" s="116" t="s">
        <v>155</v>
      </c>
      <c r="C1033" s="37" t="s">
        <v>376</v>
      </c>
      <c r="D1033" s="156"/>
      <c r="E1033" s="32"/>
      <c r="F1033" s="156"/>
      <c r="G1033" s="32"/>
      <c r="H1033" s="45"/>
      <c r="I1033" s="32"/>
      <c r="J1033" s="32"/>
      <c r="K1033" s="216"/>
      <c r="L1033" s="32"/>
      <c r="M1033" s="32"/>
      <c r="N1033" s="32"/>
      <c r="O1033" s="30">
        <f t="shared" si="1119"/>
        <v>0</v>
      </c>
      <c r="P1033" s="100">
        <f t="shared" si="1120"/>
        <v>0</v>
      </c>
      <c r="Q1033" s="32"/>
      <c r="R1033" s="32"/>
      <c r="S1033" s="32"/>
    </row>
    <row r="1034" spans="1:19" s="1" customFormat="1" ht="24.75" hidden="1" customHeight="1">
      <c r="A1034" s="12"/>
      <c r="B1034" s="129" t="s">
        <v>164</v>
      </c>
      <c r="C1034" s="37"/>
      <c r="D1034" s="104">
        <f t="shared" ref="D1034" si="1211">D1035</f>
        <v>0</v>
      </c>
      <c r="E1034" s="32"/>
      <c r="F1034" s="104">
        <f t="shared" ref="F1034" si="1212">F1035</f>
        <v>0</v>
      </c>
      <c r="G1034" s="32"/>
      <c r="H1034" s="45"/>
      <c r="I1034" s="32"/>
      <c r="J1034" s="32"/>
      <c r="K1034" s="216"/>
      <c r="L1034" s="32"/>
      <c r="M1034" s="32"/>
      <c r="N1034" s="32"/>
      <c r="O1034" s="30">
        <f t="shared" si="1119"/>
        <v>0</v>
      </c>
      <c r="P1034" s="100">
        <f t="shared" si="1120"/>
        <v>0</v>
      </c>
      <c r="Q1034" s="32"/>
      <c r="R1034" s="32"/>
      <c r="S1034" s="32"/>
    </row>
    <row r="1035" spans="1:19" s="1" customFormat="1" ht="24.75" hidden="1" customHeight="1">
      <c r="A1035" s="12"/>
      <c r="B1035" s="116" t="s">
        <v>412</v>
      </c>
      <c r="C1035" s="37" t="s">
        <v>413</v>
      </c>
      <c r="D1035" s="156"/>
      <c r="E1035" s="32"/>
      <c r="F1035" s="156"/>
      <c r="G1035" s="32"/>
      <c r="H1035" s="45"/>
      <c r="I1035" s="32"/>
      <c r="J1035" s="32"/>
      <c r="K1035" s="216"/>
      <c r="L1035" s="32"/>
      <c r="M1035" s="32"/>
      <c r="N1035" s="32"/>
      <c r="O1035" s="30">
        <f t="shared" si="1119"/>
        <v>0</v>
      </c>
      <c r="P1035" s="100">
        <f t="shared" si="1120"/>
        <v>0</v>
      </c>
      <c r="Q1035" s="32"/>
      <c r="R1035" s="32"/>
      <c r="S1035" s="32"/>
    </row>
    <row r="1036" spans="1:19" s="1" customFormat="1" ht="61.5" hidden="1" customHeight="1">
      <c r="A1036" s="12"/>
      <c r="B1036" s="33" t="s">
        <v>551</v>
      </c>
      <c r="C1036" s="37" t="s">
        <v>374</v>
      </c>
      <c r="D1036" s="156"/>
      <c r="E1036" s="32"/>
      <c r="F1036" s="156"/>
      <c r="G1036" s="32"/>
      <c r="H1036" s="45"/>
      <c r="I1036" s="32"/>
      <c r="J1036" s="32"/>
      <c r="K1036" s="216"/>
      <c r="L1036" s="32"/>
      <c r="M1036" s="32"/>
      <c r="N1036" s="32"/>
      <c r="O1036" s="30">
        <f t="shared" ref="O1036:O1099" si="1213">K1036+L1036+M1036+N1036</f>
        <v>0</v>
      </c>
      <c r="P1036" s="100">
        <f t="shared" si="1120"/>
        <v>0</v>
      </c>
      <c r="Q1036" s="32"/>
      <c r="R1036" s="32"/>
      <c r="S1036" s="32"/>
    </row>
    <row r="1037" spans="1:19" s="1" customFormat="1" ht="24.75" hidden="1" customHeight="1">
      <c r="A1037" s="12"/>
      <c r="B1037" s="116" t="s">
        <v>552</v>
      </c>
      <c r="C1037" s="37"/>
      <c r="D1037" s="104">
        <f t="shared" ref="D1037:D1038" si="1214">D1038</f>
        <v>0</v>
      </c>
      <c r="E1037" s="32"/>
      <c r="F1037" s="104">
        <f t="shared" ref="F1037:F1038" si="1215">F1038</f>
        <v>0</v>
      </c>
      <c r="G1037" s="32"/>
      <c r="H1037" s="45"/>
      <c r="I1037" s="32"/>
      <c r="J1037" s="32"/>
      <c r="K1037" s="216"/>
      <c r="L1037" s="32"/>
      <c r="M1037" s="32"/>
      <c r="N1037" s="32"/>
      <c r="O1037" s="30">
        <f t="shared" si="1213"/>
        <v>0</v>
      </c>
      <c r="P1037" s="100">
        <f t="shared" ref="P1037:P1100" si="1216">J1037-O1037</f>
        <v>0</v>
      </c>
      <c r="Q1037" s="32"/>
      <c r="R1037" s="32"/>
      <c r="S1037" s="32"/>
    </row>
    <row r="1038" spans="1:19" s="1" customFormat="1" ht="24.75" hidden="1" customHeight="1">
      <c r="A1038" s="12"/>
      <c r="B1038" s="116" t="s">
        <v>553</v>
      </c>
      <c r="C1038" s="37" t="s">
        <v>554</v>
      </c>
      <c r="D1038" s="104">
        <f t="shared" si="1214"/>
        <v>0</v>
      </c>
      <c r="E1038" s="32"/>
      <c r="F1038" s="104">
        <f t="shared" si="1215"/>
        <v>0</v>
      </c>
      <c r="G1038" s="32"/>
      <c r="H1038" s="45"/>
      <c r="I1038" s="32"/>
      <c r="J1038" s="32"/>
      <c r="K1038" s="216"/>
      <c r="L1038" s="32"/>
      <c r="M1038" s="32"/>
      <c r="N1038" s="32"/>
      <c r="O1038" s="30">
        <f t="shared" si="1213"/>
        <v>0</v>
      </c>
      <c r="P1038" s="100">
        <f t="shared" si="1216"/>
        <v>0</v>
      </c>
      <c r="Q1038" s="32"/>
      <c r="R1038" s="32"/>
      <c r="S1038" s="32"/>
    </row>
    <row r="1039" spans="1:19" s="1" customFormat="1" ht="24.75" hidden="1" customHeight="1">
      <c r="A1039" s="12"/>
      <c r="B1039" s="116" t="s">
        <v>555</v>
      </c>
      <c r="C1039" s="37" t="s">
        <v>556</v>
      </c>
      <c r="D1039" s="156"/>
      <c r="E1039" s="32"/>
      <c r="F1039" s="156"/>
      <c r="G1039" s="32"/>
      <c r="H1039" s="45"/>
      <c r="I1039" s="32"/>
      <c r="J1039" s="32"/>
      <c r="K1039" s="216"/>
      <c r="L1039" s="32"/>
      <c r="M1039" s="32"/>
      <c r="N1039" s="32"/>
      <c r="O1039" s="30">
        <f t="shared" si="1213"/>
        <v>0</v>
      </c>
      <c r="P1039" s="100">
        <f t="shared" si="1216"/>
        <v>0</v>
      </c>
      <c r="Q1039" s="32"/>
      <c r="R1039" s="32"/>
      <c r="S1039" s="32"/>
    </row>
    <row r="1040" spans="1:19" s="1" customFormat="1" ht="47.25" hidden="1" customHeight="1">
      <c r="A1040" s="12"/>
      <c r="B1040" s="120" t="s">
        <v>645</v>
      </c>
      <c r="C1040" s="135" t="s">
        <v>647</v>
      </c>
      <c r="D1040" s="156"/>
      <c r="E1040" s="30">
        <v>-219.62</v>
      </c>
      <c r="F1040" s="156"/>
      <c r="G1040" s="30">
        <v>-219.62</v>
      </c>
      <c r="H1040" s="31"/>
      <c r="I1040" s="32"/>
      <c r="J1040" s="32"/>
      <c r="K1040" s="216"/>
      <c r="L1040" s="32"/>
      <c r="M1040" s="32"/>
      <c r="N1040" s="32"/>
      <c r="O1040" s="30">
        <f t="shared" si="1213"/>
        <v>0</v>
      </c>
      <c r="P1040" s="100">
        <f t="shared" si="1216"/>
        <v>0</v>
      </c>
      <c r="Q1040" s="32"/>
      <c r="R1040" s="32"/>
      <c r="S1040" s="32"/>
    </row>
    <row r="1041" spans="1:19" ht="18" customHeight="1">
      <c r="A1041" s="180">
        <v>2</v>
      </c>
      <c r="B1041" s="241" t="s">
        <v>594</v>
      </c>
      <c r="C1041" s="242">
        <v>74.02</v>
      </c>
      <c r="D1041" s="140">
        <f t="shared" ref="D1041:S1041" si="1217">D1047+D1051+D1057</f>
        <v>0</v>
      </c>
      <c r="E1041" s="140">
        <f t="shared" si="1217"/>
        <v>39</v>
      </c>
      <c r="F1041" s="140">
        <f t="shared" si="1217"/>
        <v>39</v>
      </c>
      <c r="G1041" s="140">
        <f t="shared" si="1217"/>
        <v>39</v>
      </c>
      <c r="H1041" s="140">
        <f t="shared" ref="H1041" si="1218">H1047+H1051+H1057</f>
        <v>0</v>
      </c>
      <c r="I1041" s="140">
        <f t="shared" si="1217"/>
        <v>65</v>
      </c>
      <c r="J1041" s="140">
        <f t="shared" si="1217"/>
        <v>65</v>
      </c>
      <c r="K1041" s="209">
        <f t="shared" ref="K1041:N1041" si="1219">K1047+K1051+K1057</f>
        <v>65</v>
      </c>
      <c r="L1041" s="140">
        <f t="shared" si="1219"/>
        <v>0</v>
      </c>
      <c r="M1041" s="140">
        <f t="shared" si="1219"/>
        <v>0</v>
      </c>
      <c r="N1041" s="140">
        <f t="shared" si="1219"/>
        <v>0</v>
      </c>
      <c r="O1041" s="30">
        <f t="shared" si="1213"/>
        <v>65</v>
      </c>
      <c r="P1041" s="100">
        <f t="shared" si="1216"/>
        <v>0</v>
      </c>
      <c r="Q1041" s="151">
        <f t="shared" si="1217"/>
        <v>65</v>
      </c>
      <c r="R1041" s="151">
        <f t="shared" si="1217"/>
        <v>0</v>
      </c>
      <c r="S1041" s="151">
        <f t="shared" si="1217"/>
        <v>0</v>
      </c>
    </row>
    <row r="1042" spans="1:19" ht="20.25" customHeight="1">
      <c r="A1042" s="12"/>
      <c r="B1042" s="129" t="s">
        <v>152</v>
      </c>
      <c r="C1042" s="37"/>
      <c r="D1042" s="138">
        <f t="shared" ref="D1042:S1044" si="1220">D1058</f>
        <v>0</v>
      </c>
      <c r="E1042" s="138">
        <f t="shared" si="1220"/>
        <v>39</v>
      </c>
      <c r="F1042" s="138">
        <f t="shared" si="1220"/>
        <v>39</v>
      </c>
      <c r="G1042" s="138">
        <f t="shared" si="1220"/>
        <v>39</v>
      </c>
      <c r="H1042" s="138">
        <f t="shared" ref="H1042" si="1221">H1058</f>
        <v>0</v>
      </c>
      <c r="I1042" s="138">
        <f t="shared" si="1220"/>
        <v>65</v>
      </c>
      <c r="J1042" s="138">
        <f t="shared" si="1220"/>
        <v>65</v>
      </c>
      <c r="K1042" s="206">
        <f t="shared" ref="K1042:N1042" si="1222">K1058</f>
        <v>65</v>
      </c>
      <c r="L1042" s="138">
        <f t="shared" si="1222"/>
        <v>0</v>
      </c>
      <c r="M1042" s="138">
        <f t="shared" si="1222"/>
        <v>0</v>
      </c>
      <c r="N1042" s="138">
        <f t="shared" si="1222"/>
        <v>0</v>
      </c>
      <c r="O1042" s="30">
        <f t="shared" si="1213"/>
        <v>65</v>
      </c>
      <c r="P1042" s="100">
        <f t="shared" si="1216"/>
        <v>0</v>
      </c>
      <c r="Q1042" s="138">
        <f t="shared" si="1220"/>
        <v>65</v>
      </c>
      <c r="R1042" s="138">
        <f t="shared" si="1220"/>
        <v>0</v>
      </c>
      <c r="S1042" s="138">
        <f t="shared" si="1220"/>
        <v>0</v>
      </c>
    </row>
    <row r="1043" spans="1:19" ht="21" customHeight="1">
      <c r="A1043" s="12"/>
      <c r="B1043" s="116" t="s">
        <v>153</v>
      </c>
      <c r="C1043" s="37">
        <v>1</v>
      </c>
      <c r="D1043" s="138">
        <f t="shared" si="1220"/>
        <v>0</v>
      </c>
      <c r="E1043" s="138">
        <f t="shared" si="1220"/>
        <v>39</v>
      </c>
      <c r="F1043" s="138">
        <f t="shared" si="1220"/>
        <v>39</v>
      </c>
      <c r="G1043" s="138">
        <f t="shared" si="1220"/>
        <v>39</v>
      </c>
      <c r="H1043" s="138">
        <f t="shared" ref="H1043" si="1223">H1059</f>
        <v>0</v>
      </c>
      <c r="I1043" s="138">
        <f t="shared" si="1220"/>
        <v>65</v>
      </c>
      <c r="J1043" s="138">
        <f t="shared" si="1220"/>
        <v>65</v>
      </c>
      <c r="K1043" s="206">
        <f t="shared" ref="K1043:N1043" si="1224">K1059</f>
        <v>65</v>
      </c>
      <c r="L1043" s="138">
        <f t="shared" si="1224"/>
        <v>0</v>
      </c>
      <c r="M1043" s="138">
        <f t="shared" si="1224"/>
        <v>0</v>
      </c>
      <c r="N1043" s="138">
        <f t="shared" si="1224"/>
        <v>0</v>
      </c>
      <c r="O1043" s="30">
        <f t="shared" si="1213"/>
        <v>65</v>
      </c>
      <c r="P1043" s="100">
        <f t="shared" si="1216"/>
        <v>0</v>
      </c>
      <c r="Q1043" s="138">
        <f t="shared" si="1220"/>
        <v>65</v>
      </c>
      <c r="R1043" s="138">
        <f t="shared" si="1220"/>
        <v>0</v>
      </c>
      <c r="S1043" s="138">
        <f t="shared" si="1220"/>
        <v>0</v>
      </c>
    </row>
    <row r="1044" spans="1:19" ht="20.25" customHeight="1">
      <c r="A1044" s="12"/>
      <c r="B1044" s="116" t="s">
        <v>377</v>
      </c>
      <c r="C1044" s="37">
        <v>20</v>
      </c>
      <c r="D1044" s="138">
        <f t="shared" si="1220"/>
        <v>0</v>
      </c>
      <c r="E1044" s="138">
        <f t="shared" si="1220"/>
        <v>39</v>
      </c>
      <c r="F1044" s="138">
        <f t="shared" si="1220"/>
        <v>39</v>
      </c>
      <c r="G1044" s="138">
        <f t="shared" si="1220"/>
        <v>39</v>
      </c>
      <c r="H1044" s="138">
        <f t="shared" ref="H1044" si="1225">H1060</f>
        <v>0</v>
      </c>
      <c r="I1044" s="138">
        <f t="shared" si="1220"/>
        <v>65</v>
      </c>
      <c r="J1044" s="138">
        <f t="shared" si="1220"/>
        <v>65</v>
      </c>
      <c r="K1044" s="206">
        <f t="shared" ref="K1044:N1044" si="1226">K1060</f>
        <v>65</v>
      </c>
      <c r="L1044" s="138">
        <f t="shared" si="1226"/>
        <v>0</v>
      </c>
      <c r="M1044" s="138">
        <f t="shared" si="1226"/>
        <v>0</v>
      </c>
      <c r="N1044" s="138">
        <f t="shared" si="1226"/>
        <v>0</v>
      </c>
      <c r="O1044" s="30">
        <f t="shared" si="1213"/>
        <v>65</v>
      </c>
      <c r="P1044" s="100">
        <f t="shared" si="1216"/>
        <v>0</v>
      </c>
      <c r="Q1044" s="138">
        <f t="shared" si="1220"/>
        <v>65</v>
      </c>
      <c r="R1044" s="138">
        <f t="shared" si="1220"/>
        <v>0</v>
      </c>
      <c r="S1044" s="138">
        <f t="shared" si="1220"/>
        <v>0</v>
      </c>
    </row>
    <row r="1045" spans="1:19" ht="24.75" hidden="1" customHeight="1">
      <c r="A1045" s="12"/>
      <c r="B1045" s="129" t="s">
        <v>164</v>
      </c>
      <c r="C1045" s="37"/>
      <c r="D1045" s="46"/>
      <c r="E1045" s="30"/>
      <c r="F1045" s="46"/>
      <c r="G1045" s="30"/>
      <c r="H1045" s="31"/>
      <c r="I1045" s="30"/>
      <c r="J1045" s="30"/>
      <c r="K1045" s="64"/>
      <c r="L1045" s="30"/>
      <c r="M1045" s="30"/>
      <c r="N1045" s="30"/>
      <c r="O1045" s="30">
        <f t="shared" si="1213"/>
        <v>0</v>
      </c>
      <c r="P1045" s="100">
        <f t="shared" si="1216"/>
        <v>0</v>
      </c>
      <c r="Q1045" s="30"/>
      <c r="R1045" s="30"/>
      <c r="S1045" s="30"/>
    </row>
    <row r="1046" spans="1:19" ht="24.75" hidden="1" customHeight="1">
      <c r="A1046" s="12"/>
      <c r="B1046" s="116" t="s">
        <v>378</v>
      </c>
      <c r="C1046" s="37">
        <v>56</v>
      </c>
      <c r="D1046" s="46"/>
      <c r="E1046" s="30"/>
      <c r="F1046" s="46"/>
      <c r="G1046" s="30"/>
      <c r="H1046" s="31"/>
      <c r="I1046" s="30"/>
      <c r="J1046" s="30"/>
      <c r="K1046" s="64"/>
      <c r="L1046" s="30"/>
      <c r="M1046" s="30"/>
      <c r="N1046" s="30"/>
      <c r="O1046" s="30">
        <f t="shared" si="1213"/>
        <v>0</v>
      </c>
      <c r="P1046" s="100">
        <f t="shared" si="1216"/>
        <v>0</v>
      </c>
      <c r="Q1046" s="30"/>
      <c r="R1046" s="30"/>
      <c r="S1046" s="30"/>
    </row>
    <row r="1047" spans="1:19" ht="18.75" hidden="1" customHeight="1">
      <c r="A1047" s="12" t="s">
        <v>281</v>
      </c>
      <c r="B1047" s="129" t="s">
        <v>379</v>
      </c>
      <c r="C1047" s="37" t="s">
        <v>380</v>
      </c>
      <c r="D1047" s="46"/>
      <c r="E1047" s="30"/>
      <c r="F1047" s="46"/>
      <c r="G1047" s="30"/>
      <c r="H1047" s="31"/>
      <c r="I1047" s="30"/>
      <c r="J1047" s="30"/>
      <c r="K1047" s="64"/>
      <c r="L1047" s="30"/>
      <c r="M1047" s="30"/>
      <c r="N1047" s="30"/>
      <c r="O1047" s="30">
        <f t="shared" si="1213"/>
        <v>0</v>
      </c>
      <c r="P1047" s="100">
        <f t="shared" si="1216"/>
        <v>0</v>
      </c>
      <c r="Q1047" s="30"/>
      <c r="R1047" s="30"/>
      <c r="S1047" s="30"/>
    </row>
    <row r="1048" spans="1:19" ht="24.75" hidden="1" customHeight="1">
      <c r="A1048" s="12"/>
      <c r="B1048" s="129" t="s">
        <v>164</v>
      </c>
      <c r="C1048" s="37"/>
      <c r="D1048" s="46"/>
      <c r="E1048" s="30"/>
      <c r="F1048" s="46"/>
      <c r="G1048" s="30"/>
      <c r="H1048" s="31"/>
      <c r="I1048" s="30"/>
      <c r="J1048" s="30"/>
      <c r="K1048" s="64"/>
      <c r="L1048" s="30"/>
      <c r="M1048" s="30"/>
      <c r="N1048" s="30"/>
      <c r="O1048" s="30">
        <f t="shared" si="1213"/>
        <v>0</v>
      </c>
      <c r="P1048" s="100">
        <f t="shared" si="1216"/>
        <v>0</v>
      </c>
      <c r="Q1048" s="30"/>
      <c r="R1048" s="30"/>
      <c r="S1048" s="30"/>
    </row>
    <row r="1049" spans="1:19" ht="24" hidden="1" customHeight="1">
      <c r="A1049" s="12"/>
      <c r="B1049" s="116" t="s">
        <v>378</v>
      </c>
      <c r="C1049" s="135">
        <v>56.01</v>
      </c>
      <c r="D1049" s="46"/>
      <c r="E1049" s="30"/>
      <c r="F1049" s="46"/>
      <c r="G1049" s="30"/>
      <c r="H1049" s="31"/>
      <c r="I1049" s="30"/>
      <c r="J1049" s="30"/>
      <c r="K1049" s="64"/>
      <c r="L1049" s="30"/>
      <c r="M1049" s="30"/>
      <c r="N1049" s="30"/>
      <c r="O1049" s="30">
        <f t="shared" si="1213"/>
        <v>0</v>
      </c>
      <c r="P1049" s="100">
        <f t="shared" si="1216"/>
        <v>0</v>
      </c>
      <c r="Q1049" s="30"/>
      <c r="R1049" s="30"/>
      <c r="S1049" s="30"/>
    </row>
    <row r="1050" spans="1:19" ht="24.75" hidden="1" customHeight="1">
      <c r="A1050" s="12"/>
      <c r="B1050" s="116" t="s">
        <v>209</v>
      </c>
      <c r="C1050" s="135" t="s">
        <v>208</v>
      </c>
      <c r="D1050" s="46"/>
      <c r="E1050" s="30"/>
      <c r="F1050" s="46"/>
      <c r="G1050" s="30"/>
      <c r="H1050" s="31"/>
      <c r="I1050" s="30"/>
      <c r="J1050" s="30"/>
      <c r="K1050" s="64"/>
      <c r="L1050" s="30"/>
      <c r="M1050" s="30"/>
      <c r="N1050" s="30"/>
      <c r="O1050" s="30">
        <f t="shared" si="1213"/>
        <v>0</v>
      </c>
      <c r="P1050" s="100">
        <f t="shared" si="1216"/>
        <v>0</v>
      </c>
      <c r="Q1050" s="30"/>
      <c r="R1050" s="30"/>
      <c r="S1050" s="30"/>
    </row>
    <row r="1051" spans="1:19" ht="24.75" hidden="1" customHeight="1">
      <c r="A1051" s="12" t="s">
        <v>288</v>
      </c>
      <c r="B1051" s="33" t="s">
        <v>381</v>
      </c>
      <c r="C1051" s="37" t="s">
        <v>380</v>
      </c>
      <c r="D1051" s="46"/>
      <c r="E1051" s="30"/>
      <c r="F1051" s="46"/>
      <c r="G1051" s="30"/>
      <c r="H1051" s="31"/>
      <c r="I1051" s="30"/>
      <c r="J1051" s="30"/>
      <c r="K1051" s="64"/>
      <c r="L1051" s="30"/>
      <c r="M1051" s="30"/>
      <c r="N1051" s="30"/>
      <c r="O1051" s="30">
        <f t="shared" si="1213"/>
        <v>0</v>
      </c>
      <c r="P1051" s="100">
        <f t="shared" si="1216"/>
        <v>0</v>
      </c>
      <c r="Q1051" s="30"/>
      <c r="R1051" s="30"/>
      <c r="S1051" s="30"/>
    </row>
    <row r="1052" spans="1:19" ht="24.75" hidden="1" customHeight="1">
      <c r="A1052" s="12"/>
      <c r="B1052" s="129" t="s">
        <v>164</v>
      </c>
      <c r="C1052" s="135">
        <v>0</v>
      </c>
      <c r="D1052" s="46"/>
      <c r="E1052" s="30"/>
      <c r="F1052" s="46"/>
      <c r="G1052" s="30"/>
      <c r="H1052" s="31"/>
      <c r="I1052" s="30"/>
      <c r="J1052" s="30"/>
      <c r="K1052" s="64"/>
      <c r="L1052" s="30"/>
      <c r="M1052" s="30"/>
      <c r="N1052" s="30"/>
      <c r="O1052" s="30">
        <f t="shared" si="1213"/>
        <v>0</v>
      </c>
      <c r="P1052" s="100">
        <f t="shared" si="1216"/>
        <v>0</v>
      </c>
      <c r="Q1052" s="30"/>
      <c r="R1052" s="30"/>
      <c r="S1052" s="30"/>
    </row>
    <row r="1053" spans="1:19" ht="24.75" hidden="1" customHeight="1">
      <c r="A1053" s="12"/>
      <c r="B1053" s="116" t="s">
        <v>378</v>
      </c>
      <c r="C1053" s="135">
        <v>56.01</v>
      </c>
      <c r="D1053" s="46"/>
      <c r="E1053" s="30"/>
      <c r="F1053" s="46"/>
      <c r="G1053" s="30"/>
      <c r="H1053" s="31"/>
      <c r="I1053" s="30"/>
      <c r="J1053" s="30"/>
      <c r="K1053" s="64"/>
      <c r="L1053" s="30"/>
      <c r="M1053" s="30"/>
      <c r="N1053" s="30"/>
      <c r="O1053" s="30">
        <f t="shared" si="1213"/>
        <v>0</v>
      </c>
      <c r="P1053" s="100">
        <f t="shared" si="1216"/>
        <v>0</v>
      </c>
      <c r="Q1053" s="30"/>
      <c r="R1053" s="30"/>
      <c r="S1053" s="30"/>
    </row>
    <row r="1054" spans="1:19" ht="24.75" hidden="1" customHeight="1">
      <c r="A1054" s="12"/>
      <c r="B1054" s="116" t="s">
        <v>311</v>
      </c>
      <c r="C1054" s="135" t="s">
        <v>205</v>
      </c>
      <c r="D1054" s="46"/>
      <c r="E1054" s="30"/>
      <c r="F1054" s="46"/>
      <c r="G1054" s="30"/>
      <c r="H1054" s="31"/>
      <c r="I1054" s="30"/>
      <c r="J1054" s="30"/>
      <c r="K1054" s="64"/>
      <c r="L1054" s="30"/>
      <c r="M1054" s="30"/>
      <c r="N1054" s="30"/>
      <c r="O1054" s="30">
        <f t="shared" si="1213"/>
        <v>0</v>
      </c>
      <c r="P1054" s="100">
        <f t="shared" si="1216"/>
        <v>0</v>
      </c>
      <c r="Q1054" s="30"/>
      <c r="R1054" s="30"/>
      <c r="S1054" s="30"/>
    </row>
    <row r="1055" spans="1:19" ht="24.75" hidden="1" customHeight="1">
      <c r="A1055" s="12"/>
      <c r="B1055" s="116" t="s">
        <v>382</v>
      </c>
      <c r="C1055" s="135" t="s">
        <v>207</v>
      </c>
      <c r="D1055" s="46"/>
      <c r="E1055" s="30"/>
      <c r="F1055" s="46"/>
      <c r="G1055" s="30"/>
      <c r="H1055" s="31"/>
      <c r="I1055" s="30"/>
      <c r="J1055" s="30"/>
      <c r="K1055" s="64"/>
      <c r="L1055" s="30"/>
      <c r="M1055" s="30"/>
      <c r="N1055" s="30"/>
      <c r="O1055" s="30">
        <f t="shared" si="1213"/>
        <v>0</v>
      </c>
      <c r="P1055" s="100">
        <f t="shared" si="1216"/>
        <v>0</v>
      </c>
      <c r="Q1055" s="30"/>
      <c r="R1055" s="30"/>
      <c r="S1055" s="30"/>
    </row>
    <row r="1056" spans="1:19" ht="24.75" hidden="1" customHeight="1">
      <c r="A1056" s="12"/>
      <c r="B1056" s="116" t="s">
        <v>383</v>
      </c>
      <c r="C1056" s="135" t="s">
        <v>208</v>
      </c>
      <c r="D1056" s="46"/>
      <c r="E1056" s="30"/>
      <c r="F1056" s="46"/>
      <c r="G1056" s="30"/>
      <c r="H1056" s="31"/>
      <c r="I1056" s="30"/>
      <c r="J1056" s="30"/>
      <c r="K1056" s="64"/>
      <c r="L1056" s="30"/>
      <c r="M1056" s="30"/>
      <c r="N1056" s="30"/>
      <c r="O1056" s="30">
        <f t="shared" si="1213"/>
        <v>0</v>
      </c>
      <c r="P1056" s="100">
        <f t="shared" si="1216"/>
        <v>0</v>
      </c>
      <c r="Q1056" s="30"/>
      <c r="R1056" s="30"/>
      <c r="S1056" s="30"/>
    </row>
    <row r="1057" spans="1:19" ht="27" customHeight="1">
      <c r="A1057" s="12"/>
      <c r="B1057" s="269" t="s">
        <v>530</v>
      </c>
      <c r="C1057" s="243"/>
      <c r="D1057" s="144">
        <f t="shared" ref="D1057:S1059" si="1227">D1058</f>
        <v>0</v>
      </c>
      <c r="E1057" s="144">
        <f t="shared" si="1227"/>
        <v>39</v>
      </c>
      <c r="F1057" s="144">
        <f t="shared" si="1227"/>
        <v>39</v>
      </c>
      <c r="G1057" s="144">
        <f t="shared" si="1227"/>
        <v>39</v>
      </c>
      <c r="H1057" s="144">
        <f t="shared" si="1227"/>
        <v>0</v>
      </c>
      <c r="I1057" s="144">
        <f t="shared" si="1227"/>
        <v>65</v>
      </c>
      <c r="J1057" s="144">
        <f t="shared" si="1227"/>
        <v>65</v>
      </c>
      <c r="K1057" s="276">
        <f t="shared" si="1227"/>
        <v>65</v>
      </c>
      <c r="L1057" s="144">
        <f t="shared" si="1227"/>
        <v>0</v>
      </c>
      <c r="M1057" s="144">
        <f t="shared" si="1227"/>
        <v>0</v>
      </c>
      <c r="N1057" s="144">
        <f t="shared" si="1227"/>
        <v>0</v>
      </c>
      <c r="O1057" s="273">
        <f t="shared" si="1213"/>
        <v>65</v>
      </c>
      <c r="P1057" s="271">
        <f t="shared" si="1216"/>
        <v>0</v>
      </c>
      <c r="Q1057" s="144">
        <f t="shared" si="1227"/>
        <v>65</v>
      </c>
      <c r="R1057" s="144">
        <f t="shared" si="1227"/>
        <v>0</v>
      </c>
      <c r="S1057" s="144">
        <f t="shared" si="1227"/>
        <v>0</v>
      </c>
    </row>
    <row r="1058" spans="1:19" ht="18.75" customHeight="1">
      <c r="A1058" s="12"/>
      <c r="B1058" s="129" t="s">
        <v>152</v>
      </c>
      <c r="C1058" s="135"/>
      <c r="D1058" s="104">
        <f t="shared" si="1227"/>
        <v>0</v>
      </c>
      <c r="E1058" s="104">
        <f t="shared" si="1227"/>
        <v>39</v>
      </c>
      <c r="F1058" s="104">
        <f t="shared" si="1227"/>
        <v>39</v>
      </c>
      <c r="G1058" s="104">
        <f t="shared" si="1227"/>
        <v>39</v>
      </c>
      <c r="H1058" s="104">
        <f t="shared" si="1227"/>
        <v>0</v>
      </c>
      <c r="I1058" s="104">
        <f t="shared" si="1227"/>
        <v>65</v>
      </c>
      <c r="J1058" s="104">
        <f t="shared" si="1227"/>
        <v>65</v>
      </c>
      <c r="K1058" s="196">
        <f t="shared" si="1227"/>
        <v>65</v>
      </c>
      <c r="L1058" s="104">
        <f t="shared" si="1227"/>
        <v>0</v>
      </c>
      <c r="M1058" s="104">
        <f t="shared" si="1227"/>
        <v>0</v>
      </c>
      <c r="N1058" s="104">
        <f t="shared" si="1227"/>
        <v>0</v>
      </c>
      <c r="O1058" s="30">
        <f t="shared" si="1213"/>
        <v>65</v>
      </c>
      <c r="P1058" s="100">
        <f t="shared" si="1216"/>
        <v>0</v>
      </c>
      <c r="Q1058" s="104">
        <f t="shared" si="1227"/>
        <v>65</v>
      </c>
      <c r="R1058" s="104">
        <f t="shared" si="1227"/>
        <v>0</v>
      </c>
      <c r="S1058" s="104">
        <f t="shared" si="1227"/>
        <v>0</v>
      </c>
    </row>
    <row r="1059" spans="1:19" ht="17.25" customHeight="1">
      <c r="A1059" s="12"/>
      <c r="B1059" s="116" t="s">
        <v>153</v>
      </c>
      <c r="C1059" s="135"/>
      <c r="D1059" s="104">
        <f t="shared" si="1227"/>
        <v>0</v>
      </c>
      <c r="E1059" s="104">
        <f t="shared" si="1227"/>
        <v>39</v>
      </c>
      <c r="F1059" s="104">
        <f t="shared" si="1227"/>
        <v>39</v>
      </c>
      <c r="G1059" s="104">
        <f t="shared" si="1227"/>
        <v>39</v>
      </c>
      <c r="H1059" s="104">
        <f t="shared" si="1227"/>
        <v>0</v>
      </c>
      <c r="I1059" s="104">
        <f t="shared" si="1227"/>
        <v>65</v>
      </c>
      <c r="J1059" s="104">
        <f t="shared" si="1227"/>
        <v>65</v>
      </c>
      <c r="K1059" s="196">
        <f t="shared" si="1227"/>
        <v>65</v>
      </c>
      <c r="L1059" s="104">
        <f t="shared" si="1227"/>
        <v>0</v>
      </c>
      <c r="M1059" s="104">
        <f t="shared" si="1227"/>
        <v>0</v>
      </c>
      <c r="N1059" s="104">
        <f t="shared" si="1227"/>
        <v>0</v>
      </c>
      <c r="O1059" s="30">
        <f t="shared" si="1213"/>
        <v>65</v>
      </c>
      <c r="P1059" s="100">
        <f t="shared" si="1216"/>
        <v>0</v>
      </c>
      <c r="Q1059" s="104">
        <f t="shared" si="1227"/>
        <v>65</v>
      </c>
      <c r="R1059" s="104">
        <f t="shared" si="1227"/>
        <v>0</v>
      </c>
      <c r="S1059" s="104">
        <f t="shared" si="1227"/>
        <v>0</v>
      </c>
    </row>
    <row r="1060" spans="1:19" ht="14.25" customHeight="1">
      <c r="A1060" s="12"/>
      <c r="B1060" s="116" t="s">
        <v>581</v>
      </c>
      <c r="C1060" s="135">
        <v>20</v>
      </c>
      <c r="D1060" s="46">
        <v>0</v>
      </c>
      <c r="E1060" s="30">
        <v>39</v>
      </c>
      <c r="F1060" s="46">
        <v>39</v>
      </c>
      <c r="G1060" s="30">
        <v>39</v>
      </c>
      <c r="H1060" s="30"/>
      <c r="I1060" s="30">
        <v>65</v>
      </c>
      <c r="J1060" s="30">
        <v>65</v>
      </c>
      <c r="K1060" s="64">
        <v>65</v>
      </c>
      <c r="L1060" s="30"/>
      <c r="M1060" s="30"/>
      <c r="N1060" s="30"/>
      <c r="O1060" s="30">
        <f t="shared" si="1213"/>
        <v>65</v>
      </c>
      <c r="P1060" s="100">
        <f t="shared" si="1216"/>
        <v>0</v>
      </c>
      <c r="Q1060" s="30">
        <v>65</v>
      </c>
      <c r="R1060" s="30">
        <v>0</v>
      </c>
      <c r="S1060" s="30">
        <v>0</v>
      </c>
    </row>
    <row r="1061" spans="1:19" ht="24.75" customHeight="1">
      <c r="A1061" s="180" t="s">
        <v>384</v>
      </c>
      <c r="B1061" s="238" t="s">
        <v>677</v>
      </c>
      <c r="C1061" s="137">
        <v>79.02</v>
      </c>
      <c r="D1061" s="153">
        <f t="shared" ref="D1061:S1061" si="1228">D1076+D1094+D1107+D1162</f>
        <v>71779.3</v>
      </c>
      <c r="E1061" s="153">
        <f t="shared" si="1228"/>
        <v>136842.39000000001</v>
      </c>
      <c r="F1061" s="153">
        <f t="shared" si="1228"/>
        <v>122091</v>
      </c>
      <c r="G1061" s="153">
        <f t="shared" si="1228"/>
        <v>136842.39000000001</v>
      </c>
      <c r="H1061" s="153">
        <f t="shared" ref="H1061" si="1229">H1076+H1094+H1107+H1162</f>
        <v>93192.2</v>
      </c>
      <c r="I1061" s="153">
        <f t="shared" si="1228"/>
        <v>295284</v>
      </c>
      <c r="J1061" s="153">
        <f t="shared" si="1228"/>
        <v>165220</v>
      </c>
      <c r="K1061" s="213">
        <f t="shared" ref="K1061:N1061" si="1230">K1076+K1094+K1107+K1162</f>
        <v>19475</v>
      </c>
      <c r="L1061" s="153">
        <f t="shared" si="1230"/>
        <v>43115</v>
      </c>
      <c r="M1061" s="153">
        <f t="shared" si="1230"/>
        <v>49701</v>
      </c>
      <c r="N1061" s="153">
        <f t="shared" si="1230"/>
        <v>52929</v>
      </c>
      <c r="O1061" s="30">
        <f t="shared" si="1213"/>
        <v>165220</v>
      </c>
      <c r="P1061" s="100">
        <f t="shared" si="1216"/>
        <v>0</v>
      </c>
      <c r="Q1061" s="153">
        <f t="shared" si="1228"/>
        <v>67380</v>
      </c>
      <c r="R1061" s="153">
        <f t="shared" si="1228"/>
        <v>43030</v>
      </c>
      <c r="S1061" s="153">
        <f t="shared" si="1228"/>
        <v>46062</v>
      </c>
    </row>
    <row r="1062" spans="1:19" ht="20.25" customHeight="1">
      <c r="A1062" s="12"/>
      <c r="B1062" s="129" t="s">
        <v>152</v>
      </c>
      <c r="C1062" s="37"/>
      <c r="D1062" s="153">
        <f t="shared" ref="D1062:S1063" si="1231">D1077+D1100+D1108+D1096</f>
        <v>26495.360000000001</v>
      </c>
      <c r="E1062" s="153">
        <f t="shared" si="1231"/>
        <v>30783</v>
      </c>
      <c r="F1062" s="153">
        <f t="shared" si="1231"/>
        <v>26100</v>
      </c>
      <c r="G1062" s="153">
        <f t="shared" si="1231"/>
        <v>30783</v>
      </c>
      <c r="H1062" s="153">
        <f t="shared" ref="H1062" si="1232">H1077+H1100+H1108+H1096</f>
        <v>27514</v>
      </c>
      <c r="I1062" s="153">
        <f t="shared" si="1231"/>
        <v>30548</v>
      </c>
      <c r="J1062" s="153">
        <f t="shared" si="1231"/>
        <v>27317</v>
      </c>
      <c r="K1062" s="213">
        <f t="shared" ref="K1062:N1062" si="1233">K1077+K1100+K1108+K1096</f>
        <v>7525</v>
      </c>
      <c r="L1062" s="153">
        <f t="shared" si="1233"/>
        <v>7358</v>
      </c>
      <c r="M1062" s="153">
        <f t="shared" si="1233"/>
        <v>5861</v>
      </c>
      <c r="N1062" s="153">
        <f t="shared" si="1233"/>
        <v>6573</v>
      </c>
      <c r="O1062" s="30">
        <f t="shared" si="1213"/>
        <v>27317</v>
      </c>
      <c r="P1062" s="100">
        <f t="shared" si="1216"/>
        <v>0</v>
      </c>
      <c r="Q1062" s="153">
        <f t="shared" si="1231"/>
        <v>30100</v>
      </c>
      <c r="R1062" s="153">
        <f t="shared" si="1231"/>
        <v>30100</v>
      </c>
      <c r="S1062" s="153">
        <f t="shared" si="1231"/>
        <v>30100</v>
      </c>
    </row>
    <row r="1063" spans="1:19" ht="14.25">
      <c r="A1063" s="12"/>
      <c r="B1063" s="116" t="s">
        <v>153</v>
      </c>
      <c r="C1063" s="135">
        <v>1</v>
      </c>
      <c r="D1063" s="102">
        <f t="shared" si="1231"/>
        <v>26495.360000000001</v>
      </c>
      <c r="E1063" s="102">
        <f t="shared" si="1231"/>
        <v>30783</v>
      </c>
      <c r="F1063" s="102">
        <f t="shared" si="1231"/>
        <v>26100</v>
      </c>
      <c r="G1063" s="102">
        <f t="shared" si="1231"/>
        <v>30783</v>
      </c>
      <c r="H1063" s="102">
        <f t="shared" ref="H1063" si="1234">H1078+H1101+H1109+H1097</f>
        <v>27514</v>
      </c>
      <c r="I1063" s="102">
        <f t="shared" si="1231"/>
        <v>30548</v>
      </c>
      <c r="J1063" s="102">
        <f t="shared" si="1231"/>
        <v>27317</v>
      </c>
      <c r="K1063" s="208">
        <f t="shared" ref="K1063:N1063" si="1235">K1078+K1101+K1109+K1097</f>
        <v>7525</v>
      </c>
      <c r="L1063" s="102">
        <f t="shared" si="1235"/>
        <v>7358</v>
      </c>
      <c r="M1063" s="102">
        <f t="shared" si="1235"/>
        <v>5861</v>
      </c>
      <c r="N1063" s="102">
        <f t="shared" si="1235"/>
        <v>6573</v>
      </c>
      <c r="O1063" s="30">
        <f t="shared" si="1213"/>
        <v>27317</v>
      </c>
      <c r="P1063" s="100">
        <f t="shared" si="1216"/>
        <v>0</v>
      </c>
      <c r="Q1063" s="102">
        <f t="shared" si="1231"/>
        <v>30100</v>
      </c>
      <c r="R1063" s="102">
        <f t="shared" si="1231"/>
        <v>30100</v>
      </c>
      <c r="S1063" s="102">
        <f t="shared" si="1231"/>
        <v>30100</v>
      </c>
    </row>
    <row r="1064" spans="1:19" ht="15" hidden="1" customHeight="1">
      <c r="A1064" s="12"/>
      <c r="B1064" s="116" t="s">
        <v>154</v>
      </c>
      <c r="C1064" s="135">
        <v>10</v>
      </c>
      <c r="D1064" s="46"/>
      <c r="E1064" s="30"/>
      <c r="F1064" s="46"/>
      <c r="G1064" s="30"/>
      <c r="H1064" s="30"/>
      <c r="I1064" s="30"/>
      <c r="J1064" s="30"/>
      <c r="K1064" s="64"/>
      <c r="L1064" s="30"/>
      <c r="M1064" s="30"/>
      <c r="N1064" s="30"/>
      <c r="O1064" s="30">
        <f t="shared" si="1213"/>
        <v>0</v>
      </c>
      <c r="P1064" s="100">
        <f t="shared" si="1216"/>
        <v>0</v>
      </c>
      <c r="Q1064" s="30"/>
      <c r="R1064" s="30"/>
      <c r="S1064" s="30"/>
    </row>
    <row r="1065" spans="1:19" ht="14.25">
      <c r="A1065" s="12"/>
      <c r="B1065" s="116" t="s">
        <v>581</v>
      </c>
      <c r="C1065" s="135">
        <v>20</v>
      </c>
      <c r="D1065" s="102">
        <f t="shared" ref="D1065:S1065" si="1236">D1079+D1111+D1098</f>
        <v>26495.360000000001</v>
      </c>
      <c r="E1065" s="102">
        <f t="shared" si="1236"/>
        <v>30783</v>
      </c>
      <c r="F1065" s="102">
        <f t="shared" si="1236"/>
        <v>26100</v>
      </c>
      <c r="G1065" s="102">
        <f t="shared" si="1236"/>
        <v>30783</v>
      </c>
      <c r="H1065" s="102">
        <f t="shared" ref="H1065" si="1237">H1079+H1111+H1098</f>
        <v>27514</v>
      </c>
      <c r="I1065" s="102">
        <f t="shared" si="1236"/>
        <v>30548</v>
      </c>
      <c r="J1065" s="102">
        <f t="shared" si="1236"/>
        <v>27317</v>
      </c>
      <c r="K1065" s="208">
        <f t="shared" ref="K1065:N1065" si="1238">K1079+K1111+K1098</f>
        <v>7525</v>
      </c>
      <c r="L1065" s="102">
        <f t="shared" si="1238"/>
        <v>7358</v>
      </c>
      <c r="M1065" s="102">
        <f t="shared" si="1238"/>
        <v>5861</v>
      </c>
      <c r="N1065" s="102">
        <f t="shared" si="1238"/>
        <v>6573</v>
      </c>
      <c r="O1065" s="30">
        <f t="shared" si="1213"/>
        <v>27317</v>
      </c>
      <c r="P1065" s="100">
        <f t="shared" si="1216"/>
        <v>0</v>
      </c>
      <c r="Q1065" s="102">
        <f t="shared" si="1236"/>
        <v>30100</v>
      </c>
      <c r="R1065" s="102">
        <f t="shared" si="1236"/>
        <v>30100</v>
      </c>
      <c r="S1065" s="102">
        <f t="shared" si="1236"/>
        <v>30100</v>
      </c>
    </row>
    <row r="1066" spans="1:19" ht="15" hidden="1" customHeight="1">
      <c r="A1066" s="12"/>
      <c r="B1066" s="116" t="s">
        <v>385</v>
      </c>
      <c r="C1066" s="135">
        <v>51</v>
      </c>
      <c r="D1066" s="46"/>
      <c r="E1066" s="30"/>
      <c r="F1066" s="46"/>
      <c r="G1066" s="30"/>
      <c r="H1066" s="30"/>
      <c r="I1066" s="30"/>
      <c r="J1066" s="30"/>
      <c r="K1066" s="64"/>
      <c r="L1066" s="30"/>
      <c r="M1066" s="30"/>
      <c r="N1066" s="30"/>
      <c r="O1066" s="30">
        <f t="shared" si="1213"/>
        <v>0</v>
      </c>
      <c r="P1066" s="100">
        <f t="shared" si="1216"/>
        <v>0</v>
      </c>
      <c r="Q1066" s="30"/>
      <c r="R1066" s="30"/>
      <c r="S1066" s="30"/>
    </row>
    <row r="1067" spans="1:19" ht="13.5" hidden="1" customHeight="1">
      <c r="A1067" s="12"/>
      <c r="B1067" s="116" t="s">
        <v>332</v>
      </c>
      <c r="C1067" s="135">
        <v>59.02</v>
      </c>
      <c r="D1067" s="46"/>
      <c r="E1067" s="30"/>
      <c r="F1067" s="46"/>
      <c r="G1067" s="30"/>
      <c r="H1067" s="30"/>
      <c r="I1067" s="30"/>
      <c r="J1067" s="30"/>
      <c r="K1067" s="64"/>
      <c r="L1067" s="30"/>
      <c r="M1067" s="30"/>
      <c r="N1067" s="30"/>
      <c r="O1067" s="30">
        <f t="shared" si="1213"/>
        <v>0</v>
      </c>
      <c r="P1067" s="100">
        <f t="shared" si="1216"/>
        <v>0</v>
      </c>
      <c r="Q1067" s="30"/>
      <c r="R1067" s="30"/>
      <c r="S1067" s="30"/>
    </row>
    <row r="1068" spans="1:19" ht="13.5" hidden="1" customHeight="1">
      <c r="A1068" s="12"/>
      <c r="B1068" s="116" t="s">
        <v>561</v>
      </c>
      <c r="C1068" s="135"/>
      <c r="D1068" s="102">
        <f t="shared" ref="D1068" si="1239">D1112</f>
        <v>0</v>
      </c>
      <c r="E1068" s="30"/>
      <c r="F1068" s="102">
        <f t="shared" ref="F1068" si="1240">F1112</f>
        <v>0</v>
      </c>
      <c r="G1068" s="30"/>
      <c r="H1068" s="30"/>
      <c r="I1068" s="30"/>
      <c r="J1068" s="30"/>
      <c r="K1068" s="64"/>
      <c r="L1068" s="30"/>
      <c r="M1068" s="30"/>
      <c r="N1068" s="30"/>
      <c r="O1068" s="30">
        <f t="shared" si="1213"/>
        <v>0</v>
      </c>
      <c r="P1068" s="100">
        <f t="shared" si="1216"/>
        <v>0</v>
      </c>
      <c r="Q1068" s="30"/>
      <c r="R1068" s="30"/>
      <c r="S1068" s="30"/>
    </row>
    <row r="1069" spans="1:19" ht="14.25">
      <c r="A1069" s="12"/>
      <c r="B1069" s="129" t="s">
        <v>164</v>
      </c>
      <c r="C1069" s="135"/>
      <c r="D1069" s="102">
        <f t="shared" ref="D1069:S1069" si="1241">D1081+D1113+D1164</f>
        <v>45283.94</v>
      </c>
      <c r="E1069" s="102">
        <f t="shared" si="1241"/>
        <v>106059.39</v>
      </c>
      <c r="F1069" s="102">
        <f t="shared" si="1241"/>
        <v>95991</v>
      </c>
      <c r="G1069" s="102">
        <f t="shared" si="1241"/>
        <v>106059.39</v>
      </c>
      <c r="H1069" s="102">
        <f t="shared" ref="H1069" si="1242">H1081+H1113+H1164</f>
        <v>65678.2</v>
      </c>
      <c r="I1069" s="102">
        <f t="shared" si="1241"/>
        <v>264736</v>
      </c>
      <c r="J1069" s="102">
        <f t="shared" si="1241"/>
        <v>137903</v>
      </c>
      <c r="K1069" s="208">
        <f t="shared" ref="K1069:N1069" si="1243">K1081+K1113+K1164</f>
        <v>11950</v>
      </c>
      <c r="L1069" s="102">
        <f t="shared" si="1243"/>
        <v>35757</v>
      </c>
      <c r="M1069" s="102">
        <f t="shared" si="1243"/>
        <v>43840</v>
      </c>
      <c r="N1069" s="102">
        <f t="shared" si="1243"/>
        <v>46356</v>
      </c>
      <c r="O1069" s="30">
        <f t="shared" si="1213"/>
        <v>137903</v>
      </c>
      <c r="P1069" s="100">
        <f t="shared" si="1216"/>
        <v>0</v>
      </c>
      <c r="Q1069" s="102">
        <f t="shared" si="1241"/>
        <v>37280</v>
      </c>
      <c r="R1069" s="102">
        <f t="shared" si="1241"/>
        <v>12930</v>
      </c>
      <c r="S1069" s="102">
        <f t="shared" si="1241"/>
        <v>15962</v>
      </c>
    </row>
    <row r="1070" spans="1:19" ht="14.25">
      <c r="A1070" s="12"/>
      <c r="B1070" s="116" t="s">
        <v>386</v>
      </c>
      <c r="C1070" s="135">
        <v>55</v>
      </c>
      <c r="D1070" s="102">
        <f t="shared" ref="D1070:S1070" si="1244">D1082+D1165</f>
        <v>950.47</v>
      </c>
      <c r="E1070" s="102">
        <f t="shared" si="1244"/>
        <v>945</v>
      </c>
      <c r="F1070" s="102">
        <f t="shared" si="1244"/>
        <v>945</v>
      </c>
      <c r="G1070" s="102">
        <f t="shared" si="1244"/>
        <v>945</v>
      </c>
      <c r="H1070" s="102">
        <f t="shared" ref="H1070" si="1245">H1082+H1165</f>
        <v>0</v>
      </c>
      <c r="I1070" s="102">
        <f t="shared" si="1244"/>
        <v>16843</v>
      </c>
      <c r="J1070" s="102">
        <f t="shared" si="1244"/>
        <v>936</v>
      </c>
      <c r="K1070" s="208">
        <f t="shared" ref="K1070:N1070" si="1246">K1082+K1165</f>
        <v>234</v>
      </c>
      <c r="L1070" s="102">
        <f t="shared" si="1246"/>
        <v>234</v>
      </c>
      <c r="M1070" s="102">
        <f t="shared" si="1246"/>
        <v>234</v>
      </c>
      <c r="N1070" s="102">
        <f t="shared" si="1246"/>
        <v>234</v>
      </c>
      <c r="O1070" s="30">
        <f t="shared" si="1213"/>
        <v>936</v>
      </c>
      <c r="P1070" s="100">
        <f t="shared" si="1216"/>
        <v>0</v>
      </c>
      <c r="Q1070" s="102">
        <f t="shared" si="1244"/>
        <v>936</v>
      </c>
      <c r="R1070" s="102">
        <f t="shared" si="1244"/>
        <v>936</v>
      </c>
      <c r="S1070" s="102">
        <f t="shared" si="1244"/>
        <v>936</v>
      </c>
    </row>
    <row r="1071" spans="1:19" ht="29.25" hidden="1" customHeight="1">
      <c r="A1071" s="12"/>
      <c r="B1071" s="263" t="s">
        <v>387</v>
      </c>
      <c r="C1071" s="264" t="s">
        <v>388</v>
      </c>
      <c r="D1071" s="102">
        <f t="shared" ref="D1071" si="1247">D1165</f>
        <v>0</v>
      </c>
      <c r="E1071" s="30"/>
      <c r="F1071" s="102">
        <f t="shared" ref="F1071" si="1248">F1165</f>
        <v>0</v>
      </c>
      <c r="G1071" s="30"/>
      <c r="H1071" s="30"/>
      <c r="I1071" s="30"/>
      <c r="J1071" s="30"/>
      <c r="K1071" s="64"/>
      <c r="L1071" s="30"/>
      <c r="M1071" s="30"/>
      <c r="N1071" s="30"/>
      <c r="O1071" s="30">
        <f t="shared" si="1213"/>
        <v>0</v>
      </c>
      <c r="P1071" s="100">
        <f t="shared" si="1216"/>
        <v>0</v>
      </c>
      <c r="Q1071" s="30"/>
      <c r="R1071" s="30"/>
      <c r="S1071" s="30"/>
    </row>
    <row r="1072" spans="1:19" ht="15.75" hidden="1" customHeight="1">
      <c r="A1072" s="12"/>
      <c r="B1072" s="129" t="s">
        <v>173</v>
      </c>
      <c r="C1072" s="135">
        <v>56</v>
      </c>
      <c r="D1072" s="46"/>
      <c r="E1072" s="30"/>
      <c r="F1072" s="46"/>
      <c r="G1072" s="30"/>
      <c r="H1072" s="30"/>
      <c r="I1072" s="30"/>
      <c r="J1072" s="30"/>
      <c r="K1072" s="64"/>
      <c r="L1072" s="30"/>
      <c r="M1072" s="30"/>
      <c r="N1072" s="30"/>
      <c r="O1072" s="30">
        <f t="shared" si="1213"/>
        <v>0</v>
      </c>
      <c r="P1072" s="100">
        <f t="shared" si="1216"/>
        <v>0</v>
      </c>
      <c r="Q1072" s="30"/>
      <c r="R1072" s="30"/>
      <c r="S1072" s="30"/>
    </row>
    <row r="1073" spans="1:21" ht="15.75" customHeight="1">
      <c r="A1073" s="12"/>
      <c r="B1073" s="129" t="s">
        <v>173</v>
      </c>
      <c r="C1073" s="135">
        <v>58</v>
      </c>
      <c r="D1073" s="102">
        <f t="shared" ref="D1073:S1073" si="1249">D1144+D1150+D1156</f>
        <v>0</v>
      </c>
      <c r="E1073" s="102">
        <f t="shared" si="1249"/>
        <v>64080</v>
      </c>
      <c r="F1073" s="102">
        <f t="shared" si="1249"/>
        <v>64080</v>
      </c>
      <c r="G1073" s="102">
        <f t="shared" si="1249"/>
        <v>64080</v>
      </c>
      <c r="H1073" s="102">
        <f t="shared" ref="H1073" si="1250">H1144+H1150+H1156</f>
        <v>42430</v>
      </c>
      <c r="I1073" s="102">
        <f t="shared" si="1249"/>
        <v>96830</v>
      </c>
      <c r="J1073" s="102">
        <f t="shared" si="1249"/>
        <v>96830</v>
      </c>
      <c r="K1073" s="208">
        <f t="shared" ref="K1073:N1073" si="1251">K1144+K1150+K1156</f>
        <v>998</v>
      </c>
      <c r="L1073" s="102">
        <f t="shared" si="1251"/>
        <v>32765</v>
      </c>
      <c r="M1073" s="102">
        <f t="shared" si="1251"/>
        <v>38000</v>
      </c>
      <c r="N1073" s="102">
        <f t="shared" si="1251"/>
        <v>25067</v>
      </c>
      <c r="O1073" s="30">
        <f t="shared" si="1213"/>
        <v>96830</v>
      </c>
      <c r="P1073" s="100">
        <f t="shared" si="1216"/>
        <v>0</v>
      </c>
      <c r="Q1073" s="102">
        <f t="shared" si="1249"/>
        <v>30648</v>
      </c>
      <c r="R1073" s="102">
        <f t="shared" si="1249"/>
        <v>0</v>
      </c>
      <c r="S1073" s="102">
        <f t="shared" si="1249"/>
        <v>0</v>
      </c>
    </row>
    <row r="1074" spans="1:21" ht="14.25">
      <c r="A1074" s="12"/>
      <c r="B1074" s="116" t="s">
        <v>193</v>
      </c>
      <c r="C1074" s="135">
        <v>70</v>
      </c>
      <c r="D1074" s="102">
        <f t="shared" ref="D1074:S1074" si="1252">D1116</f>
        <v>44333.47</v>
      </c>
      <c r="E1074" s="102">
        <f t="shared" si="1252"/>
        <v>41034.39</v>
      </c>
      <c r="F1074" s="102">
        <f t="shared" si="1252"/>
        <v>30966</v>
      </c>
      <c r="G1074" s="102">
        <f t="shared" si="1252"/>
        <v>41034.39</v>
      </c>
      <c r="H1074" s="102">
        <f t="shared" ref="H1074" si="1253">H1116</f>
        <v>23248.2</v>
      </c>
      <c r="I1074" s="102">
        <f t="shared" si="1252"/>
        <v>151063</v>
      </c>
      <c r="J1074" s="102">
        <f t="shared" si="1252"/>
        <v>40137</v>
      </c>
      <c r="K1074" s="208">
        <f t="shared" ref="K1074:N1074" si="1254">K1116</f>
        <v>10718</v>
      </c>
      <c r="L1074" s="102">
        <f t="shared" si="1254"/>
        <v>2758</v>
      </c>
      <c r="M1074" s="102">
        <f t="shared" si="1254"/>
        <v>5606</v>
      </c>
      <c r="N1074" s="102">
        <f t="shared" si="1254"/>
        <v>21055</v>
      </c>
      <c r="O1074" s="30">
        <f t="shared" si="1213"/>
        <v>40137</v>
      </c>
      <c r="P1074" s="100">
        <f t="shared" si="1216"/>
        <v>0</v>
      </c>
      <c r="Q1074" s="102">
        <f t="shared" si="1252"/>
        <v>5696</v>
      </c>
      <c r="R1074" s="102">
        <f t="shared" si="1252"/>
        <v>11994</v>
      </c>
      <c r="S1074" s="102">
        <f t="shared" si="1252"/>
        <v>15026</v>
      </c>
    </row>
    <row r="1075" spans="1:21" ht="15" hidden="1" customHeight="1">
      <c r="A1075" s="12"/>
      <c r="B1075" s="129" t="s">
        <v>163</v>
      </c>
      <c r="C1075" s="37">
        <v>85.01</v>
      </c>
      <c r="D1075" s="46"/>
      <c r="E1075" s="30"/>
      <c r="F1075" s="46"/>
      <c r="G1075" s="30"/>
      <c r="H1075" s="30"/>
      <c r="I1075" s="30"/>
      <c r="J1075" s="30"/>
      <c r="K1075" s="64"/>
      <c r="L1075" s="30"/>
      <c r="M1075" s="30"/>
      <c r="N1075" s="30"/>
      <c r="O1075" s="30">
        <f t="shared" si="1213"/>
        <v>0</v>
      </c>
      <c r="P1075" s="100">
        <f t="shared" si="1216"/>
        <v>0</v>
      </c>
      <c r="Q1075" s="30"/>
      <c r="R1075" s="30"/>
      <c r="S1075" s="30"/>
    </row>
    <row r="1076" spans="1:21" ht="14.25">
      <c r="A1076" s="180">
        <v>1</v>
      </c>
      <c r="B1076" s="241" t="s">
        <v>595</v>
      </c>
      <c r="C1076" s="242">
        <v>80.02</v>
      </c>
      <c r="D1076" s="140">
        <f t="shared" ref="D1076:S1076" si="1255">D1083+D1086</f>
        <v>1013.47</v>
      </c>
      <c r="E1076" s="140">
        <f t="shared" si="1255"/>
        <v>1045</v>
      </c>
      <c r="F1076" s="140">
        <f t="shared" si="1255"/>
        <v>1045</v>
      </c>
      <c r="G1076" s="140">
        <f t="shared" si="1255"/>
        <v>1045</v>
      </c>
      <c r="H1076" s="140">
        <f t="shared" ref="H1076" si="1256">H1083+H1086</f>
        <v>57</v>
      </c>
      <c r="I1076" s="140">
        <f t="shared" si="1255"/>
        <v>1036</v>
      </c>
      <c r="J1076" s="140">
        <f t="shared" si="1255"/>
        <v>1036</v>
      </c>
      <c r="K1076" s="209">
        <f t="shared" ref="K1076:N1076" si="1257">K1083+K1086</f>
        <v>259</v>
      </c>
      <c r="L1076" s="140">
        <f t="shared" si="1257"/>
        <v>259</v>
      </c>
      <c r="M1076" s="140">
        <f t="shared" si="1257"/>
        <v>259</v>
      </c>
      <c r="N1076" s="140">
        <f t="shared" si="1257"/>
        <v>259</v>
      </c>
      <c r="O1076" s="30">
        <f t="shared" si="1213"/>
        <v>1036</v>
      </c>
      <c r="P1076" s="100">
        <f t="shared" si="1216"/>
        <v>0</v>
      </c>
      <c r="Q1076" s="151">
        <f t="shared" si="1255"/>
        <v>1036</v>
      </c>
      <c r="R1076" s="151">
        <f t="shared" si="1255"/>
        <v>1036</v>
      </c>
      <c r="S1076" s="151">
        <f t="shared" si="1255"/>
        <v>1036</v>
      </c>
    </row>
    <row r="1077" spans="1:21" ht="14.25">
      <c r="A1077" s="12"/>
      <c r="B1077" s="129" t="s">
        <v>152</v>
      </c>
      <c r="C1077" s="37"/>
      <c r="D1077" s="138">
        <f t="shared" ref="D1077:S1078" si="1258">D1087+D1091</f>
        <v>63</v>
      </c>
      <c r="E1077" s="138">
        <f t="shared" si="1258"/>
        <v>100</v>
      </c>
      <c r="F1077" s="138">
        <f t="shared" si="1258"/>
        <v>100</v>
      </c>
      <c r="G1077" s="138">
        <f t="shared" si="1258"/>
        <v>100</v>
      </c>
      <c r="H1077" s="138">
        <f t="shared" ref="H1077" si="1259">H1087+H1091</f>
        <v>57</v>
      </c>
      <c r="I1077" s="138">
        <f t="shared" si="1258"/>
        <v>100</v>
      </c>
      <c r="J1077" s="138">
        <f t="shared" si="1258"/>
        <v>100</v>
      </c>
      <c r="K1077" s="206">
        <f t="shared" ref="K1077:N1077" si="1260">K1087+K1091</f>
        <v>25</v>
      </c>
      <c r="L1077" s="138">
        <f t="shared" si="1260"/>
        <v>25</v>
      </c>
      <c r="M1077" s="138">
        <f t="shared" si="1260"/>
        <v>25</v>
      </c>
      <c r="N1077" s="138">
        <f t="shared" si="1260"/>
        <v>25</v>
      </c>
      <c r="O1077" s="30">
        <f t="shared" si="1213"/>
        <v>100</v>
      </c>
      <c r="P1077" s="100">
        <f t="shared" si="1216"/>
        <v>0</v>
      </c>
      <c r="Q1077" s="138">
        <f t="shared" si="1258"/>
        <v>100</v>
      </c>
      <c r="R1077" s="138">
        <f t="shared" si="1258"/>
        <v>100</v>
      </c>
      <c r="S1077" s="138">
        <f t="shared" si="1258"/>
        <v>100</v>
      </c>
    </row>
    <row r="1078" spans="1:21" ht="14.25">
      <c r="A1078" s="12"/>
      <c r="B1078" s="116" t="s">
        <v>153</v>
      </c>
      <c r="C1078" s="135">
        <v>1</v>
      </c>
      <c r="D1078" s="102">
        <f t="shared" si="1258"/>
        <v>63</v>
      </c>
      <c r="E1078" s="102">
        <f t="shared" si="1258"/>
        <v>100</v>
      </c>
      <c r="F1078" s="102">
        <f t="shared" si="1258"/>
        <v>100</v>
      </c>
      <c r="G1078" s="102">
        <f t="shared" si="1258"/>
        <v>100</v>
      </c>
      <c r="H1078" s="102">
        <f t="shared" ref="H1078" si="1261">H1088+H1092</f>
        <v>57</v>
      </c>
      <c r="I1078" s="102">
        <f t="shared" si="1258"/>
        <v>100</v>
      </c>
      <c r="J1078" s="102">
        <f t="shared" si="1258"/>
        <v>100</v>
      </c>
      <c r="K1078" s="208">
        <f t="shared" ref="K1078:N1078" si="1262">K1088+K1092</f>
        <v>25</v>
      </c>
      <c r="L1078" s="102">
        <f t="shared" si="1262"/>
        <v>25</v>
      </c>
      <c r="M1078" s="102">
        <f t="shared" si="1262"/>
        <v>25</v>
      </c>
      <c r="N1078" s="102">
        <f t="shared" si="1262"/>
        <v>25</v>
      </c>
      <c r="O1078" s="30">
        <f t="shared" si="1213"/>
        <v>100</v>
      </c>
      <c r="P1078" s="100">
        <f t="shared" si="1216"/>
        <v>0</v>
      </c>
      <c r="Q1078" s="102">
        <f t="shared" si="1258"/>
        <v>100</v>
      </c>
      <c r="R1078" s="102">
        <f t="shared" si="1258"/>
        <v>100</v>
      </c>
      <c r="S1078" s="102">
        <f t="shared" si="1258"/>
        <v>100</v>
      </c>
    </row>
    <row r="1079" spans="1:21" ht="14.25">
      <c r="A1079" s="12"/>
      <c r="B1079" s="116" t="s">
        <v>389</v>
      </c>
      <c r="C1079" s="135">
        <v>20</v>
      </c>
      <c r="D1079" s="102">
        <f t="shared" ref="D1079:S1079" si="1263">D1089</f>
        <v>63</v>
      </c>
      <c r="E1079" s="102">
        <f t="shared" si="1263"/>
        <v>100</v>
      </c>
      <c r="F1079" s="102">
        <f t="shared" si="1263"/>
        <v>100</v>
      </c>
      <c r="G1079" s="102">
        <f t="shared" si="1263"/>
        <v>100</v>
      </c>
      <c r="H1079" s="102">
        <f t="shared" ref="H1079" si="1264">H1089</f>
        <v>57</v>
      </c>
      <c r="I1079" s="102">
        <f t="shared" si="1263"/>
        <v>100</v>
      </c>
      <c r="J1079" s="102">
        <f t="shared" si="1263"/>
        <v>100</v>
      </c>
      <c r="K1079" s="208">
        <f t="shared" ref="K1079:N1079" si="1265">K1089</f>
        <v>25</v>
      </c>
      <c r="L1079" s="102">
        <f t="shared" si="1265"/>
        <v>25</v>
      </c>
      <c r="M1079" s="102">
        <f t="shared" si="1265"/>
        <v>25</v>
      </c>
      <c r="N1079" s="102">
        <f t="shared" si="1265"/>
        <v>25</v>
      </c>
      <c r="O1079" s="30">
        <f t="shared" si="1213"/>
        <v>100</v>
      </c>
      <c r="P1079" s="100">
        <f t="shared" si="1216"/>
        <v>0</v>
      </c>
      <c r="Q1079" s="102">
        <f t="shared" si="1263"/>
        <v>100</v>
      </c>
      <c r="R1079" s="102">
        <f t="shared" si="1263"/>
        <v>100</v>
      </c>
      <c r="S1079" s="102">
        <f t="shared" si="1263"/>
        <v>100</v>
      </c>
    </row>
    <row r="1080" spans="1:21" ht="0.75" customHeight="1">
      <c r="A1080" s="12"/>
      <c r="B1080" s="116" t="s">
        <v>332</v>
      </c>
      <c r="C1080" s="135">
        <v>59.02</v>
      </c>
      <c r="D1080" s="46"/>
      <c r="E1080" s="30"/>
      <c r="F1080" s="46"/>
      <c r="G1080" s="30"/>
      <c r="H1080" s="30"/>
      <c r="I1080" s="30"/>
      <c r="J1080" s="30"/>
      <c r="K1080" s="64"/>
      <c r="L1080" s="30"/>
      <c r="M1080" s="30"/>
      <c r="N1080" s="30"/>
      <c r="O1080" s="30">
        <f t="shared" si="1213"/>
        <v>0</v>
      </c>
      <c r="P1080" s="100">
        <f t="shared" si="1216"/>
        <v>0</v>
      </c>
      <c r="Q1080" s="30"/>
      <c r="R1080" s="30"/>
      <c r="S1080" s="30"/>
    </row>
    <row r="1081" spans="1:21" ht="14.25" customHeight="1">
      <c r="A1081" s="12"/>
      <c r="B1081" s="116" t="s">
        <v>164</v>
      </c>
      <c r="C1081" s="135"/>
      <c r="D1081" s="102">
        <f t="shared" ref="D1081:S1082" si="1266">D1084</f>
        <v>950.47</v>
      </c>
      <c r="E1081" s="102">
        <f t="shared" si="1266"/>
        <v>945</v>
      </c>
      <c r="F1081" s="102">
        <f t="shared" si="1266"/>
        <v>945</v>
      </c>
      <c r="G1081" s="102">
        <f t="shared" si="1266"/>
        <v>945</v>
      </c>
      <c r="H1081" s="102">
        <f t="shared" ref="H1081" si="1267">H1084</f>
        <v>0</v>
      </c>
      <c r="I1081" s="102">
        <f t="shared" si="1266"/>
        <v>936</v>
      </c>
      <c r="J1081" s="102">
        <f t="shared" si="1266"/>
        <v>936</v>
      </c>
      <c r="K1081" s="208">
        <f t="shared" ref="K1081:N1081" si="1268">K1084</f>
        <v>234</v>
      </c>
      <c r="L1081" s="102">
        <f t="shared" si="1268"/>
        <v>234</v>
      </c>
      <c r="M1081" s="102">
        <f t="shared" si="1268"/>
        <v>234</v>
      </c>
      <c r="N1081" s="102">
        <f t="shared" si="1268"/>
        <v>234</v>
      </c>
      <c r="O1081" s="30">
        <f t="shared" si="1213"/>
        <v>936</v>
      </c>
      <c r="P1081" s="100">
        <f t="shared" si="1216"/>
        <v>0</v>
      </c>
      <c r="Q1081" s="102">
        <f t="shared" si="1266"/>
        <v>936</v>
      </c>
      <c r="R1081" s="102">
        <f t="shared" si="1266"/>
        <v>936</v>
      </c>
      <c r="S1081" s="102">
        <f t="shared" si="1266"/>
        <v>936</v>
      </c>
    </row>
    <row r="1082" spans="1:21" ht="14.25">
      <c r="A1082" s="12"/>
      <c r="B1082" s="116" t="s">
        <v>386</v>
      </c>
      <c r="C1082" s="135">
        <v>55</v>
      </c>
      <c r="D1082" s="102">
        <f t="shared" si="1266"/>
        <v>950.47</v>
      </c>
      <c r="E1082" s="102">
        <f t="shared" si="1266"/>
        <v>945</v>
      </c>
      <c r="F1082" s="102">
        <f t="shared" si="1266"/>
        <v>945</v>
      </c>
      <c r="G1082" s="102">
        <f t="shared" si="1266"/>
        <v>945</v>
      </c>
      <c r="H1082" s="102">
        <f t="shared" ref="H1082" si="1269">H1085</f>
        <v>0</v>
      </c>
      <c r="I1082" s="102">
        <f t="shared" si="1266"/>
        <v>936</v>
      </c>
      <c r="J1082" s="102">
        <f t="shared" si="1266"/>
        <v>936</v>
      </c>
      <c r="K1082" s="208">
        <f t="shared" ref="K1082:N1082" si="1270">K1085</f>
        <v>234</v>
      </c>
      <c r="L1082" s="102">
        <f t="shared" si="1270"/>
        <v>234</v>
      </c>
      <c r="M1082" s="102">
        <f t="shared" si="1270"/>
        <v>234</v>
      </c>
      <c r="N1082" s="102">
        <f t="shared" si="1270"/>
        <v>234</v>
      </c>
      <c r="O1082" s="30">
        <f t="shared" si="1213"/>
        <v>936</v>
      </c>
      <c r="P1082" s="100">
        <f t="shared" si="1216"/>
        <v>0</v>
      </c>
      <c r="Q1082" s="102">
        <f t="shared" si="1266"/>
        <v>936</v>
      </c>
      <c r="R1082" s="102">
        <f t="shared" si="1266"/>
        <v>936</v>
      </c>
      <c r="S1082" s="102">
        <f t="shared" si="1266"/>
        <v>936</v>
      </c>
    </row>
    <row r="1083" spans="1:21" ht="14.25">
      <c r="A1083" s="12" t="s">
        <v>255</v>
      </c>
      <c r="B1083" s="277" t="s">
        <v>390</v>
      </c>
      <c r="C1083" s="243" t="s">
        <v>391</v>
      </c>
      <c r="D1083" s="271">
        <f t="shared" ref="D1083:S1084" si="1271">D1084</f>
        <v>950.47</v>
      </c>
      <c r="E1083" s="271">
        <f t="shared" si="1271"/>
        <v>945</v>
      </c>
      <c r="F1083" s="271">
        <f t="shared" si="1271"/>
        <v>945</v>
      </c>
      <c r="G1083" s="271">
        <f t="shared" si="1271"/>
        <v>945</v>
      </c>
      <c r="H1083" s="271">
        <f t="shared" si="1271"/>
        <v>0</v>
      </c>
      <c r="I1083" s="271">
        <f t="shared" si="1271"/>
        <v>936</v>
      </c>
      <c r="J1083" s="271">
        <f t="shared" si="1271"/>
        <v>936</v>
      </c>
      <c r="K1083" s="272">
        <f t="shared" si="1271"/>
        <v>234</v>
      </c>
      <c r="L1083" s="271">
        <f t="shared" si="1271"/>
        <v>234</v>
      </c>
      <c r="M1083" s="271">
        <f t="shared" si="1271"/>
        <v>234</v>
      </c>
      <c r="N1083" s="271">
        <f t="shared" si="1271"/>
        <v>234</v>
      </c>
      <c r="O1083" s="273">
        <f t="shared" si="1213"/>
        <v>936</v>
      </c>
      <c r="P1083" s="271">
        <f t="shared" si="1216"/>
        <v>0</v>
      </c>
      <c r="Q1083" s="271">
        <f t="shared" si="1271"/>
        <v>936</v>
      </c>
      <c r="R1083" s="271">
        <f t="shared" si="1271"/>
        <v>936</v>
      </c>
      <c r="S1083" s="271">
        <f t="shared" si="1271"/>
        <v>936</v>
      </c>
    </row>
    <row r="1084" spans="1:21" ht="14.25">
      <c r="A1084" s="12"/>
      <c r="B1084" s="129" t="s">
        <v>164</v>
      </c>
      <c r="C1084" s="37"/>
      <c r="D1084" s="138">
        <f t="shared" si="1271"/>
        <v>950.47</v>
      </c>
      <c r="E1084" s="138">
        <f t="shared" si="1271"/>
        <v>945</v>
      </c>
      <c r="F1084" s="138">
        <f t="shared" si="1271"/>
        <v>945</v>
      </c>
      <c r="G1084" s="138">
        <f t="shared" si="1271"/>
        <v>945</v>
      </c>
      <c r="H1084" s="138">
        <f t="shared" si="1271"/>
        <v>0</v>
      </c>
      <c r="I1084" s="138">
        <f t="shared" si="1271"/>
        <v>936</v>
      </c>
      <c r="J1084" s="138">
        <f t="shared" si="1271"/>
        <v>936</v>
      </c>
      <c r="K1084" s="206">
        <f t="shared" si="1271"/>
        <v>234</v>
      </c>
      <c r="L1084" s="138">
        <f t="shared" si="1271"/>
        <v>234</v>
      </c>
      <c r="M1084" s="138">
        <f t="shared" si="1271"/>
        <v>234</v>
      </c>
      <c r="N1084" s="138">
        <f t="shared" si="1271"/>
        <v>234</v>
      </c>
      <c r="O1084" s="30">
        <f t="shared" si="1213"/>
        <v>936</v>
      </c>
      <c r="P1084" s="100">
        <f t="shared" si="1216"/>
        <v>0</v>
      </c>
      <c r="Q1084" s="138">
        <f t="shared" si="1271"/>
        <v>936</v>
      </c>
      <c r="R1084" s="138">
        <f t="shared" si="1271"/>
        <v>936</v>
      </c>
      <c r="S1084" s="138">
        <f t="shared" si="1271"/>
        <v>936</v>
      </c>
    </row>
    <row r="1085" spans="1:21" ht="14.25">
      <c r="A1085" s="12"/>
      <c r="B1085" s="116" t="s">
        <v>386</v>
      </c>
      <c r="C1085" s="135" t="s">
        <v>192</v>
      </c>
      <c r="D1085" s="46">
        <v>950.47</v>
      </c>
      <c r="E1085" s="30">
        <v>945</v>
      </c>
      <c r="F1085" s="46">
        <v>945</v>
      </c>
      <c r="G1085" s="30">
        <v>945</v>
      </c>
      <c r="H1085" s="30"/>
      <c r="I1085" s="30">
        <v>936</v>
      </c>
      <c r="J1085" s="30">
        <v>936</v>
      </c>
      <c r="K1085" s="64">
        <v>234</v>
      </c>
      <c r="L1085" s="30">
        <v>234</v>
      </c>
      <c r="M1085" s="30">
        <v>234</v>
      </c>
      <c r="N1085" s="30">
        <v>234</v>
      </c>
      <c r="O1085" s="30">
        <f t="shared" si="1213"/>
        <v>936</v>
      </c>
      <c r="P1085" s="100">
        <f t="shared" si="1216"/>
        <v>0</v>
      </c>
      <c r="Q1085" s="30">
        <v>936</v>
      </c>
      <c r="R1085" s="30">
        <v>936</v>
      </c>
      <c r="S1085" s="30">
        <v>936</v>
      </c>
      <c r="U1085" s="40"/>
    </row>
    <row r="1086" spans="1:21" ht="25.5">
      <c r="A1086" s="12" t="s">
        <v>273</v>
      </c>
      <c r="B1086" s="269" t="s">
        <v>469</v>
      </c>
      <c r="C1086" s="243" t="s">
        <v>392</v>
      </c>
      <c r="D1086" s="271">
        <f t="shared" ref="D1086:S1088" si="1272">D1087</f>
        <v>63</v>
      </c>
      <c r="E1086" s="271">
        <f t="shared" si="1272"/>
        <v>100</v>
      </c>
      <c r="F1086" s="271">
        <f t="shared" si="1272"/>
        <v>100</v>
      </c>
      <c r="G1086" s="271">
        <f t="shared" si="1272"/>
        <v>100</v>
      </c>
      <c r="H1086" s="271">
        <f t="shared" si="1272"/>
        <v>57</v>
      </c>
      <c r="I1086" s="271">
        <f t="shared" si="1272"/>
        <v>100</v>
      </c>
      <c r="J1086" s="271">
        <f t="shared" si="1272"/>
        <v>100</v>
      </c>
      <c r="K1086" s="272">
        <f t="shared" si="1272"/>
        <v>25</v>
      </c>
      <c r="L1086" s="271">
        <f t="shared" si="1272"/>
        <v>25</v>
      </c>
      <c r="M1086" s="271">
        <f t="shared" si="1272"/>
        <v>25</v>
      </c>
      <c r="N1086" s="271">
        <f t="shared" si="1272"/>
        <v>25</v>
      </c>
      <c r="O1086" s="273">
        <f t="shared" si="1213"/>
        <v>100</v>
      </c>
      <c r="P1086" s="271">
        <f t="shared" si="1216"/>
        <v>0</v>
      </c>
      <c r="Q1086" s="271">
        <f t="shared" si="1272"/>
        <v>100</v>
      </c>
      <c r="R1086" s="271">
        <f t="shared" si="1272"/>
        <v>100</v>
      </c>
      <c r="S1086" s="271">
        <f t="shared" si="1272"/>
        <v>100</v>
      </c>
    </row>
    <row r="1087" spans="1:21" ht="14.25">
      <c r="A1087" s="12"/>
      <c r="B1087" s="129" t="s">
        <v>152</v>
      </c>
      <c r="C1087" s="135"/>
      <c r="D1087" s="138">
        <f t="shared" si="1272"/>
        <v>63</v>
      </c>
      <c r="E1087" s="138">
        <f t="shared" si="1272"/>
        <v>100</v>
      </c>
      <c r="F1087" s="138">
        <f t="shared" si="1272"/>
        <v>100</v>
      </c>
      <c r="G1087" s="138">
        <f t="shared" si="1272"/>
        <v>100</v>
      </c>
      <c r="H1087" s="138">
        <f t="shared" si="1272"/>
        <v>57</v>
      </c>
      <c r="I1087" s="138">
        <f t="shared" si="1272"/>
        <v>100</v>
      </c>
      <c r="J1087" s="138">
        <f t="shared" si="1272"/>
        <v>100</v>
      </c>
      <c r="K1087" s="206">
        <f t="shared" si="1272"/>
        <v>25</v>
      </c>
      <c r="L1087" s="138">
        <f t="shared" si="1272"/>
        <v>25</v>
      </c>
      <c r="M1087" s="138">
        <f t="shared" si="1272"/>
        <v>25</v>
      </c>
      <c r="N1087" s="138">
        <f t="shared" si="1272"/>
        <v>25</v>
      </c>
      <c r="O1087" s="30">
        <f t="shared" si="1213"/>
        <v>100</v>
      </c>
      <c r="P1087" s="100">
        <f t="shared" si="1216"/>
        <v>0</v>
      </c>
      <c r="Q1087" s="138">
        <f t="shared" si="1272"/>
        <v>100</v>
      </c>
      <c r="R1087" s="138">
        <f t="shared" si="1272"/>
        <v>100</v>
      </c>
      <c r="S1087" s="138">
        <f t="shared" si="1272"/>
        <v>100</v>
      </c>
    </row>
    <row r="1088" spans="1:21" ht="17.25" customHeight="1">
      <c r="A1088" s="12"/>
      <c r="B1088" s="116" t="s">
        <v>153</v>
      </c>
      <c r="C1088" s="135">
        <v>1</v>
      </c>
      <c r="D1088" s="102">
        <f t="shared" si="1272"/>
        <v>63</v>
      </c>
      <c r="E1088" s="102">
        <f t="shared" si="1272"/>
        <v>100</v>
      </c>
      <c r="F1088" s="102">
        <f t="shared" si="1272"/>
        <v>100</v>
      </c>
      <c r="G1088" s="102">
        <f t="shared" si="1272"/>
        <v>100</v>
      </c>
      <c r="H1088" s="102">
        <f t="shared" si="1272"/>
        <v>57</v>
      </c>
      <c r="I1088" s="102">
        <f t="shared" si="1272"/>
        <v>100</v>
      </c>
      <c r="J1088" s="102">
        <f t="shared" si="1272"/>
        <v>100</v>
      </c>
      <c r="K1088" s="208">
        <f t="shared" si="1272"/>
        <v>25</v>
      </c>
      <c r="L1088" s="102">
        <f t="shared" si="1272"/>
        <v>25</v>
      </c>
      <c r="M1088" s="102">
        <f t="shared" si="1272"/>
        <v>25</v>
      </c>
      <c r="N1088" s="102">
        <f t="shared" si="1272"/>
        <v>25</v>
      </c>
      <c r="O1088" s="30">
        <f t="shared" si="1213"/>
        <v>100</v>
      </c>
      <c r="P1088" s="100">
        <f t="shared" si="1216"/>
        <v>0</v>
      </c>
      <c r="Q1088" s="102">
        <f t="shared" si="1272"/>
        <v>100</v>
      </c>
      <c r="R1088" s="102">
        <f t="shared" si="1272"/>
        <v>100</v>
      </c>
      <c r="S1088" s="102">
        <f t="shared" si="1272"/>
        <v>100</v>
      </c>
    </row>
    <row r="1089" spans="1:19" ht="15.75" customHeight="1">
      <c r="A1089" s="12"/>
      <c r="B1089" s="116" t="s">
        <v>581</v>
      </c>
      <c r="C1089" s="135" t="s">
        <v>393</v>
      </c>
      <c r="D1089" s="46">
        <v>63</v>
      </c>
      <c r="E1089" s="30">
        <v>100</v>
      </c>
      <c r="F1089" s="46">
        <v>100</v>
      </c>
      <c r="G1089" s="30">
        <v>100</v>
      </c>
      <c r="H1089" s="30">
        <v>57</v>
      </c>
      <c r="I1089" s="30">
        <v>100</v>
      </c>
      <c r="J1089" s="30">
        <v>100</v>
      </c>
      <c r="K1089" s="64">
        <v>25</v>
      </c>
      <c r="L1089" s="30">
        <v>25</v>
      </c>
      <c r="M1089" s="30">
        <v>25</v>
      </c>
      <c r="N1089" s="30">
        <v>25</v>
      </c>
      <c r="O1089" s="30">
        <f t="shared" si="1213"/>
        <v>100</v>
      </c>
      <c r="P1089" s="100">
        <f t="shared" si="1216"/>
        <v>0</v>
      </c>
      <c r="Q1089" s="30">
        <v>100</v>
      </c>
      <c r="R1089" s="30">
        <v>100</v>
      </c>
      <c r="S1089" s="30">
        <v>100</v>
      </c>
    </row>
    <row r="1090" spans="1:19" ht="15" hidden="1" customHeight="1">
      <c r="A1090" s="12" t="s">
        <v>372</v>
      </c>
      <c r="B1090" s="129" t="s">
        <v>394</v>
      </c>
      <c r="C1090" s="37" t="s">
        <v>395</v>
      </c>
      <c r="D1090" s="46"/>
      <c r="E1090" s="30"/>
      <c r="F1090" s="46"/>
      <c r="G1090" s="30"/>
      <c r="H1090" s="30"/>
      <c r="I1090" s="30"/>
      <c r="J1090" s="30"/>
      <c r="K1090" s="64"/>
      <c r="L1090" s="30"/>
      <c r="M1090" s="30"/>
      <c r="N1090" s="30"/>
      <c r="O1090" s="30">
        <f t="shared" si="1213"/>
        <v>0</v>
      </c>
      <c r="P1090" s="100">
        <f t="shared" si="1216"/>
        <v>0</v>
      </c>
      <c r="Q1090" s="30"/>
      <c r="R1090" s="30"/>
      <c r="S1090" s="30"/>
    </row>
    <row r="1091" spans="1:19" ht="15" hidden="1" customHeight="1">
      <c r="A1091" s="12"/>
      <c r="B1091" s="129" t="s">
        <v>152</v>
      </c>
      <c r="C1091" s="37"/>
      <c r="D1091" s="46"/>
      <c r="E1091" s="30"/>
      <c r="F1091" s="46"/>
      <c r="G1091" s="30"/>
      <c r="H1091" s="30"/>
      <c r="I1091" s="30"/>
      <c r="J1091" s="30"/>
      <c r="K1091" s="64"/>
      <c r="L1091" s="30"/>
      <c r="M1091" s="30"/>
      <c r="N1091" s="30"/>
      <c r="O1091" s="30">
        <f t="shared" si="1213"/>
        <v>0</v>
      </c>
      <c r="P1091" s="100">
        <f t="shared" si="1216"/>
        <v>0</v>
      </c>
      <c r="Q1091" s="30"/>
      <c r="R1091" s="30"/>
      <c r="S1091" s="30"/>
    </row>
    <row r="1092" spans="1:19" ht="15" hidden="1" customHeight="1">
      <c r="A1092" s="12"/>
      <c r="B1092" s="116" t="s">
        <v>153</v>
      </c>
      <c r="C1092" s="135">
        <v>1</v>
      </c>
      <c r="D1092" s="46"/>
      <c r="E1092" s="30"/>
      <c r="F1092" s="46"/>
      <c r="G1092" s="30"/>
      <c r="H1092" s="30"/>
      <c r="I1092" s="30"/>
      <c r="J1092" s="30"/>
      <c r="K1092" s="64"/>
      <c r="L1092" s="30"/>
      <c r="M1092" s="30"/>
      <c r="N1092" s="30"/>
      <c r="O1092" s="30">
        <f t="shared" si="1213"/>
        <v>0</v>
      </c>
      <c r="P1092" s="100">
        <f t="shared" si="1216"/>
        <v>0</v>
      </c>
      <c r="Q1092" s="30"/>
      <c r="R1092" s="30"/>
      <c r="S1092" s="30"/>
    </row>
    <row r="1093" spans="1:19" ht="15" hidden="1" customHeight="1">
      <c r="A1093" s="12"/>
      <c r="B1093" s="116" t="s">
        <v>396</v>
      </c>
      <c r="C1093" s="135">
        <v>59.02</v>
      </c>
      <c r="D1093" s="46"/>
      <c r="E1093" s="30"/>
      <c r="F1093" s="46"/>
      <c r="G1093" s="30"/>
      <c r="H1093" s="30"/>
      <c r="I1093" s="30"/>
      <c r="J1093" s="30"/>
      <c r="K1093" s="64"/>
      <c r="L1093" s="30"/>
      <c r="M1093" s="30"/>
      <c r="N1093" s="30"/>
      <c r="O1093" s="30">
        <f t="shared" si="1213"/>
        <v>0</v>
      </c>
      <c r="P1093" s="100">
        <f t="shared" si="1216"/>
        <v>0</v>
      </c>
      <c r="Q1093" s="30"/>
      <c r="R1093" s="30"/>
      <c r="S1093" s="30"/>
    </row>
    <row r="1094" spans="1:19" ht="15" hidden="1" customHeight="1">
      <c r="A1094" s="180">
        <v>2</v>
      </c>
      <c r="B1094" s="136" t="s">
        <v>397</v>
      </c>
      <c r="C1094" s="137">
        <v>83.02</v>
      </c>
      <c r="D1094" s="46"/>
      <c r="E1094" s="30"/>
      <c r="F1094" s="46"/>
      <c r="G1094" s="30"/>
      <c r="H1094" s="30"/>
      <c r="I1094" s="30"/>
      <c r="J1094" s="30"/>
      <c r="K1094" s="64"/>
      <c r="L1094" s="30"/>
      <c r="M1094" s="30"/>
      <c r="N1094" s="30"/>
      <c r="O1094" s="30">
        <f t="shared" si="1213"/>
        <v>0</v>
      </c>
      <c r="P1094" s="100">
        <f t="shared" si="1216"/>
        <v>0</v>
      </c>
      <c r="Q1094" s="30"/>
      <c r="R1094" s="30"/>
      <c r="S1094" s="30"/>
    </row>
    <row r="1095" spans="1:19" ht="15" hidden="1" customHeight="1">
      <c r="A1095" s="12"/>
      <c r="B1095" s="129" t="s">
        <v>398</v>
      </c>
      <c r="C1095" s="135" t="s">
        <v>399</v>
      </c>
      <c r="D1095" s="46"/>
      <c r="E1095" s="30"/>
      <c r="F1095" s="46"/>
      <c r="G1095" s="30"/>
      <c r="H1095" s="30"/>
      <c r="I1095" s="30"/>
      <c r="J1095" s="30"/>
      <c r="K1095" s="64"/>
      <c r="L1095" s="30"/>
      <c r="M1095" s="30"/>
      <c r="N1095" s="30"/>
      <c r="O1095" s="30">
        <f t="shared" si="1213"/>
        <v>0</v>
      </c>
      <c r="P1095" s="100">
        <f t="shared" si="1216"/>
        <v>0</v>
      </c>
      <c r="Q1095" s="30"/>
      <c r="R1095" s="30"/>
      <c r="S1095" s="30"/>
    </row>
    <row r="1096" spans="1:19" ht="15" hidden="1" customHeight="1">
      <c r="A1096" s="12"/>
      <c r="B1096" s="129" t="s">
        <v>152</v>
      </c>
      <c r="C1096" s="135"/>
      <c r="D1096" s="46"/>
      <c r="E1096" s="30"/>
      <c r="F1096" s="46"/>
      <c r="G1096" s="30"/>
      <c r="H1096" s="30"/>
      <c r="I1096" s="30"/>
      <c r="J1096" s="30"/>
      <c r="K1096" s="64"/>
      <c r="L1096" s="30"/>
      <c r="M1096" s="30"/>
      <c r="N1096" s="30"/>
      <c r="O1096" s="30">
        <f t="shared" si="1213"/>
        <v>0</v>
      </c>
      <c r="P1096" s="100">
        <f t="shared" si="1216"/>
        <v>0</v>
      </c>
      <c r="Q1096" s="30"/>
      <c r="R1096" s="30"/>
      <c r="S1096" s="30"/>
    </row>
    <row r="1097" spans="1:19" ht="15" hidden="1" customHeight="1">
      <c r="A1097" s="12"/>
      <c r="B1097" s="116" t="s">
        <v>153</v>
      </c>
      <c r="C1097" s="135"/>
      <c r="D1097" s="46"/>
      <c r="E1097" s="30"/>
      <c r="F1097" s="46"/>
      <c r="G1097" s="30"/>
      <c r="H1097" s="30"/>
      <c r="I1097" s="30"/>
      <c r="J1097" s="30"/>
      <c r="K1097" s="64"/>
      <c r="L1097" s="30"/>
      <c r="M1097" s="30"/>
      <c r="N1097" s="30"/>
      <c r="O1097" s="30">
        <f t="shared" si="1213"/>
        <v>0</v>
      </c>
      <c r="P1097" s="100">
        <f t="shared" si="1216"/>
        <v>0</v>
      </c>
      <c r="Q1097" s="30"/>
      <c r="R1097" s="30"/>
      <c r="S1097" s="30"/>
    </row>
    <row r="1098" spans="1:19" ht="14.25" hidden="1" customHeight="1">
      <c r="A1098" s="12"/>
      <c r="B1098" s="116" t="s">
        <v>155</v>
      </c>
      <c r="C1098" s="135"/>
      <c r="D1098" s="46"/>
      <c r="E1098" s="30"/>
      <c r="F1098" s="46"/>
      <c r="G1098" s="30"/>
      <c r="H1098" s="30"/>
      <c r="I1098" s="30"/>
      <c r="J1098" s="30"/>
      <c r="K1098" s="64"/>
      <c r="L1098" s="30"/>
      <c r="M1098" s="30"/>
      <c r="N1098" s="30"/>
      <c r="O1098" s="30">
        <f t="shared" si="1213"/>
        <v>0</v>
      </c>
      <c r="P1098" s="100">
        <f t="shared" si="1216"/>
        <v>0</v>
      </c>
      <c r="Q1098" s="30"/>
      <c r="R1098" s="30"/>
      <c r="S1098" s="30"/>
    </row>
    <row r="1099" spans="1:19" ht="0.75" hidden="1" customHeight="1">
      <c r="A1099" s="12"/>
      <c r="B1099" s="129" t="s">
        <v>400</v>
      </c>
      <c r="C1099" s="135" t="s">
        <v>401</v>
      </c>
      <c r="D1099" s="46"/>
      <c r="E1099" s="30"/>
      <c r="F1099" s="46"/>
      <c r="G1099" s="30"/>
      <c r="H1099" s="30"/>
      <c r="I1099" s="30"/>
      <c r="J1099" s="30"/>
      <c r="K1099" s="64"/>
      <c r="L1099" s="30"/>
      <c r="M1099" s="30"/>
      <c r="N1099" s="30"/>
      <c r="O1099" s="30">
        <f t="shared" si="1213"/>
        <v>0</v>
      </c>
      <c r="P1099" s="100">
        <f t="shared" si="1216"/>
        <v>0</v>
      </c>
      <c r="Q1099" s="30"/>
      <c r="R1099" s="30"/>
      <c r="S1099" s="30"/>
    </row>
    <row r="1100" spans="1:19" ht="15" hidden="1" customHeight="1">
      <c r="A1100" s="12"/>
      <c r="B1100" s="129" t="s">
        <v>152</v>
      </c>
      <c r="C1100" s="135"/>
      <c r="D1100" s="46"/>
      <c r="E1100" s="30"/>
      <c r="F1100" s="46"/>
      <c r="G1100" s="30"/>
      <c r="H1100" s="30"/>
      <c r="I1100" s="30"/>
      <c r="J1100" s="30"/>
      <c r="K1100" s="64"/>
      <c r="L1100" s="30"/>
      <c r="M1100" s="30"/>
      <c r="N1100" s="30"/>
      <c r="O1100" s="30">
        <f t="shared" ref="O1100:O1163" si="1273">K1100+L1100+M1100+N1100</f>
        <v>0</v>
      </c>
      <c r="P1100" s="100">
        <f t="shared" si="1216"/>
        <v>0</v>
      </c>
      <c r="Q1100" s="30"/>
      <c r="R1100" s="30"/>
      <c r="S1100" s="30"/>
    </row>
    <row r="1101" spans="1:19" ht="15" hidden="1" customHeight="1">
      <c r="A1101" s="12"/>
      <c r="B1101" s="116" t="s">
        <v>153</v>
      </c>
      <c r="C1101" s="135">
        <v>1</v>
      </c>
      <c r="D1101" s="46"/>
      <c r="E1101" s="30"/>
      <c r="F1101" s="46"/>
      <c r="G1101" s="30"/>
      <c r="H1101" s="30"/>
      <c r="I1101" s="30"/>
      <c r="J1101" s="30"/>
      <c r="K1101" s="64"/>
      <c r="L1101" s="30"/>
      <c r="M1101" s="30"/>
      <c r="N1101" s="30"/>
      <c r="O1101" s="30">
        <f t="shared" si="1273"/>
        <v>0</v>
      </c>
      <c r="P1101" s="100">
        <f t="shared" ref="P1101:P1161" si="1274">J1101-O1101</f>
        <v>0</v>
      </c>
      <c r="Q1101" s="30"/>
      <c r="R1101" s="30"/>
      <c r="S1101" s="30"/>
    </row>
    <row r="1102" spans="1:19" ht="15" hidden="1" customHeight="1">
      <c r="A1102" s="12"/>
      <c r="B1102" s="35" t="s">
        <v>402</v>
      </c>
      <c r="C1102" s="135" t="s">
        <v>403</v>
      </c>
      <c r="D1102" s="46"/>
      <c r="E1102" s="30"/>
      <c r="F1102" s="46"/>
      <c r="G1102" s="30"/>
      <c r="H1102" s="30"/>
      <c r="I1102" s="30"/>
      <c r="J1102" s="30"/>
      <c r="K1102" s="64"/>
      <c r="L1102" s="30"/>
      <c r="M1102" s="30"/>
      <c r="N1102" s="30"/>
      <c r="O1102" s="30">
        <f t="shared" si="1273"/>
        <v>0</v>
      </c>
      <c r="P1102" s="100">
        <f t="shared" si="1274"/>
        <v>0</v>
      </c>
      <c r="Q1102" s="30"/>
      <c r="R1102" s="30"/>
      <c r="S1102" s="30"/>
    </row>
    <row r="1103" spans="1:19" ht="15" hidden="1" customHeight="1">
      <c r="A1103" s="12"/>
      <c r="B1103" s="116" t="s">
        <v>154</v>
      </c>
      <c r="C1103" s="135">
        <v>10</v>
      </c>
      <c r="D1103" s="46"/>
      <c r="E1103" s="30"/>
      <c r="F1103" s="46"/>
      <c r="G1103" s="30"/>
      <c r="H1103" s="30"/>
      <c r="I1103" s="30"/>
      <c r="J1103" s="30"/>
      <c r="K1103" s="64"/>
      <c r="L1103" s="30"/>
      <c r="M1103" s="30"/>
      <c r="N1103" s="30"/>
      <c r="O1103" s="30">
        <f t="shared" si="1273"/>
        <v>0</v>
      </c>
      <c r="P1103" s="100">
        <f t="shared" si="1274"/>
        <v>0</v>
      </c>
      <c r="Q1103" s="30"/>
      <c r="R1103" s="30"/>
      <c r="S1103" s="30"/>
    </row>
    <row r="1104" spans="1:19" ht="15" hidden="1" customHeight="1">
      <c r="A1104" s="12"/>
      <c r="B1104" s="116" t="s">
        <v>155</v>
      </c>
      <c r="C1104" s="135">
        <v>20</v>
      </c>
      <c r="D1104" s="46"/>
      <c r="E1104" s="30"/>
      <c r="F1104" s="46"/>
      <c r="G1104" s="30"/>
      <c r="H1104" s="30"/>
      <c r="I1104" s="30"/>
      <c r="J1104" s="30"/>
      <c r="K1104" s="64"/>
      <c r="L1104" s="30"/>
      <c r="M1104" s="30"/>
      <c r="N1104" s="30"/>
      <c r="O1104" s="30">
        <f t="shared" si="1273"/>
        <v>0</v>
      </c>
      <c r="P1104" s="100">
        <f t="shared" si="1274"/>
        <v>0</v>
      </c>
      <c r="Q1104" s="30"/>
      <c r="R1104" s="30"/>
      <c r="S1104" s="30"/>
    </row>
    <row r="1105" spans="1:19" ht="15" hidden="1" customHeight="1">
      <c r="A1105" s="12"/>
      <c r="B1105" s="116" t="s">
        <v>164</v>
      </c>
      <c r="C1105" s="135"/>
      <c r="D1105" s="46"/>
      <c r="E1105" s="30"/>
      <c r="F1105" s="46"/>
      <c r="G1105" s="30"/>
      <c r="H1105" s="30"/>
      <c r="I1105" s="30"/>
      <c r="J1105" s="30"/>
      <c r="K1105" s="64"/>
      <c r="L1105" s="30"/>
      <c r="M1105" s="30"/>
      <c r="N1105" s="30"/>
      <c r="O1105" s="30">
        <f t="shared" si="1273"/>
        <v>0</v>
      </c>
      <c r="P1105" s="100">
        <f t="shared" si="1274"/>
        <v>0</v>
      </c>
      <c r="Q1105" s="30"/>
      <c r="R1105" s="30"/>
      <c r="S1105" s="30"/>
    </row>
    <row r="1106" spans="1:19" ht="15" hidden="1" customHeight="1">
      <c r="A1106" s="12"/>
      <c r="B1106" s="116" t="s">
        <v>193</v>
      </c>
      <c r="C1106" s="135">
        <v>70</v>
      </c>
      <c r="D1106" s="46"/>
      <c r="E1106" s="30"/>
      <c r="F1106" s="46"/>
      <c r="G1106" s="30"/>
      <c r="H1106" s="30"/>
      <c r="I1106" s="30"/>
      <c r="J1106" s="30"/>
      <c r="K1106" s="64"/>
      <c r="L1106" s="30"/>
      <c r="M1106" s="30"/>
      <c r="N1106" s="30"/>
      <c r="O1106" s="30">
        <f t="shared" si="1273"/>
        <v>0</v>
      </c>
      <c r="P1106" s="100">
        <f t="shared" si="1274"/>
        <v>0</v>
      </c>
      <c r="Q1106" s="30"/>
      <c r="R1106" s="30"/>
      <c r="S1106" s="30"/>
    </row>
    <row r="1107" spans="1:19" ht="15" customHeight="1">
      <c r="A1107" s="180">
        <v>2</v>
      </c>
      <c r="B1107" s="241" t="s">
        <v>404</v>
      </c>
      <c r="C1107" s="242">
        <v>84.02</v>
      </c>
      <c r="D1107" s="140">
        <f>D1118+D1144+D1150+D1156+D1140</f>
        <v>70765.83</v>
      </c>
      <c r="E1107" s="140">
        <f>E1118+E1144+E1150+E1156+E1140</f>
        <v>135797.39000000001</v>
      </c>
      <c r="F1107" s="140">
        <f>F1118+F1144+F1150+F1156+F1140</f>
        <v>121046</v>
      </c>
      <c r="G1107" s="140">
        <f>G1118+G1144+G1150+G1156+G1140</f>
        <v>135797.39000000001</v>
      </c>
      <c r="H1107" s="140">
        <f>H1118+H1144+H1150+H1156+H1140</f>
        <v>93135.2</v>
      </c>
      <c r="I1107" s="140">
        <f t="shared" ref="I1107:S1107" si="1275">I1118+I1144+I1150+I1156+I1140</f>
        <v>278341</v>
      </c>
      <c r="J1107" s="140">
        <f t="shared" si="1275"/>
        <v>164184</v>
      </c>
      <c r="K1107" s="209">
        <f t="shared" ref="K1107:N1107" si="1276">K1118+K1144+K1150+K1156+K1140</f>
        <v>19216</v>
      </c>
      <c r="L1107" s="140">
        <f t="shared" si="1276"/>
        <v>42856</v>
      </c>
      <c r="M1107" s="140">
        <f t="shared" si="1276"/>
        <v>49442</v>
      </c>
      <c r="N1107" s="140">
        <f t="shared" si="1276"/>
        <v>52670</v>
      </c>
      <c r="O1107" s="30">
        <f t="shared" si="1273"/>
        <v>164184</v>
      </c>
      <c r="P1107" s="100">
        <f t="shared" si="1274"/>
        <v>0</v>
      </c>
      <c r="Q1107" s="151">
        <f t="shared" si="1275"/>
        <v>66344</v>
      </c>
      <c r="R1107" s="151">
        <f t="shared" si="1275"/>
        <v>41994</v>
      </c>
      <c r="S1107" s="151">
        <f t="shared" si="1275"/>
        <v>45026</v>
      </c>
    </row>
    <row r="1108" spans="1:19" ht="14.25">
      <c r="A1108" s="12"/>
      <c r="B1108" s="129" t="s">
        <v>152</v>
      </c>
      <c r="C1108" s="135"/>
      <c r="D1108" s="138">
        <f t="shared" ref="D1108:S1109" si="1277">D1119</f>
        <v>26432.36</v>
      </c>
      <c r="E1108" s="138">
        <f t="shared" si="1277"/>
        <v>30683</v>
      </c>
      <c r="F1108" s="138">
        <f t="shared" si="1277"/>
        <v>26000</v>
      </c>
      <c r="G1108" s="138">
        <f t="shared" si="1277"/>
        <v>30683</v>
      </c>
      <c r="H1108" s="138">
        <f t="shared" ref="H1108" si="1278">H1119</f>
        <v>27457</v>
      </c>
      <c r="I1108" s="138">
        <f t="shared" si="1277"/>
        <v>30448</v>
      </c>
      <c r="J1108" s="138">
        <f t="shared" si="1277"/>
        <v>27217</v>
      </c>
      <c r="K1108" s="206">
        <f t="shared" ref="K1108:N1108" si="1279">K1119</f>
        <v>7500</v>
      </c>
      <c r="L1108" s="138">
        <f t="shared" si="1279"/>
        <v>7333</v>
      </c>
      <c r="M1108" s="138">
        <f t="shared" si="1279"/>
        <v>5836</v>
      </c>
      <c r="N1108" s="138">
        <f t="shared" si="1279"/>
        <v>6548</v>
      </c>
      <c r="O1108" s="30">
        <f t="shared" si="1273"/>
        <v>27217</v>
      </c>
      <c r="P1108" s="100">
        <f t="shared" si="1274"/>
        <v>0</v>
      </c>
      <c r="Q1108" s="138">
        <f t="shared" si="1277"/>
        <v>30000</v>
      </c>
      <c r="R1108" s="138">
        <f t="shared" si="1277"/>
        <v>30000</v>
      </c>
      <c r="S1108" s="138">
        <f t="shared" si="1277"/>
        <v>30000</v>
      </c>
    </row>
    <row r="1109" spans="1:19" ht="18.75" customHeight="1">
      <c r="A1109" s="12"/>
      <c r="B1109" s="116" t="s">
        <v>153</v>
      </c>
      <c r="C1109" s="135">
        <v>1</v>
      </c>
      <c r="D1109" s="138">
        <f t="shared" si="1277"/>
        <v>26432.36</v>
      </c>
      <c r="E1109" s="138">
        <f t="shared" si="1277"/>
        <v>30683</v>
      </c>
      <c r="F1109" s="138">
        <f t="shared" si="1277"/>
        <v>26000</v>
      </c>
      <c r="G1109" s="138">
        <f t="shared" si="1277"/>
        <v>30683</v>
      </c>
      <c r="H1109" s="138">
        <f t="shared" ref="H1109" si="1280">H1120</f>
        <v>27457</v>
      </c>
      <c r="I1109" s="138">
        <f t="shared" si="1277"/>
        <v>30448</v>
      </c>
      <c r="J1109" s="138">
        <f t="shared" si="1277"/>
        <v>27217</v>
      </c>
      <c r="K1109" s="206">
        <f t="shared" ref="K1109:N1109" si="1281">K1120</f>
        <v>7500</v>
      </c>
      <c r="L1109" s="138">
        <f t="shared" si="1281"/>
        <v>7333</v>
      </c>
      <c r="M1109" s="138">
        <f t="shared" si="1281"/>
        <v>5836</v>
      </c>
      <c r="N1109" s="138">
        <f t="shared" si="1281"/>
        <v>6548</v>
      </c>
      <c r="O1109" s="30">
        <f t="shared" si="1273"/>
        <v>27217</v>
      </c>
      <c r="P1109" s="100">
        <f t="shared" si="1274"/>
        <v>0</v>
      </c>
      <c r="Q1109" s="138">
        <f t="shared" si="1277"/>
        <v>30000</v>
      </c>
      <c r="R1109" s="138">
        <f t="shared" si="1277"/>
        <v>30000</v>
      </c>
      <c r="S1109" s="138">
        <f t="shared" si="1277"/>
        <v>30000</v>
      </c>
    </row>
    <row r="1110" spans="1:19" ht="15" hidden="1" customHeight="1">
      <c r="A1110" s="12"/>
      <c r="B1110" s="116" t="s">
        <v>154</v>
      </c>
      <c r="C1110" s="135">
        <v>10</v>
      </c>
      <c r="D1110" s="46"/>
      <c r="E1110" s="30"/>
      <c r="F1110" s="46"/>
      <c r="G1110" s="30"/>
      <c r="H1110" s="30"/>
      <c r="I1110" s="30"/>
      <c r="J1110" s="30"/>
      <c r="K1110" s="64"/>
      <c r="L1110" s="30"/>
      <c r="M1110" s="30"/>
      <c r="N1110" s="30"/>
      <c r="O1110" s="30">
        <f t="shared" si="1273"/>
        <v>0</v>
      </c>
      <c r="P1110" s="100">
        <f t="shared" si="1274"/>
        <v>0</v>
      </c>
      <c r="Q1110" s="30"/>
      <c r="R1110" s="30"/>
      <c r="S1110" s="30"/>
    </row>
    <row r="1111" spans="1:19" ht="14.25">
      <c r="A1111" s="12"/>
      <c r="B1111" s="116" t="s">
        <v>581</v>
      </c>
      <c r="C1111" s="135">
        <v>20</v>
      </c>
      <c r="D1111" s="138">
        <f t="shared" ref="D1111:S1111" si="1282">D1122</f>
        <v>26432.36</v>
      </c>
      <c r="E1111" s="138">
        <f t="shared" si="1282"/>
        <v>30683</v>
      </c>
      <c r="F1111" s="138">
        <f t="shared" si="1282"/>
        <v>26000</v>
      </c>
      <c r="G1111" s="138">
        <f t="shared" si="1282"/>
        <v>30683</v>
      </c>
      <c r="H1111" s="138">
        <f t="shared" ref="H1111" si="1283">H1122</f>
        <v>27457</v>
      </c>
      <c r="I1111" s="138">
        <f t="shared" si="1282"/>
        <v>30448</v>
      </c>
      <c r="J1111" s="138">
        <f t="shared" si="1282"/>
        <v>27217</v>
      </c>
      <c r="K1111" s="206">
        <f t="shared" ref="K1111:N1111" si="1284">K1122</f>
        <v>7500</v>
      </c>
      <c r="L1111" s="138">
        <f t="shared" si="1284"/>
        <v>7333</v>
      </c>
      <c r="M1111" s="138">
        <f t="shared" si="1284"/>
        <v>5836</v>
      </c>
      <c r="N1111" s="138">
        <f t="shared" si="1284"/>
        <v>6548</v>
      </c>
      <c r="O1111" s="30">
        <f t="shared" si="1273"/>
        <v>27217</v>
      </c>
      <c r="P1111" s="100">
        <f t="shared" si="1274"/>
        <v>0</v>
      </c>
      <c r="Q1111" s="138">
        <f t="shared" si="1282"/>
        <v>30000</v>
      </c>
      <c r="R1111" s="138">
        <f t="shared" si="1282"/>
        <v>30000</v>
      </c>
      <c r="S1111" s="138">
        <f t="shared" si="1282"/>
        <v>30000</v>
      </c>
    </row>
    <row r="1112" spans="1:19" ht="14.25">
      <c r="A1112" s="12"/>
      <c r="B1112" s="116" t="s">
        <v>561</v>
      </c>
      <c r="C1112" s="135">
        <v>40</v>
      </c>
      <c r="D1112" s="138">
        <f t="shared" ref="D1112:S1112" si="1285">D1125</f>
        <v>0</v>
      </c>
      <c r="E1112" s="138">
        <f t="shared" si="1285"/>
        <v>0</v>
      </c>
      <c r="F1112" s="138">
        <f t="shared" si="1285"/>
        <v>0</v>
      </c>
      <c r="G1112" s="138">
        <f t="shared" si="1285"/>
        <v>0</v>
      </c>
      <c r="H1112" s="138">
        <f t="shared" ref="H1112" si="1286">H1125</f>
        <v>0</v>
      </c>
      <c r="I1112" s="138">
        <f t="shared" si="1285"/>
        <v>0</v>
      </c>
      <c r="J1112" s="138">
        <f t="shared" si="1285"/>
        <v>0</v>
      </c>
      <c r="K1112" s="206">
        <f t="shared" ref="K1112:N1112" si="1287">K1125</f>
        <v>0</v>
      </c>
      <c r="L1112" s="138">
        <f t="shared" si="1287"/>
        <v>0</v>
      </c>
      <c r="M1112" s="138">
        <f t="shared" si="1287"/>
        <v>0</v>
      </c>
      <c r="N1112" s="138">
        <f t="shared" si="1287"/>
        <v>0</v>
      </c>
      <c r="O1112" s="30">
        <f t="shared" si="1273"/>
        <v>0</v>
      </c>
      <c r="P1112" s="100">
        <f t="shared" si="1274"/>
        <v>0</v>
      </c>
      <c r="Q1112" s="138">
        <f t="shared" si="1285"/>
        <v>0</v>
      </c>
      <c r="R1112" s="138">
        <f t="shared" si="1285"/>
        <v>0</v>
      </c>
      <c r="S1112" s="138">
        <f t="shared" si="1285"/>
        <v>0</v>
      </c>
    </row>
    <row r="1113" spans="1:19" ht="11.25" customHeight="1">
      <c r="A1113" s="12"/>
      <c r="B1113" s="129" t="s">
        <v>164</v>
      </c>
      <c r="C1113" s="135"/>
      <c r="D1113" s="138">
        <f t="shared" ref="D1113:S1113" si="1288">D1114+D1115+D1116</f>
        <v>44333.47</v>
      </c>
      <c r="E1113" s="138">
        <f t="shared" si="1288"/>
        <v>105114.39</v>
      </c>
      <c r="F1113" s="138">
        <f t="shared" si="1288"/>
        <v>95046</v>
      </c>
      <c r="G1113" s="138">
        <f t="shared" si="1288"/>
        <v>105114.39</v>
      </c>
      <c r="H1113" s="138">
        <f t="shared" ref="H1113" si="1289">H1114+H1115+H1116</f>
        <v>65678.2</v>
      </c>
      <c r="I1113" s="138">
        <f t="shared" si="1288"/>
        <v>247893</v>
      </c>
      <c r="J1113" s="138">
        <f t="shared" si="1288"/>
        <v>136967</v>
      </c>
      <c r="K1113" s="206">
        <f t="shared" ref="K1113:N1113" si="1290">K1114+K1115+K1116</f>
        <v>11716</v>
      </c>
      <c r="L1113" s="138">
        <f t="shared" si="1290"/>
        <v>35523</v>
      </c>
      <c r="M1113" s="138">
        <f t="shared" si="1290"/>
        <v>43606</v>
      </c>
      <c r="N1113" s="138">
        <f t="shared" si="1290"/>
        <v>46122</v>
      </c>
      <c r="O1113" s="30">
        <f t="shared" si="1273"/>
        <v>136967</v>
      </c>
      <c r="P1113" s="100">
        <f t="shared" si="1274"/>
        <v>0</v>
      </c>
      <c r="Q1113" s="138">
        <f t="shared" si="1288"/>
        <v>36344</v>
      </c>
      <c r="R1113" s="138">
        <f t="shared" si="1288"/>
        <v>11994</v>
      </c>
      <c r="S1113" s="138">
        <f t="shared" si="1288"/>
        <v>15026</v>
      </c>
    </row>
    <row r="1114" spans="1:19" ht="13.5" hidden="1" customHeight="1">
      <c r="A1114" s="12"/>
      <c r="B1114" s="116" t="s">
        <v>173</v>
      </c>
      <c r="C1114" s="135">
        <v>56</v>
      </c>
      <c r="D1114" s="46"/>
      <c r="E1114" s="30"/>
      <c r="F1114" s="46"/>
      <c r="G1114" s="30"/>
      <c r="H1114" s="30"/>
      <c r="I1114" s="30"/>
      <c r="J1114" s="30"/>
      <c r="K1114" s="64"/>
      <c r="L1114" s="30"/>
      <c r="M1114" s="30"/>
      <c r="N1114" s="30"/>
      <c r="O1114" s="30">
        <f t="shared" si="1273"/>
        <v>0</v>
      </c>
      <c r="P1114" s="100">
        <f t="shared" si="1274"/>
        <v>0</v>
      </c>
      <c r="Q1114" s="30"/>
      <c r="R1114" s="30"/>
      <c r="S1114" s="30"/>
    </row>
    <row r="1115" spans="1:19" ht="13.5" customHeight="1">
      <c r="A1115" s="12"/>
      <c r="B1115" s="116" t="s">
        <v>173</v>
      </c>
      <c r="C1115" s="135">
        <v>58</v>
      </c>
      <c r="D1115" s="138">
        <f t="shared" ref="D1115:S1115" si="1291">D1146+D1152+D1158</f>
        <v>0</v>
      </c>
      <c r="E1115" s="138">
        <f t="shared" si="1291"/>
        <v>64080</v>
      </c>
      <c r="F1115" s="138">
        <f>F1146+F1152+F1158</f>
        <v>64080</v>
      </c>
      <c r="G1115" s="138">
        <f t="shared" si="1291"/>
        <v>64080</v>
      </c>
      <c r="H1115" s="138">
        <f t="shared" ref="H1115" si="1292">H1146+H1152+H1158</f>
        <v>42430</v>
      </c>
      <c r="I1115" s="138">
        <f t="shared" si="1291"/>
        <v>96830</v>
      </c>
      <c r="J1115" s="138">
        <f t="shared" si="1291"/>
        <v>96830</v>
      </c>
      <c r="K1115" s="206">
        <f t="shared" ref="K1115:N1115" si="1293">K1146+K1152+K1158</f>
        <v>998</v>
      </c>
      <c r="L1115" s="138">
        <f t="shared" si="1293"/>
        <v>32765</v>
      </c>
      <c r="M1115" s="138">
        <f t="shared" si="1293"/>
        <v>38000</v>
      </c>
      <c r="N1115" s="138">
        <f t="shared" si="1293"/>
        <v>25067</v>
      </c>
      <c r="O1115" s="30">
        <f t="shared" si="1273"/>
        <v>96830</v>
      </c>
      <c r="P1115" s="100">
        <f t="shared" si="1274"/>
        <v>0</v>
      </c>
      <c r="Q1115" s="138">
        <f t="shared" si="1291"/>
        <v>30648</v>
      </c>
      <c r="R1115" s="138">
        <f t="shared" si="1291"/>
        <v>0</v>
      </c>
      <c r="S1115" s="138">
        <f t="shared" si="1291"/>
        <v>0</v>
      </c>
    </row>
    <row r="1116" spans="1:19" ht="14.25">
      <c r="A1116" s="12"/>
      <c r="B1116" s="116" t="s">
        <v>193</v>
      </c>
      <c r="C1116" s="135">
        <v>70</v>
      </c>
      <c r="D1116" s="138">
        <f>D1127+D1141</f>
        <v>44333.47</v>
      </c>
      <c r="E1116" s="138">
        <f t="shared" ref="E1116:S1116" si="1294">E1127+E1141</f>
        <v>41034.39</v>
      </c>
      <c r="F1116" s="138">
        <f>F1127+F1141</f>
        <v>30966</v>
      </c>
      <c r="G1116" s="138">
        <f t="shared" si="1294"/>
        <v>41034.39</v>
      </c>
      <c r="H1116" s="138">
        <f t="shared" ref="H1116" si="1295">H1127+H1141</f>
        <v>23248.2</v>
      </c>
      <c r="I1116" s="138">
        <f t="shared" si="1294"/>
        <v>151063</v>
      </c>
      <c r="J1116" s="138">
        <f t="shared" si="1294"/>
        <v>40137</v>
      </c>
      <c r="K1116" s="206">
        <f t="shared" ref="K1116:N1116" si="1296">K1127+K1141</f>
        <v>10718</v>
      </c>
      <c r="L1116" s="138">
        <f t="shared" si="1296"/>
        <v>2758</v>
      </c>
      <c r="M1116" s="138">
        <f t="shared" si="1296"/>
        <v>5606</v>
      </c>
      <c r="N1116" s="138">
        <f t="shared" si="1296"/>
        <v>21055</v>
      </c>
      <c r="O1116" s="30">
        <f t="shared" si="1273"/>
        <v>40137</v>
      </c>
      <c r="P1116" s="100">
        <f t="shared" si="1274"/>
        <v>0</v>
      </c>
      <c r="Q1116" s="138">
        <f t="shared" si="1294"/>
        <v>5696</v>
      </c>
      <c r="R1116" s="138">
        <f t="shared" si="1294"/>
        <v>11994</v>
      </c>
      <c r="S1116" s="138">
        <f t="shared" si="1294"/>
        <v>15026</v>
      </c>
    </row>
    <row r="1117" spans="1:19" ht="0.75" customHeight="1">
      <c r="A1117" s="12"/>
      <c r="B1117" s="116" t="s">
        <v>163</v>
      </c>
      <c r="C1117" s="135">
        <v>85.01</v>
      </c>
      <c r="D1117" s="46"/>
      <c r="E1117" s="30"/>
      <c r="F1117" s="46"/>
      <c r="G1117" s="30"/>
      <c r="H1117" s="30"/>
      <c r="I1117" s="30"/>
      <c r="J1117" s="30"/>
      <c r="K1117" s="64"/>
      <c r="L1117" s="30"/>
      <c r="M1117" s="30"/>
      <c r="N1117" s="30"/>
      <c r="O1117" s="30">
        <f t="shared" si="1273"/>
        <v>0</v>
      </c>
      <c r="P1117" s="100">
        <f t="shared" si="1274"/>
        <v>0</v>
      </c>
      <c r="Q1117" s="30"/>
      <c r="R1117" s="30"/>
      <c r="S1117" s="30"/>
    </row>
    <row r="1118" spans="1:19" ht="14.25">
      <c r="A1118" s="187" t="s">
        <v>459</v>
      </c>
      <c r="B1118" s="277" t="s">
        <v>405</v>
      </c>
      <c r="C1118" s="243" t="s">
        <v>406</v>
      </c>
      <c r="D1118" s="271">
        <f t="shared" ref="D1118:S1118" si="1297">D1119+D1126</f>
        <v>70765.83</v>
      </c>
      <c r="E1118" s="271">
        <f t="shared" si="1297"/>
        <v>71715.19</v>
      </c>
      <c r="F1118" s="271">
        <f t="shared" si="1297"/>
        <v>56966</v>
      </c>
      <c r="G1118" s="271">
        <f t="shared" si="1297"/>
        <v>71715.19</v>
      </c>
      <c r="H1118" s="271">
        <f t="shared" ref="H1118" si="1298">H1119+H1126</f>
        <v>50703</v>
      </c>
      <c r="I1118" s="271">
        <f t="shared" si="1297"/>
        <v>181511</v>
      </c>
      <c r="J1118" s="271">
        <f t="shared" si="1297"/>
        <v>67354</v>
      </c>
      <c r="K1118" s="272">
        <f t="shared" ref="K1118:N1118" si="1299">K1119+K1126</f>
        <v>18218</v>
      </c>
      <c r="L1118" s="271">
        <f t="shared" si="1299"/>
        <v>10091</v>
      </c>
      <c r="M1118" s="271">
        <f t="shared" si="1299"/>
        <v>11442</v>
      </c>
      <c r="N1118" s="271">
        <f t="shared" si="1299"/>
        <v>27603</v>
      </c>
      <c r="O1118" s="273">
        <f t="shared" si="1273"/>
        <v>67354</v>
      </c>
      <c r="P1118" s="271">
        <f t="shared" si="1274"/>
        <v>0</v>
      </c>
      <c r="Q1118" s="271">
        <f t="shared" si="1297"/>
        <v>35696</v>
      </c>
      <c r="R1118" s="271">
        <f t="shared" si="1297"/>
        <v>41994</v>
      </c>
      <c r="S1118" s="271">
        <f t="shared" si="1297"/>
        <v>45026</v>
      </c>
    </row>
    <row r="1119" spans="1:19" ht="14.25">
      <c r="A1119" s="12"/>
      <c r="B1119" s="129" t="s">
        <v>152</v>
      </c>
      <c r="C1119" s="135"/>
      <c r="D1119" s="138">
        <f t="shared" ref="D1119:S1119" si="1300">D1120</f>
        <v>26432.36</v>
      </c>
      <c r="E1119" s="138">
        <f t="shared" si="1300"/>
        <v>30683</v>
      </c>
      <c r="F1119" s="138">
        <f t="shared" si="1300"/>
        <v>26000</v>
      </c>
      <c r="G1119" s="138">
        <f t="shared" si="1300"/>
        <v>30683</v>
      </c>
      <c r="H1119" s="138">
        <f t="shared" si="1300"/>
        <v>27457</v>
      </c>
      <c r="I1119" s="138">
        <f t="shared" si="1300"/>
        <v>30448</v>
      </c>
      <c r="J1119" s="138">
        <f t="shared" si="1300"/>
        <v>27217</v>
      </c>
      <c r="K1119" s="206">
        <f t="shared" si="1300"/>
        <v>7500</v>
      </c>
      <c r="L1119" s="138">
        <f t="shared" si="1300"/>
        <v>7333</v>
      </c>
      <c r="M1119" s="138">
        <f t="shared" si="1300"/>
        <v>5836</v>
      </c>
      <c r="N1119" s="138">
        <f t="shared" si="1300"/>
        <v>6548</v>
      </c>
      <c r="O1119" s="30">
        <f t="shared" si="1273"/>
        <v>27217</v>
      </c>
      <c r="P1119" s="100">
        <f t="shared" si="1274"/>
        <v>0</v>
      </c>
      <c r="Q1119" s="138">
        <f t="shared" si="1300"/>
        <v>30000</v>
      </c>
      <c r="R1119" s="138">
        <f t="shared" si="1300"/>
        <v>30000</v>
      </c>
      <c r="S1119" s="138">
        <f t="shared" si="1300"/>
        <v>30000</v>
      </c>
    </row>
    <row r="1120" spans="1:19" ht="14.25" customHeight="1">
      <c r="A1120" s="12"/>
      <c r="B1120" s="116" t="s">
        <v>153</v>
      </c>
      <c r="C1120" s="135">
        <v>1</v>
      </c>
      <c r="D1120" s="102">
        <f t="shared" ref="D1120:S1120" si="1301">D1121+D1122+D1123+D1124+D1125</f>
        <v>26432.36</v>
      </c>
      <c r="E1120" s="102">
        <f t="shared" si="1301"/>
        <v>30683</v>
      </c>
      <c r="F1120" s="102">
        <f t="shared" si="1301"/>
        <v>26000</v>
      </c>
      <c r="G1120" s="102">
        <f t="shared" si="1301"/>
        <v>30683</v>
      </c>
      <c r="H1120" s="102">
        <f t="shared" ref="H1120" si="1302">H1121+H1122+H1123+H1124+H1125</f>
        <v>27457</v>
      </c>
      <c r="I1120" s="102">
        <f t="shared" si="1301"/>
        <v>30448</v>
      </c>
      <c r="J1120" s="102">
        <f t="shared" si="1301"/>
        <v>27217</v>
      </c>
      <c r="K1120" s="208">
        <f t="shared" ref="K1120:N1120" si="1303">K1121+K1122+K1123+K1124+K1125</f>
        <v>7500</v>
      </c>
      <c r="L1120" s="102">
        <f t="shared" si="1303"/>
        <v>7333</v>
      </c>
      <c r="M1120" s="102">
        <f t="shared" si="1303"/>
        <v>5836</v>
      </c>
      <c r="N1120" s="102">
        <f t="shared" si="1303"/>
        <v>6548</v>
      </c>
      <c r="O1120" s="30">
        <f t="shared" si="1273"/>
        <v>27217</v>
      </c>
      <c r="P1120" s="100">
        <f t="shared" si="1274"/>
        <v>0</v>
      </c>
      <c r="Q1120" s="102">
        <f t="shared" si="1301"/>
        <v>30000</v>
      </c>
      <c r="R1120" s="102">
        <f t="shared" si="1301"/>
        <v>30000</v>
      </c>
      <c r="S1120" s="102">
        <f t="shared" si="1301"/>
        <v>30000</v>
      </c>
    </row>
    <row r="1121" spans="1:19" ht="16.5" hidden="1" customHeight="1">
      <c r="A1121" s="12"/>
      <c r="B1121" s="116" t="s">
        <v>154</v>
      </c>
      <c r="C1121" s="135">
        <v>10</v>
      </c>
      <c r="D1121" s="46"/>
      <c r="E1121" s="30"/>
      <c r="F1121" s="46"/>
      <c r="G1121" s="30"/>
      <c r="H1121" s="30"/>
      <c r="I1121" s="30"/>
      <c r="J1121" s="30"/>
      <c r="K1121" s="64"/>
      <c r="L1121" s="30"/>
      <c r="M1121" s="30"/>
      <c r="N1121" s="30"/>
      <c r="O1121" s="30">
        <f t="shared" si="1273"/>
        <v>0</v>
      </c>
      <c r="P1121" s="100">
        <f t="shared" si="1274"/>
        <v>0</v>
      </c>
      <c r="Q1121" s="30"/>
      <c r="R1121" s="30"/>
      <c r="S1121" s="30"/>
    </row>
    <row r="1122" spans="1:19" ht="13.5" customHeight="1">
      <c r="A1122" s="12"/>
      <c r="B1122" s="116" t="s">
        <v>581</v>
      </c>
      <c r="C1122" s="135">
        <v>20</v>
      </c>
      <c r="D1122" s="46">
        <v>26432.36</v>
      </c>
      <c r="E1122" s="30">
        <v>30683</v>
      </c>
      <c r="F1122" s="46">
        <f>23000+3000</f>
        <v>26000</v>
      </c>
      <c r="G1122" s="114">
        <v>30683</v>
      </c>
      <c r="H1122" s="114">
        <v>27457</v>
      </c>
      <c r="I1122" s="114">
        <f>27283+3165</f>
        <v>30448</v>
      </c>
      <c r="J1122" s="114">
        <f>30448+100-5000+2037+100-234-234</f>
        <v>27217</v>
      </c>
      <c r="K1122" s="202">
        <f>7000+500</f>
        <v>7500</v>
      </c>
      <c r="L1122" s="114">
        <f>7000+518+49-234</f>
        <v>7333</v>
      </c>
      <c r="M1122" s="114">
        <f>4500+1000+519+51-234</f>
        <v>5836</v>
      </c>
      <c r="N1122" s="114">
        <f>5548+1000</f>
        <v>6548</v>
      </c>
      <c r="O1122" s="30">
        <f t="shared" si="1273"/>
        <v>27217</v>
      </c>
      <c r="P1122" s="100">
        <f t="shared" si="1274"/>
        <v>0</v>
      </c>
      <c r="Q1122" s="114">
        <v>30000</v>
      </c>
      <c r="R1122" s="114">
        <v>30000</v>
      </c>
      <c r="S1122" s="114">
        <v>30000</v>
      </c>
    </row>
    <row r="1123" spans="1:19" ht="13.5" hidden="1" customHeight="1">
      <c r="A1123" s="12"/>
      <c r="B1123" s="116" t="s">
        <v>471</v>
      </c>
      <c r="C1123" s="135">
        <v>59</v>
      </c>
      <c r="D1123" s="46"/>
      <c r="E1123" s="30"/>
      <c r="F1123" s="46"/>
      <c r="G1123" s="30"/>
      <c r="H1123" s="30"/>
      <c r="I1123" s="30"/>
      <c r="J1123" s="30"/>
      <c r="K1123" s="64"/>
      <c r="L1123" s="30"/>
      <c r="M1123" s="30"/>
      <c r="N1123" s="30"/>
      <c r="O1123" s="30">
        <f t="shared" si="1273"/>
        <v>0</v>
      </c>
      <c r="P1123" s="100">
        <f t="shared" si="1274"/>
        <v>0</v>
      </c>
      <c r="Q1123" s="30"/>
      <c r="R1123" s="30"/>
      <c r="S1123" s="30"/>
    </row>
    <row r="1124" spans="1:19" ht="13.5" hidden="1" customHeight="1">
      <c r="A1124" s="12"/>
      <c r="B1124" s="116" t="s">
        <v>163</v>
      </c>
      <c r="C1124" s="135">
        <v>85</v>
      </c>
      <c r="D1124" s="46"/>
      <c r="E1124" s="30"/>
      <c r="F1124" s="46"/>
      <c r="G1124" s="30"/>
      <c r="H1124" s="30"/>
      <c r="I1124" s="30"/>
      <c r="J1124" s="30"/>
      <c r="K1124" s="64"/>
      <c r="L1124" s="30"/>
      <c r="M1124" s="30"/>
      <c r="N1124" s="30"/>
      <c r="O1124" s="30">
        <f t="shared" si="1273"/>
        <v>0</v>
      </c>
      <c r="P1124" s="100">
        <f t="shared" si="1274"/>
        <v>0</v>
      </c>
      <c r="Q1124" s="30"/>
      <c r="R1124" s="30"/>
      <c r="S1124" s="30"/>
    </row>
    <row r="1125" spans="1:19" ht="13.5" hidden="1" customHeight="1">
      <c r="A1125" s="12"/>
      <c r="B1125" s="116" t="s">
        <v>561</v>
      </c>
      <c r="C1125" s="135">
        <v>40.299999999999997</v>
      </c>
      <c r="D1125" s="46"/>
      <c r="E1125" s="30"/>
      <c r="F1125" s="46"/>
      <c r="G1125" s="30"/>
      <c r="H1125" s="30"/>
      <c r="I1125" s="30"/>
      <c r="J1125" s="30"/>
      <c r="K1125" s="64"/>
      <c r="L1125" s="30"/>
      <c r="M1125" s="30"/>
      <c r="N1125" s="30"/>
      <c r="O1125" s="30">
        <f t="shared" si="1273"/>
        <v>0</v>
      </c>
      <c r="P1125" s="100">
        <f t="shared" si="1274"/>
        <v>0</v>
      </c>
      <c r="Q1125" s="30"/>
      <c r="R1125" s="30"/>
      <c r="S1125" s="30"/>
    </row>
    <row r="1126" spans="1:19" ht="15" customHeight="1">
      <c r="A1126" s="12"/>
      <c r="B1126" s="129" t="s">
        <v>164</v>
      </c>
      <c r="C1126" s="37"/>
      <c r="D1126" s="138">
        <f t="shared" ref="D1126:S1126" si="1304">D1127</f>
        <v>44333.47</v>
      </c>
      <c r="E1126" s="138">
        <f t="shared" si="1304"/>
        <v>41032.19</v>
      </c>
      <c r="F1126" s="138">
        <f t="shared" si="1304"/>
        <v>30966</v>
      </c>
      <c r="G1126" s="138">
        <f t="shared" si="1304"/>
        <v>41032.19</v>
      </c>
      <c r="H1126" s="138">
        <f t="shared" si="1304"/>
        <v>23246</v>
      </c>
      <c r="I1126" s="138">
        <f t="shared" si="1304"/>
        <v>151063</v>
      </c>
      <c r="J1126" s="138">
        <f t="shared" si="1304"/>
        <v>40137</v>
      </c>
      <c r="K1126" s="206">
        <f t="shared" si="1304"/>
        <v>10718</v>
      </c>
      <c r="L1126" s="138">
        <f t="shared" si="1304"/>
        <v>2758</v>
      </c>
      <c r="M1126" s="138">
        <f t="shared" si="1304"/>
        <v>5606</v>
      </c>
      <c r="N1126" s="138">
        <f t="shared" si="1304"/>
        <v>21055</v>
      </c>
      <c r="O1126" s="30">
        <f t="shared" si="1273"/>
        <v>40137</v>
      </c>
      <c r="P1126" s="100">
        <f t="shared" si="1274"/>
        <v>0</v>
      </c>
      <c r="Q1126" s="138">
        <f t="shared" si="1304"/>
        <v>5696</v>
      </c>
      <c r="R1126" s="138">
        <f t="shared" si="1304"/>
        <v>11994</v>
      </c>
      <c r="S1126" s="138">
        <f t="shared" si="1304"/>
        <v>15026</v>
      </c>
    </row>
    <row r="1127" spans="1:19" ht="15" customHeight="1">
      <c r="A1127" s="12"/>
      <c r="B1127" s="116" t="s">
        <v>462</v>
      </c>
      <c r="C1127" s="135">
        <v>70</v>
      </c>
      <c r="D1127" s="114">
        <v>44333.47</v>
      </c>
      <c r="E1127" s="114">
        <f t="shared" ref="E1127:S1127" si="1305">E1128+E1129+E1130+E1131</f>
        <v>41032.19</v>
      </c>
      <c r="F1127" s="114">
        <f t="shared" si="1305"/>
        <v>30966</v>
      </c>
      <c r="G1127" s="114">
        <f t="shared" si="1305"/>
        <v>41032.19</v>
      </c>
      <c r="H1127" s="114">
        <f t="shared" ref="H1127" si="1306">H1128+H1129+H1130+H1131</f>
        <v>23246</v>
      </c>
      <c r="I1127" s="114">
        <f t="shared" si="1305"/>
        <v>151063</v>
      </c>
      <c r="J1127" s="114">
        <f t="shared" si="1305"/>
        <v>40137</v>
      </c>
      <c r="K1127" s="202">
        <f t="shared" ref="K1127:N1127" si="1307">K1128+K1129+K1130+K1131</f>
        <v>10718</v>
      </c>
      <c r="L1127" s="114">
        <f t="shared" si="1307"/>
        <v>2758</v>
      </c>
      <c r="M1127" s="114">
        <f t="shared" si="1307"/>
        <v>5606</v>
      </c>
      <c r="N1127" s="114">
        <f t="shared" si="1307"/>
        <v>21055</v>
      </c>
      <c r="O1127" s="30">
        <f t="shared" si="1273"/>
        <v>40137</v>
      </c>
      <c r="P1127" s="100">
        <f t="shared" si="1274"/>
        <v>0</v>
      </c>
      <c r="Q1127" s="114">
        <f t="shared" si="1305"/>
        <v>5696</v>
      </c>
      <c r="R1127" s="114">
        <f t="shared" si="1305"/>
        <v>11994</v>
      </c>
      <c r="S1127" s="114">
        <f t="shared" si="1305"/>
        <v>15026</v>
      </c>
    </row>
    <row r="1128" spans="1:19" ht="15" customHeight="1">
      <c r="A1128" s="12"/>
      <c r="B1128" s="116" t="s">
        <v>523</v>
      </c>
      <c r="C1128" s="135"/>
      <c r="D1128" s="114">
        <f t="shared" ref="D1128:S1128" si="1308">D1137+D1139+D1138</f>
        <v>0</v>
      </c>
      <c r="E1128" s="114">
        <f t="shared" si="1308"/>
        <v>41032.19</v>
      </c>
      <c r="F1128" s="114">
        <f t="shared" si="1308"/>
        <v>30966</v>
      </c>
      <c r="G1128" s="114">
        <f t="shared" si="1308"/>
        <v>41032.19</v>
      </c>
      <c r="H1128" s="114">
        <v>23246</v>
      </c>
      <c r="I1128" s="114">
        <f t="shared" si="1308"/>
        <v>151063</v>
      </c>
      <c r="J1128" s="114">
        <f t="shared" si="1308"/>
        <v>40137</v>
      </c>
      <c r="K1128" s="202">
        <f t="shared" ref="K1128:N1128" si="1309">K1137+K1139+K1138</f>
        <v>10718</v>
      </c>
      <c r="L1128" s="114">
        <f t="shared" si="1309"/>
        <v>2758</v>
      </c>
      <c r="M1128" s="114">
        <f t="shared" si="1309"/>
        <v>5606</v>
      </c>
      <c r="N1128" s="114">
        <f t="shared" si="1309"/>
        <v>21055</v>
      </c>
      <c r="O1128" s="30">
        <f t="shared" si="1273"/>
        <v>40137</v>
      </c>
      <c r="P1128" s="100">
        <f t="shared" si="1274"/>
        <v>0</v>
      </c>
      <c r="Q1128" s="114">
        <f t="shared" si="1308"/>
        <v>5696</v>
      </c>
      <c r="R1128" s="114">
        <f t="shared" si="1308"/>
        <v>11994</v>
      </c>
      <c r="S1128" s="114">
        <f t="shared" si="1308"/>
        <v>15026</v>
      </c>
    </row>
    <row r="1129" spans="1:19" ht="15" hidden="1" customHeight="1">
      <c r="A1129" s="12"/>
      <c r="B1129" s="116" t="s">
        <v>478</v>
      </c>
      <c r="C1129" s="135"/>
      <c r="D1129" s="46"/>
      <c r="E1129" s="30"/>
      <c r="F1129" s="46"/>
      <c r="G1129" s="30"/>
      <c r="H1129" s="30"/>
      <c r="I1129" s="30"/>
      <c r="J1129" s="30"/>
      <c r="K1129" s="64"/>
      <c r="L1129" s="30"/>
      <c r="M1129" s="30"/>
      <c r="N1129" s="30"/>
      <c r="O1129" s="30">
        <f t="shared" si="1273"/>
        <v>0</v>
      </c>
      <c r="P1129" s="100">
        <f t="shared" si="1274"/>
        <v>0</v>
      </c>
      <c r="Q1129" s="30"/>
      <c r="R1129" s="30"/>
      <c r="S1129" s="30"/>
    </row>
    <row r="1130" spans="1:19" ht="15" hidden="1" customHeight="1">
      <c r="A1130" s="12"/>
      <c r="B1130" s="116" t="s">
        <v>479</v>
      </c>
      <c r="C1130" s="135"/>
      <c r="D1130" s="46"/>
      <c r="E1130" s="30"/>
      <c r="F1130" s="46"/>
      <c r="G1130" s="30"/>
      <c r="H1130" s="30"/>
      <c r="I1130" s="30"/>
      <c r="J1130" s="30"/>
      <c r="K1130" s="64"/>
      <c r="L1130" s="30"/>
      <c r="M1130" s="30"/>
      <c r="N1130" s="30"/>
      <c r="O1130" s="30">
        <f t="shared" si="1273"/>
        <v>0</v>
      </c>
      <c r="P1130" s="100">
        <f t="shared" si="1274"/>
        <v>0</v>
      </c>
      <c r="Q1130" s="30"/>
      <c r="R1130" s="30"/>
      <c r="S1130" s="30"/>
    </row>
    <row r="1131" spans="1:19" ht="15" hidden="1" customHeight="1">
      <c r="A1131" s="12"/>
      <c r="B1131" s="116" t="s">
        <v>480</v>
      </c>
      <c r="C1131" s="135"/>
      <c r="D1131" s="46"/>
      <c r="E1131" s="30"/>
      <c r="F1131" s="46"/>
      <c r="G1131" s="30"/>
      <c r="H1131" s="30"/>
      <c r="I1131" s="30"/>
      <c r="J1131" s="30"/>
      <c r="K1131" s="64"/>
      <c r="L1131" s="30"/>
      <c r="M1131" s="30"/>
      <c r="N1131" s="30"/>
      <c r="O1131" s="30">
        <f t="shared" si="1273"/>
        <v>0</v>
      </c>
      <c r="P1131" s="100">
        <f t="shared" si="1274"/>
        <v>0</v>
      </c>
      <c r="Q1131" s="30"/>
      <c r="R1131" s="30"/>
      <c r="S1131" s="30"/>
    </row>
    <row r="1132" spans="1:19" ht="21" hidden="1" customHeight="1">
      <c r="A1132" s="12"/>
      <c r="B1132" s="35"/>
      <c r="C1132" s="135"/>
      <c r="D1132" s="46"/>
      <c r="E1132" s="30"/>
      <c r="F1132" s="46"/>
      <c r="G1132" s="30"/>
      <c r="H1132" s="30"/>
      <c r="I1132" s="30"/>
      <c r="J1132" s="30"/>
      <c r="K1132" s="64"/>
      <c r="L1132" s="30"/>
      <c r="M1132" s="30"/>
      <c r="N1132" s="30"/>
      <c r="O1132" s="30">
        <f t="shared" si="1273"/>
        <v>0</v>
      </c>
      <c r="P1132" s="100">
        <f t="shared" si="1274"/>
        <v>0</v>
      </c>
      <c r="Q1132" s="30"/>
      <c r="R1132" s="30"/>
      <c r="S1132" s="30"/>
    </row>
    <row r="1133" spans="1:19" ht="23.25" hidden="1" customHeight="1">
      <c r="A1133" s="12"/>
      <c r="B1133" s="148"/>
      <c r="C1133" s="135"/>
      <c r="D1133" s="46"/>
      <c r="E1133" s="30"/>
      <c r="F1133" s="46"/>
      <c r="G1133" s="30"/>
      <c r="H1133" s="30"/>
      <c r="I1133" s="30"/>
      <c r="J1133" s="30"/>
      <c r="K1133" s="64"/>
      <c r="L1133" s="30"/>
      <c r="M1133" s="30"/>
      <c r="N1133" s="30"/>
      <c r="O1133" s="30">
        <f t="shared" si="1273"/>
        <v>0</v>
      </c>
      <c r="P1133" s="100">
        <f t="shared" si="1274"/>
        <v>0</v>
      </c>
      <c r="Q1133" s="30"/>
      <c r="R1133" s="30"/>
      <c r="S1133" s="30"/>
    </row>
    <row r="1134" spans="1:19" ht="17.25" hidden="1" customHeight="1">
      <c r="A1134" s="12"/>
      <c r="B1134" s="148"/>
      <c r="C1134" s="135"/>
      <c r="D1134" s="46"/>
      <c r="E1134" s="30"/>
      <c r="F1134" s="46"/>
      <c r="G1134" s="30"/>
      <c r="H1134" s="30"/>
      <c r="I1134" s="30"/>
      <c r="J1134" s="30"/>
      <c r="K1134" s="64"/>
      <c r="L1134" s="30"/>
      <c r="M1134" s="30"/>
      <c r="N1134" s="30"/>
      <c r="O1134" s="30">
        <f t="shared" si="1273"/>
        <v>0</v>
      </c>
      <c r="P1134" s="100">
        <f t="shared" si="1274"/>
        <v>0</v>
      </c>
      <c r="Q1134" s="30"/>
      <c r="R1134" s="30"/>
      <c r="S1134" s="30"/>
    </row>
    <row r="1135" spans="1:19" ht="21" hidden="1" customHeight="1">
      <c r="A1135" s="12"/>
      <c r="B1135" s="35"/>
      <c r="C1135" s="135"/>
      <c r="D1135" s="46"/>
      <c r="E1135" s="30"/>
      <c r="F1135" s="46"/>
      <c r="G1135" s="30"/>
      <c r="H1135" s="30"/>
      <c r="I1135" s="30"/>
      <c r="J1135" s="30"/>
      <c r="K1135" s="64"/>
      <c r="L1135" s="30"/>
      <c r="M1135" s="30"/>
      <c r="N1135" s="30"/>
      <c r="O1135" s="30">
        <f t="shared" si="1273"/>
        <v>0</v>
      </c>
      <c r="P1135" s="100">
        <f t="shared" si="1274"/>
        <v>0</v>
      </c>
      <c r="Q1135" s="30"/>
      <c r="R1135" s="30"/>
      <c r="S1135" s="30"/>
    </row>
    <row r="1136" spans="1:19" ht="24" hidden="1" customHeight="1">
      <c r="A1136" s="183"/>
      <c r="B1136" s="129" t="s">
        <v>407</v>
      </c>
      <c r="C1136" s="37">
        <v>70</v>
      </c>
      <c r="D1136" s="46"/>
      <c r="E1136" s="30"/>
      <c r="F1136" s="46"/>
      <c r="G1136" s="30"/>
      <c r="H1136" s="30"/>
      <c r="I1136" s="30"/>
      <c r="J1136" s="30"/>
      <c r="K1136" s="64"/>
      <c r="L1136" s="30"/>
      <c r="M1136" s="30"/>
      <c r="N1136" s="30"/>
      <c r="O1136" s="30">
        <f t="shared" si="1273"/>
        <v>0</v>
      </c>
      <c r="P1136" s="100">
        <f t="shared" si="1274"/>
        <v>0</v>
      </c>
      <c r="Q1136" s="30"/>
      <c r="R1136" s="30"/>
      <c r="S1136" s="30"/>
    </row>
    <row r="1137" spans="1:20" ht="18.75" customHeight="1">
      <c r="A1137" s="183"/>
      <c r="B1137" s="129" t="s">
        <v>597</v>
      </c>
      <c r="C1137" s="37"/>
      <c r="D1137" s="46"/>
      <c r="E1137" s="30">
        <v>5800</v>
      </c>
      <c r="F1137" s="46">
        <f>2600+3200</f>
        <v>5800</v>
      </c>
      <c r="G1137" s="46">
        <v>5800</v>
      </c>
      <c r="H1137" s="46"/>
      <c r="I1137" s="46">
        <v>3995</v>
      </c>
      <c r="J1137" s="46">
        <v>3995</v>
      </c>
      <c r="K1137" s="201">
        <v>168</v>
      </c>
      <c r="L1137" s="46">
        <f>959-570</f>
        <v>389</v>
      </c>
      <c r="M1137" s="46">
        <f>126-20</f>
        <v>106</v>
      </c>
      <c r="N1137" s="46">
        <v>3332</v>
      </c>
      <c r="O1137" s="30">
        <f t="shared" si="1273"/>
        <v>3995</v>
      </c>
      <c r="P1137" s="100">
        <f t="shared" si="1274"/>
        <v>0</v>
      </c>
      <c r="Q1137" s="46">
        <v>0</v>
      </c>
      <c r="R1137" s="46">
        <v>0</v>
      </c>
      <c r="S1137" s="46">
        <v>0</v>
      </c>
    </row>
    <row r="1138" spans="1:20" ht="16.5" customHeight="1">
      <c r="A1138" s="183"/>
      <c r="B1138" s="129" t="s">
        <v>563</v>
      </c>
      <c r="C1138" s="37"/>
      <c r="D1138" s="46"/>
      <c r="E1138" s="30">
        <v>17974</v>
      </c>
      <c r="F1138" s="46">
        <v>13974</v>
      </c>
      <c r="G1138" s="46">
        <v>17974</v>
      </c>
      <c r="H1138" s="46"/>
      <c r="I1138" s="46">
        <v>17850</v>
      </c>
      <c r="J1138" s="46">
        <v>17850</v>
      </c>
      <c r="K1138" s="201">
        <v>550</v>
      </c>
      <c r="L1138" s="46">
        <f>1140-171</f>
        <v>969</v>
      </c>
      <c r="M1138" s="46">
        <f>38396-37896</f>
        <v>500</v>
      </c>
      <c r="N1138" s="46">
        <f>53727-37896</f>
        <v>15831</v>
      </c>
      <c r="O1138" s="30">
        <f t="shared" si="1273"/>
        <v>17850</v>
      </c>
      <c r="P1138" s="100">
        <f t="shared" si="1274"/>
        <v>0</v>
      </c>
      <c r="Q1138" s="46"/>
      <c r="R1138" s="46"/>
      <c r="S1138" s="46"/>
    </row>
    <row r="1139" spans="1:20" ht="21" customHeight="1">
      <c r="A1139" s="183"/>
      <c r="B1139" s="129" t="s">
        <v>562</v>
      </c>
      <c r="C1139" s="37"/>
      <c r="D1139" s="46"/>
      <c r="E1139" s="30">
        <f>13258.19+4000</f>
        <v>17258.190000000002</v>
      </c>
      <c r="F1139" s="46">
        <f>10392-3200+4000</f>
        <v>11192</v>
      </c>
      <c r="G1139" s="46">
        <f>13258.19+4000</f>
        <v>17258.190000000002</v>
      </c>
      <c r="H1139" s="46"/>
      <c r="I1139" s="46">
        <f>38438+1108+20500+49942+18000+1200+30+65-65</f>
        <v>129218</v>
      </c>
      <c r="J1139" s="46">
        <f>2204+5235+10000+607+238+8</f>
        <v>18292</v>
      </c>
      <c r="K1139" s="201">
        <f>10000+200+238+8+2138+2190-500-2000+527-436-2769+404</f>
        <v>10000</v>
      </c>
      <c r="L1139" s="46">
        <f>3000-2368+1000-674-20+200+228+34</f>
        <v>1400</v>
      </c>
      <c r="M1139" s="46">
        <f>3000-2190+1000+336+20+836+2041-43</f>
        <v>5000</v>
      </c>
      <c r="N1139" s="46">
        <f>4046-3015+1015-200+500+41-600+500-395</f>
        <v>1892</v>
      </c>
      <c r="O1139" s="30">
        <f t="shared" si="1273"/>
        <v>18292</v>
      </c>
      <c r="P1139" s="100">
        <f t="shared" si="1274"/>
        <v>0</v>
      </c>
      <c r="Q1139" s="46">
        <f>11000-1304-1-2149-2150+300</f>
        <v>5696</v>
      </c>
      <c r="R1139" s="46">
        <f>12000+1844-2150+300</f>
        <v>11994</v>
      </c>
      <c r="S1139" s="46">
        <f>15000+1876-2150+300</f>
        <v>15026</v>
      </c>
      <c r="T1139" s="40"/>
    </row>
    <row r="1140" spans="1:20" ht="58.5" hidden="1" customHeight="1">
      <c r="A1140" s="188" t="s">
        <v>460</v>
      </c>
      <c r="B1140" s="157" t="s">
        <v>631</v>
      </c>
      <c r="C1140" s="37" t="s">
        <v>630</v>
      </c>
      <c r="D1140" s="46">
        <f>D1141</f>
        <v>0</v>
      </c>
      <c r="E1140" s="46">
        <f t="shared" ref="E1140:S1142" si="1310">E1141</f>
        <v>2.2000000000000002</v>
      </c>
      <c r="F1140" s="46">
        <f>F1141</f>
        <v>0</v>
      </c>
      <c r="G1140" s="46">
        <f t="shared" si="1310"/>
        <v>2.2000000000000002</v>
      </c>
      <c r="H1140" s="46">
        <f t="shared" si="1310"/>
        <v>2.2000000000000002</v>
      </c>
      <c r="I1140" s="46">
        <f t="shared" si="1310"/>
        <v>0</v>
      </c>
      <c r="J1140" s="46">
        <f t="shared" si="1310"/>
        <v>0</v>
      </c>
      <c r="K1140" s="201">
        <f t="shared" si="1310"/>
        <v>0</v>
      </c>
      <c r="L1140" s="46">
        <f t="shared" si="1310"/>
        <v>0</v>
      </c>
      <c r="M1140" s="46">
        <f t="shared" si="1310"/>
        <v>0</v>
      </c>
      <c r="N1140" s="46">
        <f t="shared" si="1310"/>
        <v>0</v>
      </c>
      <c r="O1140" s="30">
        <f t="shared" si="1273"/>
        <v>0</v>
      </c>
      <c r="P1140" s="100">
        <f t="shared" si="1274"/>
        <v>0</v>
      </c>
      <c r="Q1140" s="46">
        <f t="shared" si="1310"/>
        <v>0</v>
      </c>
      <c r="R1140" s="46">
        <f t="shared" si="1310"/>
        <v>0</v>
      </c>
      <c r="S1140" s="46">
        <f t="shared" si="1310"/>
        <v>0</v>
      </c>
    </row>
    <row r="1141" spans="1:20" ht="18.75" hidden="1" customHeight="1">
      <c r="A1141" s="188"/>
      <c r="B1141" s="157" t="s">
        <v>164</v>
      </c>
      <c r="C1141" s="37"/>
      <c r="D1141" s="46">
        <f>D1142</f>
        <v>0</v>
      </c>
      <c r="E1141" s="46">
        <f t="shared" si="1310"/>
        <v>2.2000000000000002</v>
      </c>
      <c r="F1141" s="46">
        <f>F1142</f>
        <v>0</v>
      </c>
      <c r="G1141" s="46">
        <f t="shared" si="1310"/>
        <v>2.2000000000000002</v>
      </c>
      <c r="H1141" s="46">
        <f t="shared" si="1310"/>
        <v>2.2000000000000002</v>
      </c>
      <c r="I1141" s="46">
        <f t="shared" si="1310"/>
        <v>0</v>
      </c>
      <c r="J1141" s="46">
        <f t="shared" si="1310"/>
        <v>0</v>
      </c>
      <c r="K1141" s="201">
        <f t="shared" si="1310"/>
        <v>0</v>
      </c>
      <c r="L1141" s="46">
        <f t="shared" si="1310"/>
        <v>0</v>
      </c>
      <c r="M1141" s="46">
        <f t="shared" si="1310"/>
        <v>0</v>
      </c>
      <c r="N1141" s="46">
        <f t="shared" si="1310"/>
        <v>0</v>
      </c>
      <c r="O1141" s="30">
        <f t="shared" si="1273"/>
        <v>0</v>
      </c>
      <c r="P1141" s="100">
        <f t="shared" si="1274"/>
        <v>0</v>
      </c>
      <c r="Q1141" s="46">
        <f t="shared" si="1310"/>
        <v>0</v>
      </c>
      <c r="R1141" s="46">
        <f t="shared" si="1310"/>
        <v>0</v>
      </c>
      <c r="S1141" s="46">
        <f t="shared" si="1310"/>
        <v>0</v>
      </c>
    </row>
    <row r="1142" spans="1:20" ht="21" hidden="1" customHeight="1">
      <c r="A1142" s="188"/>
      <c r="B1142" s="120" t="s">
        <v>553</v>
      </c>
      <c r="C1142" s="135" t="s">
        <v>554</v>
      </c>
      <c r="D1142" s="46">
        <f>D1143</f>
        <v>0</v>
      </c>
      <c r="E1142" s="46">
        <f t="shared" si="1310"/>
        <v>2.2000000000000002</v>
      </c>
      <c r="F1142" s="46">
        <f>F1143</f>
        <v>0</v>
      </c>
      <c r="G1142" s="46">
        <f t="shared" si="1310"/>
        <v>2.2000000000000002</v>
      </c>
      <c r="H1142" s="46">
        <f t="shared" si="1310"/>
        <v>2.2000000000000002</v>
      </c>
      <c r="I1142" s="46">
        <f t="shared" si="1310"/>
        <v>0</v>
      </c>
      <c r="J1142" s="46">
        <f t="shared" si="1310"/>
        <v>0</v>
      </c>
      <c r="K1142" s="201">
        <f t="shared" si="1310"/>
        <v>0</v>
      </c>
      <c r="L1142" s="46">
        <f t="shared" si="1310"/>
        <v>0</v>
      </c>
      <c r="M1142" s="46">
        <f t="shared" si="1310"/>
        <v>0</v>
      </c>
      <c r="N1142" s="46">
        <f t="shared" si="1310"/>
        <v>0</v>
      </c>
      <c r="O1142" s="30">
        <f t="shared" si="1273"/>
        <v>0</v>
      </c>
      <c r="P1142" s="100">
        <f t="shared" si="1274"/>
        <v>0</v>
      </c>
      <c r="Q1142" s="46">
        <f t="shared" si="1310"/>
        <v>0</v>
      </c>
      <c r="R1142" s="46">
        <f t="shared" si="1310"/>
        <v>0</v>
      </c>
      <c r="S1142" s="46">
        <f t="shared" si="1310"/>
        <v>0</v>
      </c>
    </row>
    <row r="1143" spans="1:20" ht="28.5" hidden="1" customHeight="1">
      <c r="A1143" s="188"/>
      <c r="B1143" s="120" t="s">
        <v>555</v>
      </c>
      <c r="C1143" s="135" t="s">
        <v>556</v>
      </c>
      <c r="D1143" s="46">
        <v>0</v>
      </c>
      <c r="E1143" s="30">
        <v>2.2000000000000002</v>
      </c>
      <c r="F1143" s="46">
        <v>0</v>
      </c>
      <c r="G1143" s="30">
        <v>2.2000000000000002</v>
      </c>
      <c r="H1143" s="30">
        <v>2.2000000000000002</v>
      </c>
      <c r="I1143" s="30"/>
      <c r="J1143" s="30"/>
      <c r="K1143" s="64"/>
      <c r="L1143" s="30"/>
      <c r="M1143" s="30"/>
      <c r="N1143" s="30"/>
      <c r="O1143" s="30">
        <f t="shared" si="1273"/>
        <v>0</v>
      </c>
      <c r="P1143" s="100">
        <f t="shared" si="1274"/>
        <v>0</v>
      </c>
      <c r="Q1143" s="30"/>
      <c r="R1143" s="30"/>
      <c r="S1143" s="30"/>
    </row>
    <row r="1144" spans="1:20" ht="56.25" customHeight="1">
      <c r="A1144" s="183" t="s">
        <v>528</v>
      </c>
      <c r="B1144" s="247" t="s">
        <v>420</v>
      </c>
      <c r="C1144" s="248">
        <f>C1145</f>
        <v>58</v>
      </c>
      <c r="D1144" s="158">
        <f t="shared" ref="D1144:S1145" si="1311">D1145</f>
        <v>0</v>
      </c>
      <c r="E1144" s="158">
        <f t="shared" si="1311"/>
        <v>40559</v>
      </c>
      <c r="F1144" s="158">
        <f t="shared" si="1311"/>
        <v>40559</v>
      </c>
      <c r="G1144" s="158">
        <f t="shared" si="1311"/>
        <v>40559</v>
      </c>
      <c r="H1144" s="158">
        <f t="shared" si="1311"/>
        <v>38753</v>
      </c>
      <c r="I1144" s="158">
        <f t="shared" si="1311"/>
        <v>29877</v>
      </c>
      <c r="J1144" s="158">
        <f t="shared" si="1311"/>
        <v>29877</v>
      </c>
      <c r="K1144" s="217">
        <f t="shared" si="1311"/>
        <v>10</v>
      </c>
      <c r="L1144" s="158">
        <f t="shared" si="1311"/>
        <v>12000</v>
      </c>
      <c r="M1144" s="158">
        <f t="shared" si="1311"/>
        <v>14000</v>
      </c>
      <c r="N1144" s="158">
        <f t="shared" si="1311"/>
        <v>3867</v>
      </c>
      <c r="O1144" s="30">
        <f t="shared" si="1273"/>
        <v>29877</v>
      </c>
      <c r="P1144" s="100">
        <f t="shared" si="1274"/>
        <v>0</v>
      </c>
      <c r="Q1144" s="159">
        <f t="shared" si="1311"/>
        <v>0</v>
      </c>
      <c r="R1144" s="159">
        <f t="shared" si="1311"/>
        <v>0</v>
      </c>
      <c r="S1144" s="159">
        <f t="shared" si="1311"/>
        <v>0</v>
      </c>
    </row>
    <row r="1145" spans="1:20" ht="15.75" customHeight="1">
      <c r="A1145" s="183"/>
      <c r="B1145" s="116" t="s">
        <v>164</v>
      </c>
      <c r="C1145" s="37">
        <f>C1146</f>
        <v>58</v>
      </c>
      <c r="D1145" s="160">
        <f t="shared" si="1311"/>
        <v>0</v>
      </c>
      <c r="E1145" s="160">
        <f t="shared" si="1311"/>
        <v>40559</v>
      </c>
      <c r="F1145" s="160">
        <f t="shared" si="1311"/>
        <v>40559</v>
      </c>
      <c r="G1145" s="160">
        <f t="shared" si="1311"/>
        <v>40559</v>
      </c>
      <c r="H1145" s="160">
        <f t="shared" si="1311"/>
        <v>38753</v>
      </c>
      <c r="I1145" s="160">
        <f t="shared" si="1311"/>
        <v>29877</v>
      </c>
      <c r="J1145" s="160">
        <f t="shared" si="1311"/>
        <v>29877</v>
      </c>
      <c r="K1145" s="218">
        <f t="shared" si="1311"/>
        <v>10</v>
      </c>
      <c r="L1145" s="160">
        <f t="shared" si="1311"/>
        <v>12000</v>
      </c>
      <c r="M1145" s="160">
        <f t="shared" si="1311"/>
        <v>14000</v>
      </c>
      <c r="N1145" s="160">
        <f t="shared" si="1311"/>
        <v>3867</v>
      </c>
      <c r="O1145" s="30">
        <f t="shared" si="1273"/>
        <v>29877</v>
      </c>
      <c r="P1145" s="100">
        <f t="shared" si="1274"/>
        <v>0</v>
      </c>
      <c r="Q1145" s="160">
        <f t="shared" si="1311"/>
        <v>0</v>
      </c>
      <c r="R1145" s="160">
        <f t="shared" si="1311"/>
        <v>0</v>
      </c>
      <c r="S1145" s="160">
        <f t="shared" si="1311"/>
        <v>0</v>
      </c>
    </row>
    <row r="1146" spans="1:20" ht="21" customHeight="1">
      <c r="A1146" s="183"/>
      <c r="B1146" s="116" t="s">
        <v>173</v>
      </c>
      <c r="C1146" s="135">
        <v>58</v>
      </c>
      <c r="D1146" s="114">
        <f t="shared" ref="D1146:S1146" si="1312">D1147+D1148+D1149</f>
        <v>0</v>
      </c>
      <c r="E1146" s="114">
        <f t="shared" si="1312"/>
        <v>40559</v>
      </c>
      <c r="F1146" s="114">
        <f t="shared" si="1312"/>
        <v>40559</v>
      </c>
      <c r="G1146" s="114">
        <f t="shared" si="1312"/>
        <v>40559</v>
      </c>
      <c r="H1146" s="114">
        <f t="shared" ref="H1146" si="1313">H1147+H1148+H1149</f>
        <v>38753</v>
      </c>
      <c r="I1146" s="114">
        <f t="shared" si="1312"/>
        <v>29877</v>
      </c>
      <c r="J1146" s="114">
        <f t="shared" si="1312"/>
        <v>29877</v>
      </c>
      <c r="K1146" s="202">
        <f t="shared" ref="K1146:N1146" si="1314">K1147+K1148+K1149</f>
        <v>10</v>
      </c>
      <c r="L1146" s="114">
        <f t="shared" si="1314"/>
        <v>12000</v>
      </c>
      <c r="M1146" s="114">
        <f t="shared" si="1314"/>
        <v>14000</v>
      </c>
      <c r="N1146" s="114">
        <f t="shared" si="1314"/>
        <v>3867</v>
      </c>
      <c r="O1146" s="30">
        <f t="shared" si="1273"/>
        <v>29877</v>
      </c>
      <c r="P1146" s="100">
        <f t="shared" si="1274"/>
        <v>0</v>
      </c>
      <c r="Q1146" s="114">
        <f t="shared" si="1312"/>
        <v>0</v>
      </c>
      <c r="R1146" s="114">
        <f t="shared" si="1312"/>
        <v>0</v>
      </c>
      <c r="S1146" s="114">
        <f t="shared" si="1312"/>
        <v>0</v>
      </c>
    </row>
    <row r="1147" spans="1:20" ht="18.75" customHeight="1">
      <c r="A1147" s="183"/>
      <c r="B1147" s="116" t="s">
        <v>529</v>
      </c>
      <c r="C1147" s="135" t="s">
        <v>473</v>
      </c>
      <c r="D1147" s="46"/>
      <c r="E1147" s="30">
        <v>5257</v>
      </c>
      <c r="F1147" s="46">
        <v>5257</v>
      </c>
      <c r="G1147" s="30">
        <v>5257</v>
      </c>
      <c r="H1147" s="30">
        <v>5035</v>
      </c>
      <c r="I1147" s="30">
        <v>3963</v>
      </c>
      <c r="J1147" s="30">
        <v>3963</v>
      </c>
      <c r="K1147" s="64">
        <v>1</v>
      </c>
      <c r="L1147" s="30">
        <v>1680</v>
      </c>
      <c r="M1147" s="30">
        <v>1960</v>
      </c>
      <c r="N1147" s="30">
        <v>322</v>
      </c>
      <c r="O1147" s="30">
        <f t="shared" si="1273"/>
        <v>3963</v>
      </c>
      <c r="P1147" s="100">
        <f t="shared" si="1274"/>
        <v>0</v>
      </c>
      <c r="Q1147" s="30"/>
      <c r="R1147" s="30"/>
      <c r="S1147" s="30"/>
    </row>
    <row r="1148" spans="1:20" ht="16.5" customHeight="1">
      <c r="A1148" s="183"/>
      <c r="B1148" s="116" t="s">
        <v>443</v>
      </c>
      <c r="C1148" s="135" t="s">
        <v>444</v>
      </c>
      <c r="D1148" s="46"/>
      <c r="E1148" s="30">
        <v>34370</v>
      </c>
      <c r="F1148" s="46">
        <v>34370</v>
      </c>
      <c r="G1148" s="30">
        <v>34370</v>
      </c>
      <c r="H1148" s="30">
        <v>32922</v>
      </c>
      <c r="I1148" s="30">
        <v>25914</v>
      </c>
      <c r="J1148" s="30">
        <v>25914</v>
      </c>
      <c r="K1148" s="64">
        <v>9</v>
      </c>
      <c r="L1148" s="30">
        <v>10320</v>
      </c>
      <c r="M1148" s="30">
        <v>12040</v>
      </c>
      <c r="N1148" s="30">
        <v>3545</v>
      </c>
      <c r="O1148" s="30">
        <f t="shared" si="1273"/>
        <v>25914</v>
      </c>
      <c r="P1148" s="100">
        <f t="shared" si="1274"/>
        <v>0</v>
      </c>
      <c r="Q1148" s="30"/>
      <c r="R1148" s="30"/>
      <c r="S1148" s="30"/>
    </row>
    <row r="1149" spans="1:20" ht="17.25" customHeight="1">
      <c r="A1149" s="183"/>
      <c r="B1149" s="116" t="s">
        <v>209</v>
      </c>
      <c r="C1149" s="135" t="s">
        <v>445</v>
      </c>
      <c r="D1149" s="46"/>
      <c r="E1149" s="30">
        <v>932</v>
      </c>
      <c r="F1149" s="46">
        <v>932</v>
      </c>
      <c r="G1149" s="30">
        <v>932</v>
      </c>
      <c r="H1149" s="30">
        <v>796</v>
      </c>
      <c r="I1149" s="30">
        <f>3863-3863</f>
        <v>0</v>
      </c>
      <c r="J1149" s="30"/>
      <c r="K1149" s="64"/>
      <c r="L1149" s="30"/>
      <c r="M1149" s="30"/>
      <c r="N1149" s="30"/>
      <c r="O1149" s="30">
        <f t="shared" si="1273"/>
        <v>0</v>
      </c>
      <c r="P1149" s="100">
        <f t="shared" si="1274"/>
        <v>0</v>
      </c>
      <c r="Q1149" s="30"/>
      <c r="R1149" s="30"/>
      <c r="S1149" s="30"/>
    </row>
    <row r="1150" spans="1:20" ht="57.75" customHeight="1">
      <c r="A1150" s="183" t="s">
        <v>629</v>
      </c>
      <c r="B1150" s="247" t="s">
        <v>527</v>
      </c>
      <c r="C1150" s="248">
        <f>C1151</f>
        <v>58</v>
      </c>
      <c r="D1150" s="67">
        <f t="shared" ref="D1150:S1151" si="1315">D1151</f>
        <v>0</v>
      </c>
      <c r="E1150" s="67">
        <f t="shared" si="1315"/>
        <v>23521</v>
      </c>
      <c r="F1150" s="67">
        <f t="shared" si="1315"/>
        <v>23521</v>
      </c>
      <c r="G1150" s="67">
        <f t="shared" si="1315"/>
        <v>23521</v>
      </c>
      <c r="H1150" s="67">
        <f t="shared" si="1315"/>
        <v>3677</v>
      </c>
      <c r="I1150" s="67">
        <f t="shared" si="1315"/>
        <v>63700</v>
      </c>
      <c r="J1150" s="67">
        <f t="shared" si="1315"/>
        <v>63700</v>
      </c>
      <c r="K1150" s="210">
        <f t="shared" si="1315"/>
        <v>500</v>
      </c>
      <c r="L1150" s="67">
        <f t="shared" si="1315"/>
        <v>19000</v>
      </c>
      <c r="M1150" s="67">
        <f t="shared" si="1315"/>
        <v>23000</v>
      </c>
      <c r="N1150" s="67">
        <f t="shared" si="1315"/>
        <v>21200</v>
      </c>
      <c r="O1150" s="30">
        <f t="shared" si="1273"/>
        <v>63700</v>
      </c>
      <c r="P1150" s="100">
        <f t="shared" si="1274"/>
        <v>0</v>
      </c>
      <c r="Q1150" s="114">
        <f t="shared" si="1315"/>
        <v>29344</v>
      </c>
      <c r="R1150" s="114">
        <f t="shared" si="1315"/>
        <v>0</v>
      </c>
      <c r="S1150" s="114">
        <f t="shared" si="1315"/>
        <v>0</v>
      </c>
    </row>
    <row r="1151" spans="1:20" ht="19.5" customHeight="1">
      <c r="A1151" s="183"/>
      <c r="B1151" s="116" t="s">
        <v>164</v>
      </c>
      <c r="C1151" s="37">
        <f>C1152</f>
        <v>58</v>
      </c>
      <c r="D1151" s="114">
        <f t="shared" si="1315"/>
        <v>0</v>
      </c>
      <c r="E1151" s="114">
        <f t="shared" si="1315"/>
        <v>23521</v>
      </c>
      <c r="F1151" s="114">
        <f t="shared" si="1315"/>
        <v>23521</v>
      </c>
      <c r="G1151" s="114">
        <f t="shared" si="1315"/>
        <v>23521</v>
      </c>
      <c r="H1151" s="114">
        <f t="shared" si="1315"/>
        <v>3677</v>
      </c>
      <c r="I1151" s="114">
        <f t="shared" si="1315"/>
        <v>63700</v>
      </c>
      <c r="J1151" s="114">
        <f t="shared" si="1315"/>
        <v>63700</v>
      </c>
      <c r="K1151" s="202">
        <f t="shared" si="1315"/>
        <v>500</v>
      </c>
      <c r="L1151" s="114">
        <f t="shared" si="1315"/>
        <v>19000</v>
      </c>
      <c r="M1151" s="114">
        <f t="shared" si="1315"/>
        <v>23000</v>
      </c>
      <c r="N1151" s="114">
        <f t="shared" si="1315"/>
        <v>21200</v>
      </c>
      <c r="O1151" s="30">
        <f t="shared" si="1273"/>
        <v>63700</v>
      </c>
      <c r="P1151" s="100">
        <f t="shared" si="1274"/>
        <v>0</v>
      </c>
      <c r="Q1151" s="114">
        <f t="shared" si="1315"/>
        <v>29344</v>
      </c>
      <c r="R1151" s="114">
        <f t="shared" si="1315"/>
        <v>0</v>
      </c>
      <c r="S1151" s="114">
        <f t="shared" si="1315"/>
        <v>0</v>
      </c>
    </row>
    <row r="1152" spans="1:20" ht="19.5" customHeight="1">
      <c r="A1152" s="183"/>
      <c r="B1152" s="116" t="s">
        <v>173</v>
      </c>
      <c r="C1152" s="135">
        <v>58</v>
      </c>
      <c r="D1152" s="114">
        <f t="shared" ref="D1152:S1152" si="1316">D1153+D1154+D1155</f>
        <v>0</v>
      </c>
      <c r="E1152" s="114">
        <f t="shared" si="1316"/>
        <v>23521</v>
      </c>
      <c r="F1152" s="114">
        <f t="shared" si="1316"/>
        <v>23521</v>
      </c>
      <c r="G1152" s="114">
        <f t="shared" si="1316"/>
        <v>23521</v>
      </c>
      <c r="H1152" s="114">
        <f t="shared" ref="H1152" si="1317">H1153+H1154+H1155</f>
        <v>3677</v>
      </c>
      <c r="I1152" s="114">
        <f t="shared" si="1316"/>
        <v>63700</v>
      </c>
      <c r="J1152" s="114">
        <f t="shared" si="1316"/>
        <v>63700</v>
      </c>
      <c r="K1152" s="202">
        <f t="shared" ref="K1152:N1152" si="1318">K1153+K1154+K1155</f>
        <v>500</v>
      </c>
      <c r="L1152" s="114">
        <f t="shared" si="1318"/>
        <v>19000</v>
      </c>
      <c r="M1152" s="114">
        <f t="shared" si="1318"/>
        <v>23000</v>
      </c>
      <c r="N1152" s="114">
        <f t="shared" si="1318"/>
        <v>21200</v>
      </c>
      <c r="O1152" s="30">
        <f t="shared" si="1273"/>
        <v>63700</v>
      </c>
      <c r="P1152" s="100">
        <f t="shared" si="1274"/>
        <v>0</v>
      </c>
      <c r="Q1152" s="114">
        <f t="shared" si="1316"/>
        <v>29344</v>
      </c>
      <c r="R1152" s="114">
        <f t="shared" si="1316"/>
        <v>0</v>
      </c>
      <c r="S1152" s="114">
        <f t="shared" si="1316"/>
        <v>0</v>
      </c>
    </row>
    <row r="1153" spans="1:19" ht="19.5" customHeight="1">
      <c r="A1153" s="183"/>
      <c r="B1153" s="116" t="s">
        <v>529</v>
      </c>
      <c r="C1153" s="135" t="s">
        <v>473</v>
      </c>
      <c r="D1153" s="46"/>
      <c r="E1153" s="30">
        <v>3050</v>
      </c>
      <c r="F1153" s="46">
        <v>3050</v>
      </c>
      <c r="G1153" s="30">
        <v>3050</v>
      </c>
      <c r="H1153" s="30">
        <v>478</v>
      </c>
      <c r="I1153" s="30">
        <v>8450</v>
      </c>
      <c r="J1153" s="30">
        <v>8450</v>
      </c>
      <c r="K1153" s="64">
        <v>70</v>
      </c>
      <c r="L1153" s="30">
        <v>2660</v>
      </c>
      <c r="M1153" s="30">
        <v>3220</v>
      </c>
      <c r="N1153" s="30">
        <v>2500</v>
      </c>
      <c r="O1153" s="30">
        <f t="shared" si="1273"/>
        <v>8450</v>
      </c>
      <c r="P1153" s="100">
        <f t="shared" si="1274"/>
        <v>0</v>
      </c>
      <c r="Q1153" s="30">
        <v>3771</v>
      </c>
      <c r="R1153" s="30"/>
      <c r="S1153" s="30"/>
    </row>
    <row r="1154" spans="1:19" ht="18.75" customHeight="1">
      <c r="A1154" s="183"/>
      <c r="B1154" s="116" t="s">
        <v>443</v>
      </c>
      <c r="C1154" s="135" t="s">
        <v>444</v>
      </c>
      <c r="D1154" s="46"/>
      <c r="E1154" s="30">
        <v>19944</v>
      </c>
      <c r="F1154" s="46">
        <v>19944</v>
      </c>
      <c r="G1154" s="30">
        <v>19944</v>
      </c>
      <c r="H1154" s="30">
        <v>3125</v>
      </c>
      <c r="I1154" s="30">
        <v>55250</v>
      </c>
      <c r="J1154" s="30">
        <v>55250</v>
      </c>
      <c r="K1154" s="64">
        <v>430</v>
      </c>
      <c r="L1154" s="30">
        <v>16340</v>
      </c>
      <c r="M1154" s="30">
        <v>19780</v>
      </c>
      <c r="N1154" s="30">
        <v>18700</v>
      </c>
      <c r="O1154" s="30">
        <f t="shared" si="1273"/>
        <v>55250</v>
      </c>
      <c r="P1154" s="100">
        <f t="shared" si="1274"/>
        <v>0</v>
      </c>
      <c r="Q1154" s="30">
        <v>24655</v>
      </c>
      <c r="R1154" s="30"/>
      <c r="S1154" s="30"/>
    </row>
    <row r="1155" spans="1:19" ht="13.5" customHeight="1">
      <c r="A1155" s="183"/>
      <c r="B1155" s="116" t="s">
        <v>209</v>
      </c>
      <c r="C1155" s="135" t="s">
        <v>445</v>
      </c>
      <c r="D1155" s="46"/>
      <c r="E1155" s="30">
        <v>527</v>
      </c>
      <c r="F1155" s="46">
        <v>527</v>
      </c>
      <c r="G1155" s="30">
        <v>527</v>
      </c>
      <c r="H1155" s="30">
        <v>74</v>
      </c>
      <c r="I1155" s="30">
        <f>1300-1300</f>
        <v>0</v>
      </c>
      <c r="J1155" s="30"/>
      <c r="K1155" s="64"/>
      <c r="L1155" s="30"/>
      <c r="M1155" s="30"/>
      <c r="N1155" s="30"/>
      <c r="O1155" s="30">
        <f t="shared" si="1273"/>
        <v>0</v>
      </c>
      <c r="P1155" s="100">
        <f t="shared" si="1274"/>
        <v>0</v>
      </c>
      <c r="Q1155" s="30">
        <v>918</v>
      </c>
      <c r="R1155" s="30"/>
      <c r="S1155" s="30"/>
    </row>
    <row r="1156" spans="1:19" ht="116.25" customHeight="1">
      <c r="A1156" s="183"/>
      <c r="B1156" s="247" t="s">
        <v>651</v>
      </c>
      <c r="C1156" s="248">
        <f>C1157</f>
        <v>58</v>
      </c>
      <c r="D1156" s="161">
        <f t="shared" ref="D1156:D1157" si="1319">D1157</f>
        <v>0</v>
      </c>
      <c r="E1156" s="68"/>
      <c r="F1156" s="161">
        <f t="shared" ref="F1156:S1157" si="1320">F1157</f>
        <v>0</v>
      </c>
      <c r="G1156" s="161">
        <f t="shared" si="1320"/>
        <v>0</v>
      </c>
      <c r="H1156" s="161">
        <f t="shared" si="1320"/>
        <v>0</v>
      </c>
      <c r="I1156" s="67">
        <f t="shared" si="1320"/>
        <v>3253</v>
      </c>
      <c r="J1156" s="67">
        <f t="shared" si="1320"/>
        <v>3253</v>
      </c>
      <c r="K1156" s="210">
        <f t="shared" si="1320"/>
        <v>488</v>
      </c>
      <c r="L1156" s="67">
        <f t="shared" si="1320"/>
        <v>1765</v>
      </c>
      <c r="M1156" s="67">
        <f t="shared" si="1320"/>
        <v>1000</v>
      </c>
      <c r="N1156" s="67">
        <f t="shared" si="1320"/>
        <v>0</v>
      </c>
      <c r="O1156" s="30">
        <f t="shared" si="1273"/>
        <v>3253</v>
      </c>
      <c r="P1156" s="100">
        <f t="shared" si="1274"/>
        <v>0</v>
      </c>
      <c r="Q1156" s="114">
        <f t="shared" si="1320"/>
        <v>1304</v>
      </c>
      <c r="R1156" s="114">
        <f t="shared" si="1320"/>
        <v>0</v>
      </c>
      <c r="S1156" s="114">
        <f t="shared" si="1320"/>
        <v>0</v>
      </c>
    </row>
    <row r="1157" spans="1:19" ht="13.5" customHeight="1">
      <c r="A1157" s="183"/>
      <c r="B1157" s="116" t="s">
        <v>164</v>
      </c>
      <c r="C1157" s="37">
        <f>C1158</f>
        <v>58</v>
      </c>
      <c r="D1157" s="122">
        <f t="shared" si="1319"/>
        <v>0</v>
      </c>
      <c r="E1157" s="30"/>
      <c r="F1157" s="122">
        <f t="shared" si="1320"/>
        <v>0</v>
      </c>
      <c r="G1157" s="122">
        <f t="shared" si="1320"/>
        <v>0</v>
      </c>
      <c r="H1157" s="122">
        <f t="shared" si="1320"/>
        <v>0</v>
      </c>
      <c r="I1157" s="114">
        <f t="shared" si="1320"/>
        <v>3253</v>
      </c>
      <c r="J1157" s="114">
        <f t="shared" si="1320"/>
        <v>3253</v>
      </c>
      <c r="K1157" s="202">
        <f t="shared" si="1320"/>
        <v>488</v>
      </c>
      <c r="L1157" s="114">
        <f t="shared" si="1320"/>
        <v>1765</v>
      </c>
      <c r="M1157" s="114">
        <f t="shared" si="1320"/>
        <v>1000</v>
      </c>
      <c r="N1157" s="114">
        <f t="shared" si="1320"/>
        <v>0</v>
      </c>
      <c r="O1157" s="30">
        <f t="shared" si="1273"/>
        <v>3253</v>
      </c>
      <c r="P1157" s="100">
        <f t="shared" si="1274"/>
        <v>0</v>
      </c>
      <c r="Q1157" s="114">
        <f t="shared" si="1320"/>
        <v>1304</v>
      </c>
      <c r="R1157" s="114">
        <f t="shared" si="1320"/>
        <v>0</v>
      </c>
      <c r="S1157" s="114">
        <f t="shared" si="1320"/>
        <v>0</v>
      </c>
    </row>
    <row r="1158" spans="1:19" ht="13.5" customHeight="1">
      <c r="A1158" s="183"/>
      <c r="B1158" s="116" t="s">
        <v>173</v>
      </c>
      <c r="C1158" s="135">
        <v>58</v>
      </c>
      <c r="D1158" s="122">
        <f t="shared" ref="D1158" si="1321">D1159+D1160+D1161</f>
        <v>0</v>
      </c>
      <c r="E1158" s="30"/>
      <c r="F1158" s="122">
        <f t="shared" ref="F1158:S1158" si="1322">F1159+F1160+F1161</f>
        <v>0</v>
      </c>
      <c r="G1158" s="122">
        <f t="shared" si="1322"/>
        <v>0</v>
      </c>
      <c r="H1158" s="122">
        <f t="shared" si="1322"/>
        <v>0</v>
      </c>
      <c r="I1158" s="114">
        <f t="shared" si="1322"/>
        <v>3253</v>
      </c>
      <c r="J1158" s="114">
        <f t="shared" si="1322"/>
        <v>3253</v>
      </c>
      <c r="K1158" s="202">
        <f t="shared" ref="K1158:N1158" si="1323">K1159+K1160+K1161</f>
        <v>488</v>
      </c>
      <c r="L1158" s="114">
        <f t="shared" si="1323"/>
        <v>1765</v>
      </c>
      <c r="M1158" s="114">
        <f t="shared" si="1323"/>
        <v>1000</v>
      </c>
      <c r="N1158" s="114">
        <f t="shared" si="1323"/>
        <v>0</v>
      </c>
      <c r="O1158" s="30">
        <f t="shared" si="1273"/>
        <v>3253</v>
      </c>
      <c r="P1158" s="100">
        <f t="shared" si="1274"/>
        <v>0</v>
      </c>
      <c r="Q1158" s="114">
        <f t="shared" si="1322"/>
        <v>1304</v>
      </c>
      <c r="R1158" s="114">
        <f t="shared" si="1322"/>
        <v>0</v>
      </c>
      <c r="S1158" s="114">
        <f t="shared" si="1322"/>
        <v>0</v>
      </c>
    </row>
    <row r="1159" spans="1:19" ht="13.5" customHeight="1">
      <c r="A1159" s="183"/>
      <c r="B1159" s="116" t="s">
        <v>529</v>
      </c>
      <c r="C1159" s="135" t="s">
        <v>502</v>
      </c>
      <c r="D1159" s="162"/>
      <c r="E1159" s="30"/>
      <c r="F1159" s="162"/>
      <c r="G1159" s="30"/>
      <c r="H1159" s="30"/>
      <c r="I1159" s="30">
        <v>423</v>
      </c>
      <c r="J1159" s="30">
        <v>423</v>
      </c>
      <c r="K1159" s="64">
        <v>423</v>
      </c>
      <c r="L1159" s="30"/>
      <c r="M1159" s="30"/>
      <c r="N1159" s="30"/>
      <c r="O1159" s="30">
        <f t="shared" si="1273"/>
        <v>423</v>
      </c>
      <c r="P1159" s="100">
        <f t="shared" si="1274"/>
        <v>0</v>
      </c>
      <c r="Q1159" s="30"/>
      <c r="R1159" s="30"/>
      <c r="S1159" s="30"/>
    </row>
    <row r="1160" spans="1:19" ht="13.5" customHeight="1">
      <c r="A1160" s="183"/>
      <c r="B1160" s="116" t="s">
        <v>443</v>
      </c>
      <c r="C1160" s="135" t="s">
        <v>503</v>
      </c>
      <c r="D1160" s="162"/>
      <c r="E1160" s="30"/>
      <c r="F1160" s="162"/>
      <c r="G1160" s="30"/>
      <c r="H1160" s="30"/>
      <c r="I1160" s="30">
        <v>2765</v>
      </c>
      <c r="J1160" s="30">
        <v>2765</v>
      </c>
      <c r="K1160" s="64">
        <v>0</v>
      </c>
      <c r="L1160" s="30">
        <v>1765</v>
      </c>
      <c r="M1160" s="30">
        <v>1000</v>
      </c>
      <c r="N1160" s="30"/>
      <c r="O1160" s="30">
        <f t="shared" si="1273"/>
        <v>2765</v>
      </c>
      <c r="P1160" s="100">
        <f t="shared" si="1274"/>
        <v>0</v>
      </c>
      <c r="Q1160" s="30"/>
      <c r="R1160" s="30"/>
      <c r="S1160" s="30"/>
    </row>
    <row r="1161" spans="1:19" ht="13.5" customHeight="1">
      <c r="A1161" s="183"/>
      <c r="B1161" s="116" t="s">
        <v>209</v>
      </c>
      <c r="C1161" s="135" t="s">
        <v>504</v>
      </c>
      <c r="D1161" s="162"/>
      <c r="E1161" s="30"/>
      <c r="F1161" s="162"/>
      <c r="G1161" s="30"/>
      <c r="H1161" s="30"/>
      <c r="I1161" s="30">
        <v>65</v>
      </c>
      <c r="J1161" s="30">
        <v>65</v>
      </c>
      <c r="K1161" s="64">
        <v>65</v>
      </c>
      <c r="L1161" s="30"/>
      <c r="M1161" s="30"/>
      <c r="N1161" s="30">
        <v>0</v>
      </c>
      <c r="O1161" s="30">
        <f t="shared" si="1273"/>
        <v>65</v>
      </c>
      <c r="P1161" s="100">
        <f t="shared" si="1274"/>
        <v>0</v>
      </c>
      <c r="Q1161" s="30">
        <v>1304</v>
      </c>
      <c r="R1161" s="30"/>
      <c r="S1161" s="30"/>
    </row>
    <row r="1162" spans="1:19" ht="13.5" hidden="1" customHeight="1">
      <c r="A1162" s="183">
        <v>3</v>
      </c>
      <c r="B1162" s="265" t="s">
        <v>430</v>
      </c>
      <c r="C1162" s="266">
        <v>87.02</v>
      </c>
      <c r="D1162" s="151">
        <f t="shared" ref="D1162:S1164" si="1324">D1163</f>
        <v>0</v>
      </c>
      <c r="E1162" s="151">
        <f t="shared" si="1324"/>
        <v>0</v>
      </c>
      <c r="F1162" s="151">
        <f t="shared" si="1324"/>
        <v>0</v>
      </c>
      <c r="G1162" s="151">
        <f t="shared" si="1324"/>
        <v>0</v>
      </c>
      <c r="H1162" s="151">
        <f t="shared" si="1324"/>
        <v>0</v>
      </c>
      <c r="I1162" s="151">
        <f t="shared" si="1324"/>
        <v>15907</v>
      </c>
      <c r="J1162" s="151">
        <f t="shared" si="1324"/>
        <v>0</v>
      </c>
      <c r="K1162" s="219">
        <f t="shared" si="1324"/>
        <v>0</v>
      </c>
      <c r="L1162" s="151">
        <f t="shared" si="1324"/>
        <v>0</v>
      </c>
      <c r="M1162" s="151">
        <f t="shared" si="1324"/>
        <v>0</v>
      </c>
      <c r="N1162" s="151">
        <f t="shared" si="1324"/>
        <v>0</v>
      </c>
      <c r="O1162" s="30">
        <f t="shared" si="1273"/>
        <v>0</v>
      </c>
      <c r="P1162" s="151"/>
      <c r="Q1162" s="151">
        <f t="shared" si="1324"/>
        <v>0</v>
      </c>
      <c r="R1162" s="151">
        <f t="shared" si="1324"/>
        <v>0</v>
      </c>
      <c r="S1162" s="151">
        <f t="shared" si="1324"/>
        <v>0</v>
      </c>
    </row>
    <row r="1163" spans="1:19" ht="34.5" hidden="1" customHeight="1">
      <c r="A1163" s="183" t="s">
        <v>461</v>
      </c>
      <c r="B1163" s="33" t="s">
        <v>429</v>
      </c>
      <c r="C1163" s="37" t="s">
        <v>408</v>
      </c>
      <c r="D1163" s="123">
        <f t="shared" si="1324"/>
        <v>0</v>
      </c>
      <c r="E1163" s="123">
        <f t="shared" si="1324"/>
        <v>0</v>
      </c>
      <c r="F1163" s="123">
        <f t="shared" si="1324"/>
        <v>0</v>
      </c>
      <c r="G1163" s="123">
        <f t="shared" si="1324"/>
        <v>0</v>
      </c>
      <c r="H1163" s="123">
        <f t="shared" si="1324"/>
        <v>0</v>
      </c>
      <c r="I1163" s="123">
        <f t="shared" si="1324"/>
        <v>15907</v>
      </c>
      <c r="J1163" s="123">
        <f t="shared" si="1324"/>
        <v>0</v>
      </c>
      <c r="K1163" s="203">
        <f t="shared" si="1324"/>
        <v>0</v>
      </c>
      <c r="L1163" s="123">
        <f t="shared" si="1324"/>
        <v>0</v>
      </c>
      <c r="M1163" s="123">
        <f t="shared" si="1324"/>
        <v>0</v>
      </c>
      <c r="N1163" s="123">
        <f t="shared" si="1324"/>
        <v>0</v>
      </c>
      <c r="O1163" s="30">
        <f t="shared" si="1273"/>
        <v>0</v>
      </c>
      <c r="P1163" s="123"/>
      <c r="Q1163" s="123">
        <f t="shared" si="1324"/>
        <v>0</v>
      </c>
      <c r="R1163" s="123">
        <f t="shared" si="1324"/>
        <v>0</v>
      </c>
      <c r="S1163" s="123">
        <f t="shared" si="1324"/>
        <v>0</v>
      </c>
    </row>
    <row r="1164" spans="1:19" ht="22.5" hidden="1" customHeight="1">
      <c r="A1164" s="183"/>
      <c r="B1164" s="116" t="s">
        <v>164</v>
      </c>
      <c r="C1164" s="37"/>
      <c r="D1164" s="114">
        <f t="shared" si="1324"/>
        <v>0</v>
      </c>
      <c r="E1164" s="114">
        <f t="shared" si="1324"/>
        <v>0</v>
      </c>
      <c r="F1164" s="114">
        <f t="shared" si="1324"/>
        <v>0</v>
      </c>
      <c r="G1164" s="114">
        <f t="shared" si="1324"/>
        <v>0</v>
      </c>
      <c r="H1164" s="114">
        <f t="shared" si="1324"/>
        <v>0</v>
      </c>
      <c r="I1164" s="114">
        <f t="shared" si="1324"/>
        <v>15907</v>
      </c>
      <c r="J1164" s="114">
        <f t="shared" si="1324"/>
        <v>0</v>
      </c>
      <c r="K1164" s="202">
        <f t="shared" si="1324"/>
        <v>0</v>
      </c>
      <c r="L1164" s="114">
        <f t="shared" si="1324"/>
        <v>0</v>
      </c>
      <c r="M1164" s="114">
        <f t="shared" si="1324"/>
        <v>0</v>
      </c>
      <c r="N1164" s="114">
        <f t="shared" si="1324"/>
        <v>0</v>
      </c>
      <c r="O1164" s="30">
        <f t="shared" ref="O1164:O1166" si="1325">K1164+L1164+M1164+N1164</f>
        <v>0</v>
      </c>
      <c r="P1164" s="114"/>
      <c r="Q1164" s="114">
        <f t="shared" si="1324"/>
        <v>0</v>
      </c>
      <c r="R1164" s="114">
        <f t="shared" si="1324"/>
        <v>0</v>
      </c>
      <c r="S1164" s="114">
        <f t="shared" si="1324"/>
        <v>0</v>
      </c>
    </row>
    <row r="1165" spans="1:19" ht="27.75" hidden="1" customHeight="1">
      <c r="A1165" s="183"/>
      <c r="B1165" s="263" t="s">
        <v>387</v>
      </c>
      <c r="C1165" s="264" t="s">
        <v>388</v>
      </c>
      <c r="D1165" s="46">
        <v>0</v>
      </c>
      <c r="E1165" s="30">
        <v>0</v>
      </c>
      <c r="F1165" s="46">
        <v>0</v>
      </c>
      <c r="G1165" s="30">
        <v>0</v>
      </c>
      <c r="H1165" s="30">
        <v>0</v>
      </c>
      <c r="I1165" s="30">
        <v>15907</v>
      </c>
      <c r="J1165" s="30"/>
      <c r="K1165" s="64"/>
      <c r="L1165" s="30"/>
      <c r="M1165" s="30"/>
      <c r="N1165" s="30"/>
      <c r="O1165" s="30">
        <f t="shared" si="1325"/>
        <v>0</v>
      </c>
      <c r="P1165" s="30"/>
      <c r="Q1165" s="30"/>
      <c r="R1165" s="30"/>
      <c r="S1165" s="30"/>
    </row>
    <row r="1166" spans="1:19" ht="22.5" hidden="1" customHeight="1">
      <c r="A1166" s="183"/>
      <c r="B1166" s="267" t="s">
        <v>409</v>
      </c>
      <c r="C1166" s="264"/>
      <c r="D1166" s="46"/>
      <c r="E1166" s="30"/>
      <c r="F1166" s="46"/>
      <c r="G1166" s="30"/>
      <c r="H1166" s="30"/>
      <c r="I1166" s="30"/>
      <c r="J1166" s="30"/>
      <c r="K1166" s="64"/>
      <c r="L1166" s="30"/>
      <c r="M1166" s="30"/>
      <c r="N1166" s="30"/>
      <c r="O1166" s="30">
        <f t="shared" si="1325"/>
        <v>0</v>
      </c>
      <c r="P1166" s="30"/>
      <c r="Q1166" s="30"/>
      <c r="R1166" s="30"/>
      <c r="S1166" s="30"/>
    </row>
    <row r="1167" spans="1:19" ht="22.5" customHeight="1">
      <c r="A1167" s="193"/>
      <c r="B1167" s="163" t="s">
        <v>410</v>
      </c>
      <c r="C1167" s="164"/>
      <c r="D1167" s="165">
        <f t="shared" ref="D1167:S1167" si="1326">D12-D223</f>
        <v>-10280.630000000063</v>
      </c>
      <c r="E1167" s="165">
        <f t="shared" si="1326"/>
        <v>-50756</v>
      </c>
      <c r="F1167" s="165">
        <f t="shared" si="1326"/>
        <v>-34939</v>
      </c>
      <c r="G1167" s="165">
        <f t="shared" si="1326"/>
        <v>-50755.380000000005</v>
      </c>
      <c r="H1167" s="166">
        <f t="shared" ref="H1167" si="1327">H12-H223</f>
        <v>20044.360000000044</v>
      </c>
      <c r="I1167" s="165">
        <f t="shared" si="1326"/>
        <v>-561782</v>
      </c>
      <c r="J1167" s="165">
        <f t="shared" si="1326"/>
        <v>-11915</v>
      </c>
      <c r="K1167" s="220">
        <f t="shared" ref="K1167:P1167" si="1328">K12-K223</f>
        <v>-11915</v>
      </c>
      <c r="L1167" s="165">
        <f t="shared" si="1328"/>
        <v>0</v>
      </c>
      <c r="M1167" s="165">
        <f t="shared" si="1328"/>
        <v>0</v>
      </c>
      <c r="N1167" s="165">
        <f t="shared" si="1328"/>
        <v>0</v>
      </c>
      <c r="O1167" s="165">
        <f t="shared" si="1328"/>
        <v>-11915</v>
      </c>
      <c r="P1167" s="165">
        <f t="shared" si="1328"/>
        <v>0</v>
      </c>
      <c r="Q1167" s="165">
        <f t="shared" si="1326"/>
        <v>0</v>
      </c>
      <c r="R1167" s="165">
        <f t="shared" si="1326"/>
        <v>0</v>
      </c>
      <c r="S1167" s="165">
        <f t="shared" si="1326"/>
        <v>0</v>
      </c>
    </row>
    <row r="1168" spans="1:19" ht="22.5" customHeight="1">
      <c r="A1168" s="11"/>
      <c r="B1168" s="268"/>
      <c r="C1168" s="240"/>
      <c r="D1168" s="46"/>
      <c r="E1168" s="30"/>
      <c r="F1168" s="46"/>
      <c r="G1168" s="30"/>
      <c r="H1168" s="31"/>
      <c r="I1168" s="30"/>
      <c r="J1168" s="30"/>
      <c r="K1168" s="13"/>
      <c r="L1168" s="13"/>
      <c r="M1168" s="13"/>
      <c r="N1168" s="13"/>
      <c r="O1168" s="13"/>
      <c r="P1168" s="13"/>
      <c r="Q1168" s="64"/>
      <c r="R1168" s="30"/>
      <c r="S1168" s="30"/>
    </row>
    <row r="1169" spans="1:13" s="13" customFormat="1" ht="15">
      <c r="A1169" s="15"/>
      <c r="B1169" s="168" t="s">
        <v>656</v>
      </c>
      <c r="C1169" s="169"/>
      <c r="D1169" s="169"/>
      <c r="E1169" s="169"/>
      <c r="F1169" s="169"/>
      <c r="G1169" s="169"/>
      <c r="H1169" s="169"/>
      <c r="I1169" s="169"/>
      <c r="J1169" s="169"/>
      <c r="K1169" s="221">
        <f>K1170</f>
        <v>11915</v>
      </c>
      <c r="L1169" s="167"/>
      <c r="M1169" s="167"/>
    </row>
    <row r="1170" spans="1:13" s="13" customFormat="1" ht="15">
      <c r="A1170" s="15"/>
      <c r="B1170" s="170" t="s">
        <v>657</v>
      </c>
      <c r="C1170" s="94"/>
      <c r="D1170" s="94"/>
      <c r="E1170" s="94"/>
      <c r="F1170" s="94"/>
      <c r="G1170" s="94"/>
      <c r="H1170" s="94"/>
      <c r="I1170" s="94"/>
      <c r="J1170" s="94"/>
      <c r="K1170" s="222">
        <f>K1171+K1175</f>
        <v>11915</v>
      </c>
      <c r="L1170" s="167"/>
      <c r="M1170" s="167"/>
    </row>
    <row r="1171" spans="1:13" s="13" customFormat="1" ht="15">
      <c r="A1171" s="15"/>
      <c r="B1171" s="171" t="s">
        <v>669</v>
      </c>
      <c r="C1171" s="169"/>
      <c r="D1171" s="169"/>
      <c r="E1171" s="169"/>
      <c r="F1171" s="169"/>
      <c r="G1171" s="169"/>
      <c r="H1171" s="169"/>
      <c r="I1171" s="169"/>
      <c r="J1171" s="169"/>
      <c r="K1171" s="221">
        <f>K1172</f>
        <v>3380</v>
      </c>
      <c r="L1171" s="167"/>
      <c r="M1171" s="167"/>
    </row>
    <row r="1172" spans="1:13" s="13" customFormat="1" ht="17.25" customHeight="1">
      <c r="A1172" s="15"/>
      <c r="B1172" s="292" t="s">
        <v>317</v>
      </c>
      <c r="C1172" s="289"/>
      <c r="D1172" s="289"/>
      <c r="E1172" s="289"/>
      <c r="F1172" s="289"/>
      <c r="G1172" s="289"/>
      <c r="H1172" s="289"/>
      <c r="I1172" s="289"/>
      <c r="J1172" s="289"/>
      <c r="K1172" s="222">
        <f>K1173+K1174</f>
        <v>3380</v>
      </c>
    </row>
    <row r="1173" spans="1:13" s="13" customFormat="1" ht="42.75" customHeight="1">
      <c r="A1173" s="16"/>
      <c r="B1173" s="288" t="s">
        <v>660</v>
      </c>
      <c r="C1173" s="289"/>
      <c r="D1173" s="289"/>
      <c r="E1173" s="289"/>
      <c r="F1173" s="289"/>
      <c r="G1173" s="289"/>
      <c r="H1173" s="289"/>
      <c r="I1173" s="289"/>
      <c r="J1173" s="289"/>
      <c r="K1173" s="221">
        <v>460</v>
      </c>
    </row>
    <row r="1174" spans="1:13" s="13" customFormat="1" ht="48.75" customHeight="1">
      <c r="A1174" s="16"/>
      <c r="B1174" s="288" t="s">
        <v>661</v>
      </c>
      <c r="C1174" s="291"/>
      <c r="D1174" s="291"/>
      <c r="E1174" s="291"/>
      <c r="F1174" s="291"/>
      <c r="G1174" s="291"/>
      <c r="H1174" s="291"/>
      <c r="I1174" s="291"/>
      <c r="J1174" s="291"/>
      <c r="K1174" s="222">
        <v>2920</v>
      </c>
    </row>
    <row r="1175" spans="1:13" s="13" customFormat="1" ht="15">
      <c r="A1175" s="15"/>
      <c r="B1175" s="172" t="s">
        <v>658</v>
      </c>
      <c r="C1175" s="91"/>
      <c r="D1175" s="173"/>
      <c r="E1175" s="91"/>
      <c r="F1175" s="173"/>
      <c r="G1175" s="91"/>
      <c r="H1175" s="92"/>
      <c r="I1175" s="91"/>
      <c r="J1175" s="91"/>
      <c r="K1175" s="223">
        <f>K1176</f>
        <v>8535</v>
      </c>
    </row>
    <row r="1176" spans="1:13" ht="15">
      <c r="A1176" s="14"/>
      <c r="B1176" s="290" t="s">
        <v>659</v>
      </c>
      <c r="C1176" s="291"/>
      <c r="D1176" s="291"/>
      <c r="E1176" s="291"/>
      <c r="F1176" s="291"/>
      <c r="G1176" s="291"/>
      <c r="H1176" s="291"/>
      <c r="I1176" s="291"/>
      <c r="J1176" s="291"/>
      <c r="K1176" s="64">
        <f>K1177+K1178+K1179+K1180+K1181+K1182</f>
        <v>8535</v>
      </c>
      <c r="L1176" s="13"/>
      <c r="M1176" s="2">
        <f>L1177+L1178+L1179+L1180+L1181+L1182</f>
        <v>0</v>
      </c>
    </row>
    <row r="1177" spans="1:13" ht="33.75" customHeight="1">
      <c r="B1177" s="296" t="s">
        <v>665</v>
      </c>
      <c r="C1177" s="289"/>
      <c r="D1177" s="289"/>
      <c r="E1177" s="289"/>
      <c r="F1177" s="289"/>
      <c r="G1177" s="289"/>
      <c r="H1177" s="289"/>
      <c r="I1177" s="289"/>
      <c r="J1177" s="289"/>
      <c r="K1177" s="221">
        <v>1800</v>
      </c>
      <c r="L1177" s="13"/>
    </row>
    <row r="1178" spans="1:13" ht="33" customHeight="1">
      <c r="B1178" s="296" t="s">
        <v>666</v>
      </c>
      <c r="C1178" s="291"/>
      <c r="D1178" s="291"/>
      <c r="E1178" s="291"/>
      <c r="F1178" s="291"/>
      <c r="G1178" s="291"/>
      <c r="H1178" s="291"/>
      <c r="I1178" s="291"/>
      <c r="J1178" s="291"/>
      <c r="K1178" s="222">
        <v>1190</v>
      </c>
      <c r="L1178" s="13"/>
    </row>
    <row r="1179" spans="1:13" ht="33.75" customHeight="1">
      <c r="B1179" s="296" t="s">
        <v>662</v>
      </c>
      <c r="C1179" s="291"/>
      <c r="D1179" s="291"/>
      <c r="E1179" s="291"/>
      <c r="F1179" s="291"/>
      <c r="G1179" s="291"/>
      <c r="H1179" s="291"/>
      <c r="I1179" s="291"/>
      <c r="J1179" s="291"/>
      <c r="K1179" s="222">
        <v>2100</v>
      </c>
      <c r="L1179" s="13"/>
    </row>
    <row r="1180" spans="1:13" ht="29.25" customHeight="1">
      <c r="B1180" s="296" t="s">
        <v>663</v>
      </c>
      <c r="C1180" s="291"/>
      <c r="D1180" s="291"/>
      <c r="E1180" s="291"/>
      <c r="F1180" s="291"/>
      <c r="G1180" s="291"/>
      <c r="H1180" s="291"/>
      <c r="I1180" s="291"/>
      <c r="J1180" s="291"/>
      <c r="K1180" s="222">
        <v>2299</v>
      </c>
      <c r="L1180" s="13"/>
    </row>
    <row r="1181" spans="1:13" ht="45.75" customHeight="1">
      <c r="B1181" s="294" t="s">
        <v>667</v>
      </c>
      <c r="C1181" s="295"/>
      <c r="D1181" s="295"/>
      <c r="E1181" s="295"/>
      <c r="F1181" s="295"/>
      <c r="G1181" s="295"/>
      <c r="H1181" s="295"/>
      <c r="I1181" s="295"/>
      <c r="J1181" s="295"/>
      <c r="K1181" s="224">
        <v>146</v>
      </c>
      <c r="L1181" s="13"/>
    </row>
    <row r="1182" spans="1:13" ht="48.75" customHeight="1">
      <c r="B1182" s="293" t="s">
        <v>668</v>
      </c>
      <c r="C1182" s="291"/>
      <c r="D1182" s="291"/>
      <c r="E1182" s="291"/>
      <c r="F1182" s="291"/>
      <c r="G1182" s="291"/>
      <c r="H1182" s="291"/>
      <c r="I1182" s="291"/>
      <c r="J1182" s="291"/>
      <c r="K1182" s="64">
        <v>1000</v>
      </c>
      <c r="L1182" s="13"/>
    </row>
    <row r="1183" spans="1:13" ht="15">
      <c r="B1183" s="69"/>
      <c r="D1183" s="93"/>
      <c r="F1183" s="93"/>
    </row>
    <row r="1184" spans="1:13" ht="15">
      <c r="B1184" s="70"/>
      <c r="D1184" s="20"/>
      <c r="F1184" s="20"/>
    </row>
    <row r="1185" spans="2:6" ht="14.25">
      <c r="B1185" s="71"/>
      <c r="D1185" s="20"/>
      <c r="F1185" s="20"/>
    </row>
    <row r="1186" spans="2:6" ht="14.25">
      <c r="B1186" s="57"/>
      <c r="D1186" s="20"/>
      <c r="F1186" s="20"/>
    </row>
    <row r="1187" spans="2:6" ht="14.25">
      <c r="B1187" s="53"/>
      <c r="D1187" s="20"/>
      <c r="F1187" s="20"/>
    </row>
    <row r="1188" spans="2:6" ht="15">
      <c r="B1188" s="72"/>
      <c r="D1188" s="20"/>
      <c r="F1188" s="20"/>
    </row>
    <row r="1189" spans="2:6" ht="14.25">
      <c r="B1189" s="53"/>
      <c r="D1189" s="20"/>
      <c r="F1189" s="20"/>
    </row>
    <row r="1190" spans="2:6" ht="14.25">
      <c r="B1190" s="65"/>
      <c r="D1190" s="20"/>
      <c r="F1190" s="20"/>
    </row>
    <row r="1191" spans="2:6" ht="14.25">
      <c r="B1191" s="53"/>
      <c r="D1191" s="20"/>
      <c r="F1191" s="20"/>
    </row>
    <row r="1192" spans="2:6" ht="15">
      <c r="B1192" s="54"/>
      <c r="D1192" s="20"/>
      <c r="F1192" s="20"/>
    </row>
    <row r="1193" spans="2:6" ht="14.25">
      <c r="B1193" s="53"/>
      <c r="D1193" s="20"/>
      <c r="F1193" s="20"/>
    </row>
    <row r="1194" spans="2:6" ht="14.25">
      <c r="B1194" s="73"/>
      <c r="D1194" s="20"/>
      <c r="F1194" s="20"/>
    </row>
    <row r="1195" spans="2:6" ht="14.25">
      <c r="B1195" s="73"/>
      <c r="D1195" s="20"/>
      <c r="F1195" s="20"/>
    </row>
    <row r="1196" spans="2:6" ht="14.25">
      <c r="B1196" s="57"/>
      <c r="D1196" s="20"/>
      <c r="F1196" s="20"/>
    </row>
    <row r="1197" spans="2:6" ht="14.25">
      <c r="B1197" s="56"/>
      <c r="D1197" s="20"/>
      <c r="F1197" s="20"/>
    </row>
    <row r="1198" spans="2:6" ht="15">
      <c r="B1198" s="74"/>
      <c r="D1198" s="23"/>
      <c r="F1198" s="23"/>
    </row>
    <row r="1199" spans="2:6" ht="15">
      <c r="B1199" s="75"/>
      <c r="D1199" s="23"/>
      <c r="F1199" s="23"/>
    </row>
    <row r="1200" spans="2:6" ht="15">
      <c r="B1200" s="75"/>
      <c r="D1200" s="23"/>
      <c r="F1200" s="23"/>
    </row>
    <row r="1201" spans="2:6" ht="15">
      <c r="B1201" s="75"/>
      <c r="D1201" s="23"/>
      <c r="F1201" s="23"/>
    </row>
    <row r="1202" spans="2:6" ht="15">
      <c r="B1202" s="75"/>
      <c r="D1202" s="23"/>
      <c r="F1202" s="23"/>
    </row>
    <row r="1203" spans="2:6" ht="15">
      <c r="B1203" s="75"/>
      <c r="D1203" s="23"/>
      <c r="F1203" s="23"/>
    </row>
    <row r="1204" spans="2:6" ht="15">
      <c r="B1204" s="75"/>
      <c r="D1204" s="23"/>
      <c r="F1204" s="23"/>
    </row>
    <row r="1205" spans="2:6" ht="15">
      <c r="B1205" s="76"/>
      <c r="D1205" s="23"/>
      <c r="F1205" s="23"/>
    </row>
    <row r="1206" spans="2:6" ht="15">
      <c r="B1206" s="76"/>
      <c r="D1206" s="23"/>
      <c r="F1206" s="23"/>
    </row>
    <row r="1207" spans="2:6" ht="14.25">
      <c r="B1207" s="77"/>
      <c r="D1207" s="20"/>
      <c r="F1207" s="20"/>
    </row>
    <row r="1208" spans="2:6" ht="14.25">
      <c r="B1208" s="77"/>
      <c r="D1208" s="20"/>
      <c r="F1208" s="20"/>
    </row>
    <row r="1209" spans="2:6" ht="15">
      <c r="B1209" s="54"/>
      <c r="D1209" s="22"/>
      <c r="F1209" s="22"/>
    </row>
    <row r="1210" spans="2:6" ht="15">
      <c r="B1210" s="54"/>
      <c r="D1210" s="24"/>
      <c r="F1210" s="24"/>
    </row>
    <row r="1211" spans="2:6" ht="15">
      <c r="B1211" s="54"/>
      <c r="D1211" s="24"/>
      <c r="F1211" s="24"/>
    </row>
    <row r="1212" spans="2:6" ht="15">
      <c r="B1212" s="54"/>
      <c r="D1212" s="24"/>
      <c r="F1212" s="24"/>
    </row>
    <row r="1213" spans="2:6" ht="14.25">
      <c r="B1213" s="78"/>
      <c r="D1213" s="20"/>
      <c r="F1213" s="20"/>
    </row>
    <row r="1214" spans="2:6" ht="14.25">
      <c r="B1214" s="77"/>
      <c r="D1214" s="20"/>
      <c r="F1214" s="20"/>
    </row>
    <row r="1215" spans="2:6" ht="14.25">
      <c r="B1215" s="77"/>
      <c r="D1215" s="20"/>
      <c r="F1215" s="20"/>
    </row>
    <row r="1216" spans="2:6" ht="15">
      <c r="B1216" s="54"/>
      <c r="D1216" s="20"/>
      <c r="F1216" s="20"/>
    </row>
    <row r="1217" spans="2:6" ht="14.25">
      <c r="B1217" s="79"/>
      <c r="D1217" s="20"/>
      <c r="F1217" s="20"/>
    </row>
    <row r="1218" spans="2:6" ht="15">
      <c r="B1218" s="80"/>
      <c r="D1218" s="20"/>
      <c r="F1218" s="20"/>
    </row>
    <row r="1219" spans="2:6" ht="14.25">
      <c r="B1219" s="77"/>
      <c r="D1219" s="20"/>
      <c r="F1219" s="20"/>
    </row>
    <row r="1220" spans="2:6" ht="14.25">
      <c r="B1220" s="81"/>
      <c r="D1220" s="20"/>
      <c r="F1220" s="20"/>
    </row>
    <row r="1221" spans="2:6" ht="15">
      <c r="B1221" s="54"/>
      <c r="D1221" s="21"/>
      <c r="F1221" s="21"/>
    </row>
    <row r="1222" spans="2:6" ht="15">
      <c r="B1222" s="54"/>
      <c r="D1222" s="21"/>
      <c r="F1222" s="21"/>
    </row>
    <row r="1223" spans="2:6" ht="14.25">
      <c r="B1223" s="65"/>
      <c r="D1223" s="20"/>
      <c r="F1223" s="20"/>
    </row>
    <row r="1224" spans="2:6" ht="14.25">
      <c r="B1224" s="57"/>
      <c r="D1224" s="20"/>
      <c r="F1224" s="20"/>
    </row>
    <row r="1225" spans="2:6" ht="15">
      <c r="B1225" s="82"/>
      <c r="D1225" s="25"/>
      <c r="F1225" s="25"/>
    </row>
    <row r="1226" spans="2:6" ht="15">
      <c r="B1226" s="82"/>
      <c r="D1226" s="26"/>
      <c r="F1226" s="26"/>
    </row>
    <row r="1227" spans="2:6" ht="15">
      <c r="B1227" s="82"/>
      <c r="D1227" s="26"/>
      <c r="F1227" s="26"/>
    </row>
    <row r="1228" spans="2:6" ht="15">
      <c r="B1228" s="82"/>
      <c r="D1228" s="26"/>
      <c r="F1228" s="26"/>
    </row>
    <row r="1229" spans="2:6" ht="15">
      <c r="B1229" s="82"/>
      <c r="D1229" s="26"/>
      <c r="F1229" s="26"/>
    </row>
    <row r="1230" spans="2:6" ht="15">
      <c r="B1230" s="83"/>
      <c r="D1230" s="25"/>
      <c r="F1230" s="25"/>
    </row>
    <row r="1231" spans="2:6" ht="15">
      <c r="B1231" s="83"/>
      <c r="D1231" s="25"/>
      <c r="F1231" s="25"/>
    </row>
    <row r="1232" spans="2:6" ht="15">
      <c r="B1232" s="83"/>
      <c r="D1232" s="25"/>
      <c r="F1232" s="25"/>
    </row>
    <row r="1233" spans="2:6" ht="14.25">
      <c r="B1233" s="53"/>
      <c r="D1233" s="20"/>
      <c r="F1233" s="20"/>
    </row>
    <row r="1234" spans="2:6" ht="15">
      <c r="B1234" s="58"/>
      <c r="D1234" s="22"/>
      <c r="F1234" s="22"/>
    </row>
    <row r="1235" spans="2:6" ht="15">
      <c r="B1235" s="58"/>
      <c r="D1235" s="22"/>
      <c r="F1235" s="22"/>
    </row>
    <row r="1236" spans="2:6" ht="15">
      <c r="B1236" s="59"/>
      <c r="D1236" s="22"/>
      <c r="F1236" s="22"/>
    </row>
    <row r="1237" spans="2:6" ht="15">
      <c r="B1237" s="60"/>
      <c r="D1237" s="22"/>
      <c r="F1237" s="22"/>
    </row>
    <row r="1238" spans="2:6" ht="15">
      <c r="B1238" s="59"/>
      <c r="D1238" s="22"/>
      <c r="F1238" s="22"/>
    </row>
    <row r="1239" spans="2:6" ht="15">
      <c r="B1239" s="60"/>
      <c r="D1239" s="22"/>
      <c r="F1239" s="22"/>
    </row>
    <row r="1240" spans="2:6" ht="15">
      <c r="B1240" s="61"/>
      <c r="D1240" s="22"/>
      <c r="F1240" s="22"/>
    </row>
    <row r="1241" spans="2:6" ht="15">
      <c r="B1241" s="59"/>
      <c r="D1241" s="22"/>
      <c r="F1241" s="22"/>
    </row>
    <row r="1242" spans="2:6" ht="15">
      <c r="B1242" s="61"/>
      <c r="D1242" s="22"/>
      <c r="F1242" s="22"/>
    </row>
    <row r="1243" spans="2:6" ht="15">
      <c r="B1243" s="61"/>
      <c r="D1243" s="22"/>
      <c r="F1243" s="22"/>
    </row>
    <row r="1244" spans="2:6" ht="15">
      <c r="B1244" s="61"/>
      <c r="D1244" s="22"/>
      <c r="F1244" s="22"/>
    </row>
    <row r="1245" spans="2:6" ht="15">
      <c r="B1245" s="61"/>
      <c r="D1245" s="22"/>
      <c r="F1245" s="22"/>
    </row>
    <row r="1246" spans="2:6" ht="15">
      <c r="B1246" s="62"/>
      <c r="D1246" s="22"/>
      <c r="F1246" s="22"/>
    </row>
    <row r="1247" spans="2:6" ht="15">
      <c r="B1247" s="55"/>
      <c r="D1247" s="27"/>
      <c r="F1247" s="27"/>
    </row>
    <row r="1248" spans="2:6" ht="15">
      <c r="B1248" s="63"/>
      <c r="D1248" s="28"/>
      <c r="F1248" s="28"/>
    </row>
    <row r="1249" spans="2:6" ht="15">
      <c r="B1249" s="63"/>
      <c r="D1249" s="28"/>
      <c r="F1249" s="28"/>
    </row>
    <row r="1250" spans="2:6" ht="14.25">
      <c r="B1250" s="16"/>
      <c r="D1250" s="20"/>
      <c r="F1250" s="20"/>
    </row>
    <row r="1251" spans="2:6">
      <c r="B1251" s="13"/>
    </row>
    <row r="1252" spans="2:6">
      <c r="B1252" s="13"/>
    </row>
    <row r="1253" spans="2:6">
      <c r="B1253" s="13"/>
    </row>
  </sheetData>
  <autoFilter ref="U1:U1250"/>
  <mergeCells count="14">
    <mergeCell ref="B1176:J1176"/>
    <mergeCell ref="B1174:J1174"/>
    <mergeCell ref="B1172:J1172"/>
    <mergeCell ref="B1182:J1182"/>
    <mergeCell ref="B1181:J1181"/>
    <mergeCell ref="B1180:J1180"/>
    <mergeCell ref="B1179:J1179"/>
    <mergeCell ref="B1178:J1178"/>
    <mergeCell ref="B1177:J1177"/>
    <mergeCell ref="J6:R6"/>
    <mergeCell ref="B7:I7"/>
    <mergeCell ref="Q10:S10"/>
    <mergeCell ref="K10:N10"/>
    <mergeCell ref="B1173:J1173"/>
  </mergeCells>
  <pageMargins left="0.86614173228346458" right="0.15748031496062992" top="0.27559055118110237" bottom="0.23622047244094491" header="0.15748031496062992" footer="0.19685039370078741"/>
  <pageSetup paperSize="9" orientation="landscape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BUGET INITIAL 2022</vt:lpstr>
      <vt:lpstr>'BUGET INITIAL 2022'!Print_Titles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loredanat</cp:lastModifiedBy>
  <cp:lastPrinted>2022-02-03T10:24:23Z</cp:lastPrinted>
  <dcterms:created xsi:type="dcterms:W3CDTF">2017-03-22T13:01:52Z</dcterms:created>
  <dcterms:modified xsi:type="dcterms:W3CDTF">2022-12-15T13:00:17Z</dcterms:modified>
</cp:coreProperties>
</file>