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6" yWindow="96" windowWidth="16260" windowHeight="5856"/>
  </bookViews>
  <sheets>
    <sheet name="centralizator (5)" sheetId="10" r:id="rId1"/>
    <sheet name="centralizator (4)" sheetId="9" r:id="rId2"/>
    <sheet name="centralizator (3)" sheetId="8" r:id="rId3"/>
    <sheet name="centralizator (2)" sheetId="7" r:id="rId4"/>
    <sheet name="centralizator" sheetId="1" r:id="rId5"/>
    <sheet name="Gantt" sheetId="2" r:id="rId6"/>
    <sheet name="Gantt_apr22_ajus" sheetId="5" r:id="rId7"/>
    <sheet name="Gantt_apr22_ajustare" sheetId="6" r:id="rId8"/>
    <sheet name="Gantt_apr22" sheetId="4" r:id="rId9"/>
    <sheet name="Sheet3" sheetId="3" r:id="rId10"/>
  </sheets>
  <calcPr calcId="125725"/>
</workbook>
</file>

<file path=xl/calcChain.xml><?xml version="1.0" encoding="utf-8"?>
<calcChain xmlns="http://schemas.openxmlformats.org/spreadsheetml/2006/main">
  <c r="C171" i="10"/>
  <c r="D171" s="1"/>
  <c r="E171" s="1"/>
  <c r="D157"/>
  <c r="E157" s="1"/>
  <c r="C154"/>
  <c r="D154" s="1"/>
  <c r="D151"/>
  <c r="C151"/>
  <c r="C150"/>
  <c r="C156" s="1"/>
  <c r="L143"/>
  <c r="D143"/>
  <c r="E143" s="1"/>
  <c r="J141"/>
  <c r="C141"/>
  <c r="H140"/>
  <c r="H138" s="1"/>
  <c r="G140"/>
  <c r="I140" s="1"/>
  <c r="G138"/>
  <c r="C138"/>
  <c r="C139" s="1"/>
  <c r="D132"/>
  <c r="E132" s="1"/>
  <c r="D131"/>
  <c r="E131" s="1"/>
  <c r="D130"/>
  <c r="E130" s="1"/>
  <c r="E129"/>
  <c r="D129"/>
  <c r="D128"/>
  <c r="E128" s="1"/>
  <c r="C127"/>
  <c r="D127" s="1"/>
  <c r="K126"/>
  <c r="D126"/>
  <c r="E126" s="1"/>
  <c r="L125"/>
  <c r="C125"/>
  <c r="K123"/>
  <c r="D123"/>
  <c r="E123" s="1"/>
  <c r="C123"/>
  <c r="D122"/>
  <c r="E122" s="1"/>
  <c r="D121"/>
  <c r="E121" s="1"/>
  <c r="C120"/>
  <c r="C124" s="1"/>
  <c r="I119"/>
  <c r="H119"/>
  <c r="G119"/>
  <c r="D118"/>
  <c r="E118" s="1"/>
  <c r="J117"/>
  <c r="H117"/>
  <c r="G117"/>
  <c r="D117"/>
  <c r="C117"/>
  <c r="C119" s="1"/>
  <c r="D116"/>
  <c r="E116" s="1"/>
  <c r="E115"/>
  <c r="D115"/>
  <c r="I114"/>
  <c r="G120" s="1"/>
  <c r="F114"/>
  <c r="C134" s="1"/>
  <c r="J113"/>
  <c r="K113" s="1"/>
  <c r="G113"/>
  <c r="H113" s="1"/>
  <c r="J112"/>
  <c r="K112" s="1"/>
  <c r="G112"/>
  <c r="H112" s="1"/>
  <c r="E112"/>
  <c r="D112"/>
  <c r="J111"/>
  <c r="K111" s="1"/>
  <c r="G111"/>
  <c r="H111" s="1"/>
  <c r="D111"/>
  <c r="E111" s="1"/>
  <c r="K110"/>
  <c r="J110"/>
  <c r="G110"/>
  <c r="H110" s="1"/>
  <c r="D110"/>
  <c r="E110" s="1"/>
  <c r="J109"/>
  <c r="J114" s="1"/>
  <c r="G109"/>
  <c r="H109" s="1"/>
  <c r="D109"/>
  <c r="E109" s="1"/>
  <c r="D108"/>
  <c r="C108"/>
  <c r="C107"/>
  <c r="D27"/>
  <c r="E27"/>
  <c r="F27"/>
  <c r="H27"/>
  <c r="I27"/>
  <c r="J27"/>
  <c r="C27"/>
  <c r="C46" s="1"/>
  <c r="J26"/>
  <c r="K26" s="1"/>
  <c r="K27" s="1"/>
  <c r="G26"/>
  <c r="H26" s="1"/>
  <c r="D26"/>
  <c r="E26" s="1"/>
  <c r="D84"/>
  <c r="C84"/>
  <c r="D70"/>
  <c r="E70" s="1"/>
  <c r="C65"/>
  <c r="D65" s="1"/>
  <c r="D64"/>
  <c r="C64"/>
  <c r="C66" s="1"/>
  <c r="L56"/>
  <c r="D56"/>
  <c r="E56" s="1"/>
  <c r="J54"/>
  <c r="H53"/>
  <c r="G53"/>
  <c r="I53" s="1"/>
  <c r="H51"/>
  <c r="G51"/>
  <c r="C47"/>
  <c r="D47" s="1"/>
  <c r="D45"/>
  <c r="E45" s="1"/>
  <c r="D44"/>
  <c r="E44" s="1"/>
  <c r="D43"/>
  <c r="E43" s="1"/>
  <c r="D42"/>
  <c r="E42" s="1"/>
  <c r="D41"/>
  <c r="E41" s="1"/>
  <c r="D40"/>
  <c r="C40"/>
  <c r="E40" s="1"/>
  <c r="D39"/>
  <c r="E39" s="1"/>
  <c r="L38"/>
  <c r="C37"/>
  <c r="D36"/>
  <c r="C36"/>
  <c r="K36" s="1"/>
  <c r="K39" s="1"/>
  <c r="D35"/>
  <c r="E35" s="1"/>
  <c r="E34"/>
  <c r="D34"/>
  <c r="D33"/>
  <c r="C33"/>
  <c r="H32"/>
  <c r="G32"/>
  <c r="E31"/>
  <c r="D31"/>
  <c r="H30"/>
  <c r="G30"/>
  <c r="C30"/>
  <c r="C32" s="1"/>
  <c r="D29"/>
  <c r="E29" s="1"/>
  <c r="D28"/>
  <c r="E28" s="1"/>
  <c r="C48"/>
  <c r="H34"/>
  <c r="J25"/>
  <c r="K25" s="1"/>
  <c r="G25"/>
  <c r="H25" s="1"/>
  <c r="D25"/>
  <c r="E25" s="1"/>
  <c r="J24"/>
  <c r="K24" s="1"/>
  <c r="G24"/>
  <c r="H24" s="1"/>
  <c r="D24"/>
  <c r="E24" s="1"/>
  <c r="J23"/>
  <c r="K23" s="1"/>
  <c r="G23"/>
  <c r="D23"/>
  <c r="E23" s="1"/>
  <c r="J22"/>
  <c r="G22"/>
  <c r="H22" s="1"/>
  <c r="D22"/>
  <c r="P19"/>
  <c r="O19"/>
  <c r="N19"/>
  <c r="M19"/>
  <c r="L19"/>
  <c r="W18"/>
  <c r="V18"/>
  <c r="U18"/>
  <c r="T18"/>
  <c r="S18"/>
  <c r="R18"/>
  <c r="Q18"/>
  <c r="P18"/>
  <c r="O18"/>
  <c r="N18"/>
  <c r="M18"/>
  <c r="L18"/>
  <c r="W17"/>
  <c r="W19" s="1"/>
  <c r="V17"/>
  <c r="V19" s="1"/>
  <c r="U17"/>
  <c r="U19" s="1"/>
  <c r="T17"/>
  <c r="T19" s="1"/>
  <c r="S17"/>
  <c r="S19" s="1"/>
  <c r="R17"/>
  <c r="R9" s="1"/>
  <c r="Q17"/>
  <c r="Q19" s="1"/>
  <c r="W13"/>
  <c r="V13"/>
  <c r="U13"/>
  <c r="X10"/>
  <c r="S9"/>
  <c r="Q9"/>
  <c r="Q11" s="1"/>
  <c r="X11" s="1"/>
  <c r="X14" s="1"/>
  <c r="P9"/>
  <c r="P11" s="1"/>
  <c r="O9"/>
  <c r="O11" s="1"/>
  <c r="N9"/>
  <c r="N11" s="1"/>
  <c r="M9"/>
  <c r="M11" s="1"/>
  <c r="L9"/>
  <c r="L11" s="1"/>
  <c r="K9"/>
  <c r="K11" s="1"/>
  <c r="J9"/>
  <c r="J11" s="1"/>
  <c r="I9"/>
  <c r="I11" s="1"/>
  <c r="H9"/>
  <c r="H11" s="1"/>
  <c r="G9"/>
  <c r="G11" s="1"/>
  <c r="F9"/>
  <c r="F11" s="1"/>
  <c r="E9"/>
  <c r="E11" s="1"/>
  <c r="D9"/>
  <c r="D11" s="1"/>
  <c r="C9"/>
  <c r="C11" s="1"/>
  <c r="B9"/>
  <c r="B11" s="1"/>
  <c r="V8"/>
  <c r="V9" s="1"/>
  <c r="S8"/>
  <c r="R8"/>
  <c r="Q8"/>
  <c r="P8"/>
  <c r="O8"/>
  <c r="N8"/>
  <c r="M8"/>
  <c r="L8"/>
  <c r="K8"/>
  <c r="X7"/>
  <c r="W7"/>
  <c r="W8" s="1"/>
  <c r="U7"/>
  <c r="U8" s="1"/>
  <c r="D5"/>
  <c r="E5" s="1"/>
  <c r="F5" s="1"/>
  <c r="G5" s="1"/>
  <c r="H5" s="1"/>
  <c r="I5" s="1"/>
  <c r="J5" s="1"/>
  <c r="K5" s="1"/>
  <c r="L5" s="1"/>
  <c r="M5" s="1"/>
  <c r="N5" s="1"/>
  <c r="O5" s="1"/>
  <c r="P5" s="1"/>
  <c r="Q5" s="1"/>
  <c r="R5" s="1"/>
  <c r="S5" s="1"/>
  <c r="C5"/>
  <c r="K52" i="9"/>
  <c r="S3"/>
  <c r="Q3"/>
  <c r="P1"/>
  <c r="M3"/>
  <c r="M1" s="1"/>
  <c r="K53"/>
  <c r="J53"/>
  <c r="F47"/>
  <c r="J29"/>
  <c r="C29"/>
  <c r="I59"/>
  <c r="I55"/>
  <c r="M58"/>
  <c r="M57"/>
  <c r="M55"/>
  <c r="H55"/>
  <c r="J59"/>
  <c r="J58"/>
  <c r="J56"/>
  <c r="L55"/>
  <c r="G55"/>
  <c r="L37"/>
  <c r="K38"/>
  <c r="K35"/>
  <c r="H54"/>
  <c r="J60"/>
  <c r="C58"/>
  <c r="C60" s="1"/>
  <c r="J52"/>
  <c r="J36"/>
  <c r="J37"/>
  <c r="C83"/>
  <c r="D83" s="1"/>
  <c r="E83" s="1"/>
  <c r="C82"/>
  <c r="D82" s="1"/>
  <c r="C57"/>
  <c r="D58"/>
  <c r="E58"/>
  <c r="D56"/>
  <c r="D57"/>
  <c r="D37"/>
  <c r="C37"/>
  <c r="C36"/>
  <c r="C47"/>
  <c r="C46"/>
  <c r="D46" s="1"/>
  <c r="E46" s="1"/>
  <c r="C45"/>
  <c r="C31"/>
  <c r="G53"/>
  <c r="E31"/>
  <c r="C49"/>
  <c r="E49"/>
  <c r="E51"/>
  <c r="E53"/>
  <c r="E52"/>
  <c r="E56"/>
  <c r="W7"/>
  <c r="C66" s="1"/>
  <c r="D66" s="1"/>
  <c r="E66" s="1"/>
  <c r="I26"/>
  <c r="G32" s="1"/>
  <c r="J25"/>
  <c r="K25" s="1"/>
  <c r="J24"/>
  <c r="K24" s="1"/>
  <c r="J23"/>
  <c r="K23" s="1"/>
  <c r="J22"/>
  <c r="K22" s="1"/>
  <c r="G25"/>
  <c r="H25" s="1"/>
  <c r="G24"/>
  <c r="H24" s="1"/>
  <c r="G23"/>
  <c r="H23" s="1"/>
  <c r="H22"/>
  <c r="G22"/>
  <c r="F26"/>
  <c r="H33" s="1"/>
  <c r="H52"/>
  <c r="G52"/>
  <c r="H50"/>
  <c r="H31"/>
  <c r="G31"/>
  <c r="G29" s="1"/>
  <c r="C35"/>
  <c r="C32"/>
  <c r="D32" s="1"/>
  <c r="E32" s="1"/>
  <c r="D29"/>
  <c r="D69"/>
  <c r="E69" s="1"/>
  <c r="C84" i="8"/>
  <c r="T18" i="9"/>
  <c r="T17"/>
  <c r="T8" s="1"/>
  <c r="D27"/>
  <c r="E27" s="1"/>
  <c r="D25"/>
  <c r="C63"/>
  <c r="D63" s="1"/>
  <c r="E63" s="1"/>
  <c r="D45"/>
  <c r="E45" s="1"/>
  <c r="D44"/>
  <c r="E44" s="1"/>
  <c r="D43"/>
  <c r="E43" s="1"/>
  <c r="D42"/>
  <c r="E42" s="1"/>
  <c r="D41"/>
  <c r="E41" s="1"/>
  <c r="D40"/>
  <c r="E40" s="1"/>
  <c r="C39"/>
  <c r="D39" s="1"/>
  <c r="D38"/>
  <c r="E38" s="1"/>
  <c r="D30"/>
  <c r="E30" s="1"/>
  <c r="D28"/>
  <c r="E28" s="1"/>
  <c r="C26"/>
  <c r="D24"/>
  <c r="E24" s="1"/>
  <c r="D23"/>
  <c r="D22"/>
  <c r="E22" s="1"/>
  <c r="P19"/>
  <c r="O19"/>
  <c r="N19"/>
  <c r="M19"/>
  <c r="L19"/>
  <c r="W18"/>
  <c r="V18"/>
  <c r="U18"/>
  <c r="S18"/>
  <c r="R18"/>
  <c r="Q18"/>
  <c r="P18"/>
  <c r="O18"/>
  <c r="N18"/>
  <c r="M18"/>
  <c r="L18"/>
  <c r="W17"/>
  <c r="V17"/>
  <c r="V8" s="1"/>
  <c r="C50" s="1"/>
  <c r="U17"/>
  <c r="S17"/>
  <c r="R17"/>
  <c r="R9" s="1"/>
  <c r="R11" s="1"/>
  <c r="Q17"/>
  <c r="Q19" s="1"/>
  <c r="W13"/>
  <c r="V13"/>
  <c r="U13"/>
  <c r="X10"/>
  <c r="P9"/>
  <c r="P11" s="1"/>
  <c r="O9"/>
  <c r="O11" s="1"/>
  <c r="N9"/>
  <c r="N11" s="1"/>
  <c r="M9"/>
  <c r="M11" s="1"/>
  <c r="L9"/>
  <c r="L11" s="1"/>
  <c r="K9"/>
  <c r="K11" s="1"/>
  <c r="J9"/>
  <c r="J11" s="1"/>
  <c r="I9"/>
  <c r="I11" s="1"/>
  <c r="H9"/>
  <c r="H11" s="1"/>
  <c r="G9"/>
  <c r="G11" s="1"/>
  <c r="F9"/>
  <c r="F11" s="1"/>
  <c r="E9"/>
  <c r="E11" s="1"/>
  <c r="D9"/>
  <c r="D11" s="1"/>
  <c r="C9"/>
  <c r="C11" s="1"/>
  <c r="B9"/>
  <c r="B11" s="1"/>
  <c r="P8"/>
  <c r="O8"/>
  <c r="N8"/>
  <c r="M8"/>
  <c r="L8"/>
  <c r="K8"/>
  <c r="C5"/>
  <c r="D5" s="1"/>
  <c r="E5" s="1"/>
  <c r="F5" s="1"/>
  <c r="G5" s="1"/>
  <c r="H5" s="1"/>
  <c r="I5" s="1"/>
  <c r="J5" s="1"/>
  <c r="K5" s="1"/>
  <c r="L5" s="1"/>
  <c r="M5" s="1"/>
  <c r="N5" s="1"/>
  <c r="O5" s="1"/>
  <c r="P5" s="1"/>
  <c r="Q5" s="1"/>
  <c r="R5" s="1"/>
  <c r="S5" s="1"/>
  <c r="G90" i="8"/>
  <c r="F90"/>
  <c r="G25"/>
  <c r="T18"/>
  <c r="T9"/>
  <c r="G65"/>
  <c r="F62"/>
  <c r="Z9"/>
  <c r="F26"/>
  <c r="F25"/>
  <c r="G72"/>
  <c r="G71"/>
  <c r="G79"/>
  <c r="G78"/>
  <c r="G86"/>
  <c r="G85"/>
  <c r="D96"/>
  <c r="E96"/>
  <c r="C96"/>
  <c r="D95"/>
  <c r="E95"/>
  <c r="C95"/>
  <c r="D94"/>
  <c r="E94"/>
  <c r="C94"/>
  <c r="C91"/>
  <c r="C90"/>
  <c r="D90" s="1"/>
  <c r="E90" s="1"/>
  <c r="C82"/>
  <c r="C77"/>
  <c r="E79"/>
  <c r="C75"/>
  <c r="C70"/>
  <c r="C68"/>
  <c r="D76"/>
  <c r="C36"/>
  <c r="D33"/>
  <c r="E33" s="1"/>
  <c r="D32"/>
  <c r="E32" s="1"/>
  <c r="D31"/>
  <c r="E31" s="1"/>
  <c r="D30"/>
  <c r="E30" s="1"/>
  <c r="C27"/>
  <c r="D25"/>
  <c r="D24"/>
  <c r="E24" s="1"/>
  <c r="C65"/>
  <c r="D65" s="1"/>
  <c r="E65" s="1"/>
  <c r="E69" s="1"/>
  <c r="C64"/>
  <c r="D64" s="1"/>
  <c r="E64" s="1"/>
  <c r="E72" s="1"/>
  <c r="D63"/>
  <c r="E63" s="1"/>
  <c r="D66"/>
  <c r="E66" s="1"/>
  <c r="C62"/>
  <c r="X8"/>
  <c r="W11"/>
  <c r="Z8"/>
  <c r="J10"/>
  <c r="J12" s="1"/>
  <c r="K22"/>
  <c r="L20"/>
  <c r="L19"/>
  <c r="L10"/>
  <c r="L12" s="1"/>
  <c r="K10"/>
  <c r="K12" s="1"/>
  <c r="L9"/>
  <c r="K9"/>
  <c r="T8"/>
  <c r="W8" s="1"/>
  <c r="S3" i="7"/>
  <c r="S4"/>
  <c r="S5"/>
  <c r="Z11" i="8"/>
  <c r="X11"/>
  <c r="U18"/>
  <c r="V18"/>
  <c r="S18"/>
  <c r="R18"/>
  <c r="R9" s="1"/>
  <c r="G42"/>
  <c r="G47" s="1"/>
  <c r="C52"/>
  <c r="D52" s="1"/>
  <c r="H44"/>
  <c r="I44" s="1"/>
  <c r="C45"/>
  <c r="T19"/>
  <c r="W5" i="7"/>
  <c r="C60" i="8"/>
  <c r="D60" s="1"/>
  <c r="D59"/>
  <c r="E59" s="1"/>
  <c r="D58"/>
  <c r="E58" s="1"/>
  <c r="D57"/>
  <c r="E57" s="1"/>
  <c r="D56"/>
  <c r="E56" s="1"/>
  <c r="D55"/>
  <c r="E55" s="1"/>
  <c r="D51"/>
  <c r="E51" s="1"/>
  <c r="D50"/>
  <c r="E50" s="1"/>
  <c r="D43"/>
  <c r="E43" s="1"/>
  <c r="C42"/>
  <c r="C46" s="1"/>
  <c r="D41"/>
  <c r="E41" s="1"/>
  <c r="D40"/>
  <c r="E40" s="1"/>
  <c r="D38"/>
  <c r="E38" s="1"/>
  <c r="D35"/>
  <c r="E35" s="1"/>
  <c r="D34"/>
  <c r="D26"/>
  <c r="E26" s="1"/>
  <c r="P20"/>
  <c r="O20"/>
  <c r="N20"/>
  <c r="M20"/>
  <c r="S19"/>
  <c r="R19"/>
  <c r="Q19"/>
  <c r="P19"/>
  <c r="O19"/>
  <c r="N19"/>
  <c r="M19"/>
  <c r="Q18"/>
  <c r="Q20" s="1"/>
  <c r="P10"/>
  <c r="P12" s="1"/>
  <c r="O10"/>
  <c r="O12" s="1"/>
  <c r="N10"/>
  <c r="N12" s="1"/>
  <c r="M10"/>
  <c r="M12" s="1"/>
  <c r="I10"/>
  <c r="I12" s="1"/>
  <c r="H10"/>
  <c r="H12" s="1"/>
  <c r="G10"/>
  <c r="G12" s="1"/>
  <c r="F10"/>
  <c r="F12" s="1"/>
  <c r="E10"/>
  <c r="E12" s="1"/>
  <c r="D10"/>
  <c r="D12" s="1"/>
  <c r="C10"/>
  <c r="C12" s="1"/>
  <c r="B10"/>
  <c r="B12" s="1"/>
  <c r="P9"/>
  <c r="O9"/>
  <c r="N9"/>
  <c r="M9"/>
  <c r="C6"/>
  <c r="D6" s="1"/>
  <c r="E6" s="1"/>
  <c r="F6" s="1"/>
  <c r="G6" s="1"/>
  <c r="H6" s="1"/>
  <c r="I6" s="1"/>
  <c r="J6" s="1"/>
  <c r="K6" s="1"/>
  <c r="L6" s="1"/>
  <c r="M6" s="1"/>
  <c r="N6" s="1"/>
  <c r="O6" s="1"/>
  <c r="P6" s="1"/>
  <c r="Q6" s="1"/>
  <c r="R6" s="1"/>
  <c r="S6" s="1"/>
  <c r="Q5"/>
  <c r="Q2" s="1"/>
  <c r="T19" i="7"/>
  <c r="D39"/>
  <c r="E39" s="1"/>
  <c r="C41"/>
  <c r="D41"/>
  <c r="E41" s="1"/>
  <c r="C40"/>
  <c r="C44" s="1"/>
  <c r="D44" s="1"/>
  <c r="E44" s="1"/>
  <c r="C53"/>
  <c r="D53" s="1"/>
  <c r="D51"/>
  <c r="E51" s="1"/>
  <c r="D52"/>
  <c r="E52" s="1"/>
  <c r="D50"/>
  <c r="D49"/>
  <c r="E49" s="1"/>
  <c r="D48"/>
  <c r="E48" s="1"/>
  <c r="C47"/>
  <c r="D47" s="1"/>
  <c r="E47" s="1"/>
  <c r="D46"/>
  <c r="E46" s="1"/>
  <c r="D45"/>
  <c r="E45" s="1"/>
  <c r="C38"/>
  <c r="D38" s="1"/>
  <c r="E37"/>
  <c r="D37"/>
  <c r="D36"/>
  <c r="E36" s="1"/>
  <c r="Y11"/>
  <c r="Y8"/>
  <c r="T8"/>
  <c r="D34"/>
  <c r="E34" s="1"/>
  <c r="R12" i="1"/>
  <c r="V8" i="7"/>
  <c r="U8"/>
  <c r="C32"/>
  <c r="D31"/>
  <c r="E31" s="1"/>
  <c r="D30"/>
  <c r="E30" s="1"/>
  <c r="D29"/>
  <c r="E29" s="1"/>
  <c r="D24"/>
  <c r="E24" s="1"/>
  <c r="Q5"/>
  <c r="Q3" s="1"/>
  <c r="Q18"/>
  <c r="Q20" s="1"/>
  <c r="K22"/>
  <c r="P20"/>
  <c r="O20"/>
  <c r="N20"/>
  <c r="M20"/>
  <c r="L20"/>
  <c r="Q19"/>
  <c r="P19"/>
  <c r="O19"/>
  <c r="N19"/>
  <c r="M19"/>
  <c r="L19"/>
  <c r="R18"/>
  <c r="X11"/>
  <c r="P10"/>
  <c r="P12" s="1"/>
  <c r="O10"/>
  <c r="O12" s="1"/>
  <c r="N10"/>
  <c r="N12" s="1"/>
  <c r="M10"/>
  <c r="M12" s="1"/>
  <c r="L10"/>
  <c r="L12" s="1"/>
  <c r="K10"/>
  <c r="K12" s="1"/>
  <c r="J10"/>
  <c r="J12" s="1"/>
  <c r="I10"/>
  <c r="I12" s="1"/>
  <c r="H10"/>
  <c r="H12" s="1"/>
  <c r="G10"/>
  <c r="G12" s="1"/>
  <c r="F10"/>
  <c r="F12" s="1"/>
  <c r="E10"/>
  <c r="E12" s="1"/>
  <c r="D10"/>
  <c r="D12" s="1"/>
  <c r="C10"/>
  <c r="C12" s="1"/>
  <c r="B10"/>
  <c r="B12" s="1"/>
  <c r="P9"/>
  <c r="O9"/>
  <c r="N9"/>
  <c r="M9"/>
  <c r="L9"/>
  <c r="K9"/>
  <c r="C6"/>
  <c r="D6" s="1"/>
  <c r="E6" s="1"/>
  <c r="F6" s="1"/>
  <c r="G6" s="1"/>
  <c r="H6" s="1"/>
  <c r="I6" s="1"/>
  <c r="J6" s="1"/>
  <c r="K6" s="1"/>
  <c r="L6" s="1"/>
  <c r="M6" s="1"/>
  <c r="N6" s="1"/>
  <c r="O6" s="1"/>
  <c r="P6" s="1"/>
  <c r="Q6" s="1"/>
  <c r="R6" s="1"/>
  <c r="S6" s="1"/>
  <c r="T6" s="1"/>
  <c r="U6" s="1"/>
  <c r="V6" s="1"/>
  <c r="W6" s="1"/>
  <c r="K22" i="1"/>
  <c r="AW69" i="6"/>
  <c r="BA69"/>
  <c r="BB69"/>
  <c r="BC69"/>
  <c r="BD69"/>
  <c r="BE69"/>
  <c r="BG69"/>
  <c r="BI69"/>
  <c r="BG12"/>
  <c r="BI12" s="1"/>
  <c r="BG13"/>
  <c r="BI13"/>
  <c r="BG14"/>
  <c r="BI14" s="1"/>
  <c r="BG15"/>
  <c r="BI15"/>
  <c r="BG16"/>
  <c r="BI16" s="1"/>
  <c r="BG17"/>
  <c r="BI17"/>
  <c r="BG18"/>
  <c r="BI18" s="1"/>
  <c r="BG19"/>
  <c r="BI19"/>
  <c r="BG20"/>
  <c r="BI20" s="1"/>
  <c r="BG21"/>
  <c r="BI21"/>
  <c r="BG22"/>
  <c r="BI22" s="1"/>
  <c r="BG23"/>
  <c r="BI23"/>
  <c r="BG24"/>
  <c r="BI24" s="1"/>
  <c r="BG25"/>
  <c r="BI25"/>
  <c r="BG26"/>
  <c r="BI26" s="1"/>
  <c r="BG27"/>
  <c r="BI27"/>
  <c r="BG28"/>
  <c r="BI28" s="1"/>
  <c r="BG29"/>
  <c r="BI29"/>
  <c r="BG30"/>
  <c r="BI30" s="1"/>
  <c r="BG31"/>
  <c r="BI31"/>
  <c r="BG32"/>
  <c r="BI32" s="1"/>
  <c r="BG33"/>
  <c r="BI33"/>
  <c r="BG34"/>
  <c r="BI34" s="1"/>
  <c r="BG35"/>
  <c r="BI35"/>
  <c r="BG36"/>
  <c r="BI36" s="1"/>
  <c r="BG37"/>
  <c r="BI37"/>
  <c r="BG38"/>
  <c r="BI38" s="1"/>
  <c r="BG39"/>
  <c r="BI39"/>
  <c r="BG40"/>
  <c r="BI40" s="1"/>
  <c r="BG41"/>
  <c r="BI41"/>
  <c r="BG42"/>
  <c r="BI42" s="1"/>
  <c r="BG43"/>
  <c r="BI43"/>
  <c r="BG44"/>
  <c r="BI44" s="1"/>
  <c r="BG45"/>
  <c r="BI45"/>
  <c r="BG46"/>
  <c r="BI46" s="1"/>
  <c r="BG47"/>
  <c r="BI47"/>
  <c r="BG48"/>
  <c r="BI48" s="1"/>
  <c r="BG49"/>
  <c r="BI49" s="1"/>
  <c r="BG50"/>
  <c r="BI50" s="1"/>
  <c r="BG51"/>
  <c r="BI51" s="1"/>
  <c r="BG52"/>
  <c r="BI52" s="1"/>
  <c r="BG53"/>
  <c r="BI53" s="1"/>
  <c r="BG54"/>
  <c r="BI54" s="1"/>
  <c r="BG55"/>
  <c r="BI55" s="1"/>
  <c r="BG56"/>
  <c r="BI56" s="1"/>
  <c r="BG57"/>
  <c r="BI57" s="1"/>
  <c r="BG58"/>
  <c r="BI58" s="1"/>
  <c r="BG59"/>
  <c r="BI59" s="1"/>
  <c r="BG60"/>
  <c r="BI60" s="1"/>
  <c r="BG61"/>
  <c r="BI61" s="1"/>
  <c r="BG62"/>
  <c r="BI62" s="1"/>
  <c r="BG63"/>
  <c r="BI63" s="1"/>
  <c r="BG64"/>
  <c r="BI64" s="1"/>
  <c r="BG65"/>
  <c r="BI65" s="1"/>
  <c r="BG66"/>
  <c r="BI66" s="1"/>
  <c r="BG67"/>
  <c r="BI67" s="1"/>
  <c r="BG68"/>
  <c r="BI68" s="1"/>
  <c r="BI11"/>
  <c r="BG11"/>
  <c r="BE12"/>
  <c r="BE13"/>
  <c r="BE14"/>
  <c r="BE15"/>
  <c r="BE16"/>
  <c r="BE17"/>
  <c r="BE18"/>
  <c r="BE19"/>
  <c r="BE20"/>
  <c r="BE21"/>
  <c r="BE22"/>
  <c r="BE23"/>
  <c r="BE24"/>
  <c r="BE25"/>
  <c r="BE26"/>
  <c r="BE27"/>
  <c r="BE28"/>
  <c r="BE29"/>
  <c r="BE30"/>
  <c r="BE31"/>
  <c r="BE32"/>
  <c r="BE33"/>
  <c r="BE34"/>
  <c r="BE35"/>
  <c r="BE36"/>
  <c r="BE37"/>
  <c r="BE38"/>
  <c r="BE39"/>
  <c r="BE40"/>
  <c r="BE41"/>
  <c r="BE42"/>
  <c r="BE43"/>
  <c r="BE44"/>
  <c r="BE45"/>
  <c r="BE46"/>
  <c r="BE47"/>
  <c r="BE48"/>
  <c r="BE49"/>
  <c r="BE50"/>
  <c r="BE51"/>
  <c r="BE52"/>
  <c r="BE53"/>
  <c r="BE54"/>
  <c r="BE55"/>
  <c r="BE56"/>
  <c r="BE57"/>
  <c r="BE58"/>
  <c r="BE59"/>
  <c r="BE60"/>
  <c r="BE61"/>
  <c r="BE62"/>
  <c r="BE63"/>
  <c r="BE64"/>
  <c r="BE65"/>
  <c r="BE66"/>
  <c r="BE67"/>
  <c r="BE68"/>
  <c r="BE11"/>
  <c r="AW12" i="5"/>
  <c r="AX12" s="1"/>
  <c r="AW13"/>
  <c r="AX13" s="1"/>
  <c r="AW14"/>
  <c r="AX14" s="1"/>
  <c r="AW15"/>
  <c r="AX15" s="1"/>
  <c r="AW16"/>
  <c r="AX16" s="1"/>
  <c r="AW17"/>
  <c r="AX17"/>
  <c r="AW18"/>
  <c r="AX18" s="1"/>
  <c r="AW19"/>
  <c r="AX19" s="1"/>
  <c r="AW20"/>
  <c r="AX20" s="1"/>
  <c r="AW21"/>
  <c r="AX21" s="1"/>
  <c r="AW23"/>
  <c r="AX23" s="1"/>
  <c r="AW24"/>
  <c r="AX24" s="1"/>
  <c r="AW26"/>
  <c r="AX26" s="1"/>
  <c r="AW27"/>
  <c r="AX27" s="1"/>
  <c r="AW28"/>
  <c r="AX28" s="1"/>
  <c r="AW29"/>
  <c r="AX29" s="1"/>
  <c r="AW30"/>
  <c r="AX30" s="1"/>
  <c r="AW31"/>
  <c r="AX31" s="1"/>
  <c r="AW33"/>
  <c r="AX33" s="1"/>
  <c r="AW34"/>
  <c r="AX34" s="1"/>
  <c r="AW35"/>
  <c r="AX35" s="1"/>
  <c r="AW36"/>
  <c r="AX36" s="1"/>
  <c r="AW37"/>
  <c r="AX37" s="1"/>
  <c r="AW38"/>
  <c r="AX38" s="1"/>
  <c r="AW40"/>
  <c r="AX40" s="1"/>
  <c r="AW41"/>
  <c r="AX41" s="1"/>
  <c r="AW42"/>
  <c r="AX42" s="1"/>
  <c r="AW43"/>
  <c r="AX43" s="1"/>
  <c r="AW44"/>
  <c r="AX44" s="1"/>
  <c r="AW45"/>
  <c r="AX45" s="1"/>
  <c r="AW46"/>
  <c r="AX46" s="1"/>
  <c r="AW47"/>
  <c r="AX47" s="1"/>
  <c r="AW48"/>
  <c r="AX48" s="1"/>
  <c r="AW49"/>
  <c r="AX49" s="1"/>
  <c r="AW50"/>
  <c r="AX50" s="1"/>
  <c r="AW51"/>
  <c r="AX51" s="1"/>
  <c r="AW52"/>
  <c r="AX52" s="1"/>
  <c r="AW53"/>
  <c r="AX53" s="1"/>
  <c r="AW54"/>
  <c r="AX54" s="1"/>
  <c r="AW55"/>
  <c r="AX55" s="1"/>
  <c r="AW56"/>
  <c r="AX56" s="1"/>
  <c r="AW57"/>
  <c r="AX57" s="1"/>
  <c r="AW58"/>
  <c r="AX58" s="1"/>
  <c r="AW59"/>
  <c r="AX59" s="1"/>
  <c r="AW60"/>
  <c r="AX60" s="1"/>
  <c r="AW61"/>
  <c r="AX61" s="1"/>
  <c r="AW62"/>
  <c r="AX62" s="1"/>
  <c r="AW63"/>
  <c r="AX63" s="1"/>
  <c r="AW64"/>
  <c r="AX64" s="1"/>
  <c r="AW65"/>
  <c r="AX65" s="1"/>
  <c r="AW66"/>
  <c r="AX66" s="1"/>
  <c r="AW67"/>
  <c r="AX67" s="1"/>
  <c r="AW68"/>
  <c r="AX68" s="1"/>
  <c r="C66"/>
  <c r="C56"/>
  <c r="C46"/>
  <c r="C39"/>
  <c r="AW39" s="1"/>
  <c r="AX39" s="1"/>
  <c r="C32"/>
  <c r="AW32" s="1"/>
  <c r="AX32" s="1"/>
  <c r="C25"/>
  <c r="AW25" s="1"/>
  <c r="AX25" s="1"/>
  <c r="C22"/>
  <c r="AW22" s="1"/>
  <c r="AX22" s="1"/>
  <c r="C19"/>
  <c r="C16"/>
  <c r="C14"/>
  <c r="C11"/>
  <c r="AW11" s="1"/>
  <c r="AX11" s="1"/>
  <c r="AE56" i="6"/>
  <c r="AE46"/>
  <c r="AE39"/>
  <c r="AE32"/>
  <c r="AE25"/>
  <c r="AE22"/>
  <c r="AE19"/>
  <c r="AE16"/>
  <c r="AE14"/>
  <c r="AE11"/>
  <c r="AF16"/>
  <c r="AF14"/>
  <c r="AF11"/>
  <c r="AF19"/>
  <c r="AF22"/>
  <c r="AF25"/>
  <c r="AF32"/>
  <c r="AF39"/>
  <c r="AF46"/>
  <c r="AF56"/>
  <c r="AF66"/>
  <c r="AI74"/>
  <c r="AI73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G66"/>
  <c r="AH66"/>
  <c r="AI6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G56"/>
  <c r="AH56"/>
  <c r="AI5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G46"/>
  <c r="AH46"/>
  <c r="AI46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G39"/>
  <c r="AH39"/>
  <c r="AI39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G32"/>
  <c r="AH32"/>
  <c r="AI32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G25"/>
  <c r="AH25"/>
  <c r="AI25"/>
  <c r="AJ25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G22"/>
  <c r="AH22"/>
  <c r="AI22"/>
  <c r="AJ22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G19"/>
  <c r="AH19"/>
  <c r="AI19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G16"/>
  <c r="AH16"/>
  <c r="AI16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G14"/>
  <c r="AH14"/>
  <c r="AI14"/>
  <c r="D11"/>
  <c r="E11"/>
  <c r="E69" s="1"/>
  <c r="F11"/>
  <c r="G11"/>
  <c r="H11"/>
  <c r="I11"/>
  <c r="J11"/>
  <c r="K11"/>
  <c r="L11"/>
  <c r="M11"/>
  <c r="N11"/>
  <c r="O11"/>
  <c r="P11"/>
  <c r="Q11"/>
  <c r="Q69" s="1"/>
  <c r="R11"/>
  <c r="S11"/>
  <c r="T11"/>
  <c r="U11"/>
  <c r="V11"/>
  <c r="W11"/>
  <c r="X11"/>
  <c r="Y11"/>
  <c r="Z11"/>
  <c r="AA11"/>
  <c r="AB11"/>
  <c r="AC11"/>
  <c r="AD11"/>
  <c r="AG11"/>
  <c r="AH11"/>
  <c r="AI11"/>
  <c r="AU12"/>
  <c r="AU13"/>
  <c r="AU14"/>
  <c r="AU15"/>
  <c r="AU16"/>
  <c r="AU17"/>
  <c r="AU18"/>
  <c r="AU19"/>
  <c r="AU20"/>
  <c r="AU21"/>
  <c r="AU22"/>
  <c r="AU23"/>
  <c r="AU24"/>
  <c r="AU25"/>
  <c r="AU26"/>
  <c r="AU27"/>
  <c r="AU28"/>
  <c r="AU29"/>
  <c r="AU30"/>
  <c r="AU31"/>
  <c r="AU32"/>
  <c r="AU33"/>
  <c r="AU34"/>
  <c r="AU35"/>
  <c r="AU36"/>
  <c r="AU37"/>
  <c r="AU38"/>
  <c r="AU39"/>
  <c r="AU40"/>
  <c r="AU41"/>
  <c r="AU42"/>
  <c r="AU43"/>
  <c r="AU44"/>
  <c r="AU45"/>
  <c r="AU46"/>
  <c r="AU47"/>
  <c r="AU48"/>
  <c r="AU49"/>
  <c r="AU50"/>
  <c r="AU51"/>
  <c r="AU52"/>
  <c r="AU53"/>
  <c r="AU54"/>
  <c r="AU55"/>
  <c r="AU56"/>
  <c r="AU57"/>
  <c r="AU58"/>
  <c r="AU59"/>
  <c r="AU60"/>
  <c r="AU61"/>
  <c r="AU62"/>
  <c r="AU63"/>
  <c r="AU64"/>
  <c r="AU65"/>
  <c r="AU66"/>
  <c r="AU67"/>
  <c r="AU68"/>
  <c r="AS12"/>
  <c r="AS13"/>
  <c r="AS14"/>
  <c r="AS15"/>
  <c r="AS16"/>
  <c r="AS17"/>
  <c r="AS18"/>
  <c r="AS19"/>
  <c r="AS20"/>
  <c r="AS21"/>
  <c r="AS22"/>
  <c r="AS23"/>
  <c r="AS24"/>
  <c r="AS25"/>
  <c r="AS26"/>
  <c r="AS27"/>
  <c r="AS28"/>
  <c r="AS29"/>
  <c r="AS30"/>
  <c r="AS31"/>
  <c r="AS32"/>
  <c r="AS33"/>
  <c r="AS34"/>
  <c r="AS35"/>
  <c r="AS36"/>
  <c r="AS37"/>
  <c r="AS38"/>
  <c r="AS39"/>
  <c r="AS40"/>
  <c r="AS41"/>
  <c r="AS42"/>
  <c r="AS43"/>
  <c r="AS44"/>
  <c r="AS45"/>
  <c r="AS46"/>
  <c r="AS47"/>
  <c r="AS48"/>
  <c r="AS49"/>
  <c r="AS50"/>
  <c r="AS51"/>
  <c r="AS52"/>
  <c r="AS53"/>
  <c r="AS54"/>
  <c r="AS55"/>
  <c r="AS56"/>
  <c r="AS57"/>
  <c r="AS58"/>
  <c r="AS59"/>
  <c r="AS60"/>
  <c r="AS61"/>
  <c r="AS62"/>
  <c r="AS63"/>
  <c r="AS64"/>
  <c r="AS65"/>
  <c r="AS66"/>
  <c r="AS67"/>
  <c r="AS68"/>
  <c r="AQ68"/>
  <c r="AQ12"/>
  <c r="AQ13"/>
  <c r="AQ14"/>
  <c r="AQ15"/>
  <c r="AQ16"/>
  <c r="AQ17"/>
  <c r="AQ18"/>
  <c r="AQ19"/>
  <c r="AQ20"/>
  <c r="AQ21"/>
  <c r="AQ22"/>
  <c r="AQ23"/>
  <c r="AQ24"/>
  <c r="AQ25"/>
  <c r="AQ26"/>
  <c r="AQ27"/>
  <c r="AQ28"/>
  <c r="AQ29"/>
  <c r="AQ30"/>
  <c r="AQ31"/>
  <c r="AQ32"/>
  <c r="AQ33"/>
  <c r="AQ34"/>
  <c r="AQ35"/>
  <c r="AQ36"/>
  <c r="AQ37"/>
  <c r="AQ38"/>
  <c r="AQ39"/>
  <c r="AQ40"/>
  <c r="AQ41"/>
  <c r="AQ42"/>
  <c r="AQ43"/>
  <c r="AQ44"/>
  <c r="AQ45"/>
  <c r="AQ46"/>
  <c r="AQ47"/>
  <c r="AQ48"/>
  <c r="AQ49"/>
  <c r="AQ50"/>
  <c r="AQ51"/>
  <c r="AQ52"/>
  <c r="AQ53"/>
  <c r="AQ54"/>
  <c r="AQ55"/>
  <c r="AQ56"/>
  <c r="AQ57"/>
  <c r="AQ58"/>
  <c r="AQ59"/>
  <c r="AQ60"/>
  <c r="AQ61"/>
  <c r="AQ62"/>
  <c r="AQ63"/>
  <c r="AQ64"/>
  <c r="AQ65"/>
  <c r="AQ66"/>
  <c r="AQ67"/>
  <c r="AO12"/>
  <c r="AO13"/>
  <c r="AO14"/>
  <c r="AO15"/>
  <c r="AO16"/>
  <c r="AO17"/>
  <c r="AO18"/>
  <c r="AO19"/>
  <c r="AO20"/>
  <c r="AO21"/>
  <c r="AO22"/>
  <c r="AO23"/>
  <c r="AO24"/>
  <c r="AO25"/>
  <c r="AO26"/>
  <c r="AO27"/>
  <c r="AO28"/>
  <c r="AO29"/>
  <c r="AO30"/>
  <c r="AO31"/>
  <c r="AO32"/>
  <c r="AO33"/>
  <c r="AO34"/>
  <c r="AO35"/>
  <c r="AO36"/>
  <c r="AO37"/>
  <c r="AO38"/>
  <c r="AO39"/>
  <c r="AO40"/>
  <c r="AO41"/>
  <c r="AO42"/>
  <c r="AO43"/>
  <c r="AO44"/>
  <c r="AO45"/>
  <c r="AO46"/>
  <c r="AO47"/>
  <c r="AO48"/>
  <c r="AO49"/>
  <c r="AO50"/>
  <c r="AO51"/>
  <c r="AO52"/>
  <c r="AO53"/>
  <c r="AO54"/>
  <c r="AO55"/>
  <c r="AO56"/>
  <c r="AO57"/>
  <c r="AO58"/>
  <c r="AO59"/>
  <c r="AO60"/>
  <c r="AO61"/>
  <c r="AO62"/>
  <c r="AO63"/>
  <c r="AO64"/>
  <c r="AO65"/>
  <c r="AO66"/>
  <c r="AO67"/>
  <c r="AO68"/>
  <c r="AU11"/>
  <c r="AS11"/>
  <c r="AQ11"/>
  <c r="AO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11"/>
  <c r="AL11"/>
  <c r="AL69" s="1"/>
  <c r="AL72" s="1"/>
  <c r="AK12"/>
  <c r="AK13"/>
  <c r="AK14"/>
  <c r="AK15"/>
  <c r="AK16"/>
  <c r="AK17"/>
  <c r="AK18"/>
  <c r="AK19"/>
  <c r="AK20"/>
  <c r="AK21"/>
  <c r="AK22"/>
  <c r="AK23"/>
  <c r="AK24"/>
  <c r="AK25"/>
  <c r="AK26"/>
  <c r="AK27"/>
  <c r="AK28"/>
  <c r="AK29"/>
  <c r="BF29" s="1"/>
  <c r="BH29" s="1"/>
  <c r="BJ29" s="1"/>
  <c r="BK29" s="1"/>
  <c r="AK30"/>
  <c r="AK31"/>
  <c r="AK32"/>
  <c r="AK33"/>
  <c r="AK34"/>
  <c r="AK35"/>
  <c r="AK36"/>
  <c r="AK37"/>
  <c r="AK38"/>
  <c r="AK39"/>
  <c r="AK40"/>
  <c r="AK41"/>
  <c r="AK42"/>
  <c r="AK43"/>
  <c r="AK44"/>
  <c r="AK45"/>
  <c r="AK46"/>
  <c r="AK47"/>
  <c r="AK48"/>
  <c r="AK49"/>
  <c r="AK50"/>
  <c r="AK51"/>
  <c r="AK52"/>
  <c r="AK53"/>
  <c r="AK54"/>
  <c r="BF54" s="1"/>
  <c r="BH54" s="1"/>
  <c r="BJ54" s="1"/>
  <c r="BK54" s="1"/>
  <c r="AK55"/>
  <c r="AK56"/>
  <c r="AK57"/>
  <c r="AK58"/>
  <c r="AK59"/>
  <c r="AK60"/>
  <c r="AK61"/>
  <c r="AK62"/>
  <c r="AK63"/>
  <c r="AK64"/>
  <c r="AK65"/>
  <c r="AK66"/>
  <c r="AK67"/>
  <c r="AK11"/>
  <c r="AU70"/>
  <c r="AS70"/>
  <c r="AQ70"/>
  <c r="AK70"/>
  <c r="AT69"/>
  <c r="AT72" s="1"/>
  <c r="AR69"/>
  <c r="AR72" s="1"/>
  <c r="AP69"/>
  <c r="AP72" s="1"/>
  <c r="AN69"/>
  <c r="AN72" s="1"/>
  <c r="AK68"/>
  <c r="BF68" s="1"/>
  <c r="BH68" s="1"/>
  <c r="BJ68" s="1"/>
  <c r="BK68" s="1"/>
  <c r="AW67"/>
  <c r="AW64"/>
  <c r="AW63"/>
  <c r="AW62"/>
  <c r="AW61"/>
  <c r="AW59"/>
  <c r="AW55"/>
  <c r="AW54"/>
  <c r="AW53"/>
  <c r="AW51"/>
  <c r="AW49"/>
  <c r="AW48"/>
  <c r="AW47"/>
  <c r="AW45"/>
  <c r="AW43"/>
  <c r="AW41"/>
  <c r="AW40"/>
  <c r="AX39"/>
  <c r="AW38"/>
  <c r="AW37"/>
  <c r="AW35"/>
  <c r="AW34"/>
  <c r="AW33"/>
  <c r="AW31"/>
  <c r="AW30"/>
  <c r="AW29"/>
  <c r="AW27"/>
  <c r="AW26"/>
  <c r="AW24"/>
  <c r="AW23"/>
  <c r="AW21"/>
  <c r="AW18"/>
  <c r="AW17"/>
  <c r="AW15"/>
  <c r="AW13"/>
  <c r="E69" i="5"/>
  <c r="F69"/>
  <c r="F72" s="1"/>
  <c r="G69"/>
  <c r="G72" s="1"/>
  <c r="H69"/>
  <c r="H72" s="1"/>
  <c r="I69"/>
  <c r="I72" s="1"/>
  <c r="J69"/>
  <c r="J72" s="1"/>
  <c r="K69"/>
  <c r="K72" s="1"/>
  <c r="L69"/>
  <c r="L72" s="1"/>
  <c r="M69"/>
  <c r="M72" s="1"/>
  <c r="N69"/>
  <c r="N72" s="1"/>
  <c r="O69"/>
  <c r="O72" s="1"/>
  <c r="P69"/>
  <c r="P72" s="1"/>
  <c r="Q69"/>
  <c r="Q72" s="1"/>
  <c r="R69"/>
  <c r="R72" s="1"/>
  <c r="S69"/>
  <c r="S72" s="1"/>
  <c r="T69"/>
  <c r="T72" s="1"/>
  <c r="U69"/>
  <c r="U72" s="1"/>
  <c r="V69"/>
  <c r="V72" s="1"/>
  <c r="W69"/>
  <c r="W72" s="1"/>
  <c r="X69"/>
  <c r="X72" s="1"/>
  <c r="Y69"/>
  <c r="Y72" s="1"/>
  <c r="Z69"/>
  <c r="Z72" s="1"/>
  <c r="AA69"/>
  <c r="AA72" s="1"/>
  <c r="AB69"/>
  <c r="AB72" s="1"/>
  <c r="AC69"/>
  <c r="AC72" s="1"/>
  <c r="AD69"/>
  <c r="AD72" s="1"/>
  <c r="AE69"/>
  <c r="AE72" s="1"/>
  <c r="AF69"/>
  <c r="AF72" s="1"/>
  <c r="AG69"/>
  <c r="AG72" s="1"/>
  <c r="AH69"/>
  <c r="AH72" s="1"/>
  <c r="AI69"/>
  <c r="AI72" s="1"/>
  <c r="AJ69"/>
  <c r="AJ72" s="1"/>
  <c r="AK69"/>
  <c r="AK72" s="1"/>
  <c r="AM69"/>
  <c r="AM72" s="1"/>
  <c r="AO69"/>
  <c r="AO72" s="1"/>
  <c r="AQ69"/>
  <c r="AQ72" s="1"/>
  <c r="AS69"/>
  <c r="AS72" s="1"/>
  <c r="AU69"/>
  <c r="AU72" s="1"/>
  <c r="C69" i="2"/>
  <c r="X5" i="1"/>
  <c r="AV12" i="5"/>
  <c r="AV13"/>
  <c r="AV14"/>
  <c r="AV15"/>
  <c r="AV16"/>
  <c r="AV17"/>
  <c r="AV18"/>
  <c r="AV19"/>
  <c r="AV20"/>
  <c r="AV21"/>
  <c r="AV22"/>
  <c r="AV23"/>
  <c r="AV24"/>
  <c r="AV25"/>
  <c r="AV26"/>
  <c r="AV27"/>
  <c r="AV28"/>
  <c r="AV29"/>
  <c r="AV30"/>
  <c r="AV31"/>
  <c r="AV32"/>
  <c r="AV33"/>
  <c r="AV34"/>
  <c r="AV35"/>
  <c r="AV36"/>
  <c r="AV37"/>
  <c r="AV38"/>
  <c r="AV39"/>
  <c r="AV40"/>
  <c r="AV41"/>
  <c r="AV42"/>
  <c r="AV43"/>
  <c r="AV44"/>
  <c r="AV45"/>
  <c r="AV46"/>
  <c r="AV47"/>
  <c r="AV48"/>
  <c r="AV49"/>
  <c r="AV50"/>
  <c r="AV51"/>
  <c r="AV52"/>
  <c r="AV53"/>
  <c r="AV54"/>
  <c r="AV55"/>
  <c r="AV56"/>
  <c r="AV57"/>
  <c r="AV58"/>
  <c r="AV59"/>
  <c r="AV60"/>
  <c r="AV61"/>
  <c r="AV62"/>
  <c r="AV63"/>
  <c r="AV64"/>
  <c r="AV65"/>
  <c r="AV66"/>
  <c r="AV67"/>
  <c r="AV68"/>
  <c r="AV70"/>
  <c r="AV11"/>
  <c r="AT12"/>
  <c r="AT13"/>
  <c r="AT14"/>
  <c r="AT15"/>
  <c r="AT16"/>
  <c r="AT17"/>
  <c r="AT18"/>
  <c r="AT19"/>
  <c r="AT20"/>
  <c r="AT21"/>
  <c r="AT22"/>
  <c r="AT23"/>
  <c r="AT24"/>
  <c r="AT25"/>
  <c r="AT26"/>
  <c r="AT27"/>
  <c r="AT28"/>
  <c r="AT29"/>
  <c r="AT30"/>
  <c r="AT31"/>
  <c r="AT32"/>
  <c r="AT33"/>
  <c r="AT34"/>
  <c r="AT35"/>
  <c r="AT36"/>
  <c r="AT37"/>
  <c r="AT38"/>
  <c r="AT39"/>
  <c r="AT40"/>
  <c r="AT41"/>
  <c r="AT42"/>
  <c r="AT43"/>
  <c r="AT44"/>
  <c r="AT45"/>
  <c r="AT46"/>
  <c r="AT47"/>
  <c r="AT48"/>
  <c r="AT49"/>
  <c r="AT50"/>
  <c r="AT51"/>
  <c r="AT52"/>
  <c r="AT53"/>
  <c r="AT54"/>
  <c r="AT55"/>
  <c r="AT56"/>
  <c r="AT57"/>
  <c r="AT58"/>
  <c r="AT59"/>
  <c r="AT60"/>
  <c r="AT61"/>
  <c r="AT62"/>
  <c r="AT63"/>
  <c r="AT64"/>
  <c r="AT65"/>
  <c r="AT66"/>
  <c r="AT67"/>
  <c r="AT68"/>
  <c r="AT70"/>
  <c r="AT11"/>
  <c r="AR12"/>
  <c r="AR13"/>
  <c r="AR14"/>
  <c r="AR15"/>
  <c r="AR16"/>
  <c r="AR17"/>
  <c r="AR18"/>
  <c r="AR19"/>
  <c r="AR20"/>
  <c r="AR21"/>
  <c r="AR22"/>
  <c r="AR23"/>
  <c r="AR24"/>
  <c r="AR25"/>
  <c r="AR26"/>
  <c r="AR27"/>
  <c r="AR28"/>
  <c r="AR29"/>
  <c r="AR30"/>
  <c r="AR31"/>
  <c r="AR32"/>
  <c r="AR33"/>
  <c r="AR34"/>
  <c r="AR35"/>
  <c r="AR36"/>
  <c r="AR37"/>
  <c r="AR38"/>
  <c r="AR39"/>
  <c r="AR40"/>
  <c r="AR41"/>
  <c r="AR42"/>
  <c r="AR43"/>
  <c r="AR44"/>
  <c r="AR45"/>
  <c r="AR46"/>
  <c r="AR47"/>
  <c r="AR48"/>
  <c r="AR49"/>
  <c r="AR50"/>
  <c r="AR51"/>
  <c r="AR52"/>
  <c r="AR53"/>
  <c r="AR54"/>
  <c r="AR55"/>
  <c r="AR56"/>
  <c r="AR57"/>
  <c r="AR58"/>
  <c r="AR59"/>
  <c r="AR60"/>
  <c r="AR61"/>
  <c r="AR62"/>
  <c r="AR63"/>
  <c r="AR64"/>
  <c r="AR65"/>
  <c r="AR66"/>
  <c r="AR67"/>
  <c r="AR68"/>
  <c r="AR11"/>
  <c r="AP12"/>
  <c r="AP13"/>
  <c r="AP14"/>
  <c r="AP15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61"/>
  <c r="AP62"/>
  <c r="AP63"/>
  <c r="AP64"/>
  <c r="AP65"/>
  <c r="AP66"/>
  <c r="AP67"/>
  <c r="AP68"/>
  <c r="AP11"/>
  <c r="AR70"/>
  <c r="AN68"/>
  <c r="AN67"/>
  <c r="AN66"/>
  <c r="AN65"/>
  <c r="AN64"/>
  <c r="AN63"/>
  <c r="AN62"/>
  <c r="AN61"/>
  <c r="AN60"/>
  <c r="AN59"/>
  <c r="AN58"/>
  <c r="AN57"/>
  <c r="AN56"/>
  <c r="AN55"/>
  <c r="AN54"/>
  <c r="AN53"/>
  <c r="AN52"/>
  <c r="AN51"/>
  <c r="AN50"/>
  <c r="AN49"/>
  <c r="AN48"/>
  <c r="AN47"/>
  <c r="AN46"/>
  <c r="AN45"/>
  <c r="AN44"/>
  <c r="AN43"/>
  <c r="AN42"/>
  <c r="AN41"/>
  <c r="AN40"/>
  <c r="AN39"/>
  <c r="AN38"/>
  <c r="AN37"/>
  <c r="AN36"/>
  <c r="AN35"/>
  <c r="AN34"/>
  <c r="AN33"/>
  <c r="AN32"/>
  <c r="AN31"/>
  <c r="AN30"/>
  <c r="AN29"/>
  <c r="AN28"/>
  <c r="AN27"/>
  <c r="AN26"/>
  <c r="AN25"/>
  <c r="AN24"/>
  <c r="AN23"/>
  <c r="AN22"/>
  <c r="AN21"/>
  <c r="AN20"/>
  <c r="AN19"/>
  <c r="AN18"/>
  <c r="AN17"/>
  <c r="AN16"/>
  <c r="AN15"/>
  <c r="AN14"/>
  <c r="AN13"/>
  <c r="AN12"/>
  <c r="AN11"/>
  <c r="AK13" i="4"/>
  <c r="AV13" s="1"/>
  <c r="AK14"/>
  <c r="AK15"/>
  <c r="AV15" s="1"/>
  <c r="AK16"/>
  <c r="AX16" s="1"/>
  <c r="AY16" s="1"/>
  <c r="AZ16" s="1"/>
  <c r="AK17"/>
  <c r="AK18"/>
  <c r="AV18" s="1"/>
  <c r="AK19"/>
  <c r="AX19" s="1"/>
  <c r="AY19" s="1"/>
  <c r="AZ19" s="1"/>
  <c r="AK20"/>
  <c r="AK21"/>
  <c r="AV21" s="1"/>
  <c r="AK22"/>
  <c r="AX22" s="1"/>
  <c r="AY22" s="1"/>
  <c r="AZ22" s="1"/>
  <c r="AK23"/>
  <c r="AV23" s="1"/>
  <c r="AK24"/>
  <c r="AV24" s="1"/>
  <c r="AK25"/>
  <c r="AX25" s="1"/>
  <c r="AY25" s="1"/>
  <c r="AZ25" s="1"/>
  <c r="AK26"/>
  <c r="AK27"/>
  <c r="AV27" s="1"/>
  <c r="AK28"/>
  <c r="AV28" s="1"/>
  <c r="AK29"/>
  <c r="AV29" s="1"/>
  <c r="AK30"/>
  <c r="AK31"/>
  <c r="AV31" s="1"/>
  <c r="AK32"/>
  <c r="AK33"/>
  <c r="AV33" s="1"/>
  <c r="AK34"/>
  <c r="AK35"/>
  <c r="AK36"/>
  <c r="AX36" s="1"/>
  <c r="AK37"/>
  <c r="AV37" s="1"/>
  <c r="AK38"/>
  <c r="AK39"/>
  <c r="AX39" s="1"/>
  <c r="AK40"/>
  <c r="AV40" s="1"/>
  <c r="AK41"/>
  <c r="AK42"/>
  <c r="AV42" s="1"/>
  <c r="AK43"/>
  <c r="AV43" s="1"/>
  <c r="AK44"/>
  <c r="AK45"/>
  <c r="AV45" s="1"/>
  <c r="AK46"/>
  <c r="AX46" s="1"/>
  <c r="AY46" s="1"/>
  <c r="AK47"/>
  <c r="AV47" s="1"/>
  <c r="AK48"/>
  <c r="AX48" s="1"/>
  <c r="AY48" s="1"/>
  <c r="AZ48" s="1"/>
  <c r="AK49"/>
  <c r="AV49" s="1"/>
  <c r="AK50"/>
  <c r="AK51"/>
  <c r="AX51" s="1"/>
  <c r="AK52"/>
  <c r="AV52" s="1"/>
  <c r="AK53"/>
  <c r="AX53" s="1"/>
  <c r="AY53" s="1"/>
  <c r="AZ53" s="1"/>
  <c r="AK54"/>
  <c r="AV54" s="1"/>
  <c r="AK55"/>
  <c r="AX55" s="1"/>
  <c r="AK56"/>
  <c r="AK57"/>
  <c r="AV57" s="1"/>
  <c r="AK58"/>
  <c r="AV58" s="1"/>
  <c r="AK59"/>
  <c r="AK60"/>
  <c r="AX60" s="1"/>
  <c r="AY60" s="1"/>
  <c r="AZ60" s="1"/>
  <c r="AK61"/>
  <c r="AV61" s="1"/>
  <c r="AK62"/>
  <c r="AK63"/>
  <c r="AV63" s="1"/>
  <c r="AK64"/>
  <c r="AV64" s="1"/>
  <c r="AK65"/>
  <c r="AK66"/>
  <c r="AV66" s="1"/>
  <c r="AK67"/>
  <c r="AX67" s="1"/>
  <c r="AY67" s="1"/>
  <c r="AZ67" s="1"/>
  <c r="AK68"/>
  <c r="AX68" s="1"/>
  <c r="AY68" s="1"/>
  <c r="AZ68" s="1"/>
  <c r="AK69"/>
  <c r="AX69" s="1"/>
  <c r="AL70" i="5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AL50"/>
  <c r="AL51"/>
  <c r="AL52"/>
  <c r="AL53"/>
  <c r="AL54"/>
  <c r="AL55"/>
  <c r="AL56"/>
  <c r="AL57"/>
  <c r="AL58"/>
  <c r="AL59"/>
  <c r="AL60"/>
  <c r="AL61"/>
  <c r="AL62"/>
  <c r="D62" s="1"/>
  <c r="AY62" s="1"/>
  <c r="AZ62" s="1"/>
  <c r="BA62" s="1"/>
  <c r="AL63"/>
  <c r="AL64"/>
  <c r="AL65"/>
  <c r="AL66"/>
  <c r="AL67"/>
  <c r="AL68"/>
  <c r="AK12" i="4"/>
  <c r="AX12" s="1"/>
  <c r="AK11"/>
  <c r="AX11" s="1"/>
  <c r="AL12" i="5"/>
  <c r="AL11"/>
  <c r="Q70"/>
  <c r="K70"/>
  <c r="R9" i="1"/>
  <c r="P70" i="4"/>
  <c r="J70"/>
  <c r="D70"/>
  <c r="AW69"/>
  <c r="AW68"/>
  <c r="AV68"/>
  <c r="AW67"/>
  <c r="AW66"/>
  <c r="C66"/>
  <c r="AX65"/>
  <c r="AY65" s="1"/>
  <c r="AZ65" s="1"/>
  <c r="AW65"/>
  <c r="AV65"/>
  <c r="AX64"/>
  <c r="AY64" s="1"/>
  <c r="AZ64" s="1"/>
  <c r="AW64"/>
  <c r="AW63"/>
  <c r="AX62"/>
  <c r="AW62"/>
  <c r="AV62"/>
  <c r="AW61"/>
  <c r="AW60"/>
  <c r="AV60"/>
  <c r="AX59"/>
  <c r="AY59" s="1"/>
  <c r="AZ59" s="1"/>
  <c r="AW59"/>
  <c r="AV59"/>
  <c r="AW58"/>
  <c r="AW57"/>
  <c r="AX56"/>
  <c r="AY56" s="1"/>
  <c r="AZ56" s="1"/>
  <c r="AW56"/>
  <c r="C56"/>
  <c r="AV56" s="1"/>
  <c r="AW55"/>
  <c r="AX54"/>
  <c r="AY54" s="1"/>
  <c r="AZ54" s="1"/>
  <c r="AW54"/>
  <c r="AW53"/>
  <c r="AV53"/>
  <c r="AW52"/>
  <c r="AW51"/>
  <c r="AX50"/>
  <c r="AW50"/>
  <c r="AV50"/>
  <c r="AW49"/>
  <c r="AW48"/>
  <c r="AV48"/>
  <c r="AW47"/>
  <c r="AW46"/>
  <c r="C46"/>
  <c r="AW45"/>
  <c r="AX44"/>
  <c r="AW44"/>
  <c r="AV44"/>
  <c r="AW43"/>
  <c r="AX42"/>
  <c r="AY42" s="1"/>
  <c r="AZ42" s="1"/>
  <c r="AW42"/>
  <c r="AX41"/>
  <c r="AW41"/>
  <c r="AV41"/>
  <c r="AW40"/>
  <c r="AW39"/>
  <c r="C39"/>
  <c r="AX38"/>
  <c r="AW38"/>
  <c r="AV38"/>
  <c r="AW37"/>
  <c r="AW36"/>
  <c r="AX35"/>
  <c r="AY35" s="1"/>
  <c r="AZ35" s="1"/>
  <c r="AW35"/>
  <c r="AV35"/>
  <c r="AX34"/>
  <c r="AY34" s="1"/>
  <c r="AZ34" s="1"/>
  <c r="AW34"/>
  <c r="AV34"/>
  <c r="AX33"/>
  <c r="AW33"/>
  <c r="AX32"/>
  <c r="AY32" s="1"/>
  <c r="AW32"/>
  <c r="C32"/>
  <c r="AV32" s="1"/>
  <c r="AW31"/>
  <c r="AX30"/>
  <c r="AW30"/>
  <c r="AV30"/>
  <c r="AW29"/>
  <c r="AW28"/>
  <c r="AW27"/>
  <c r="AX26"/>
  <c r="AW26"/>
  <c r="AV26"/>
  <c r="AW25"/>
  <c r="C25"/>
  <c r="AV25" s="1"/>
  <c r="AW24"/>
  <c r="AW23"/>
  <c r="AW22"/>
  <c r="C22"/>
  <c r="AV22" s="1"/>
  <c r="AW21"/>
  <c r="AX20"/>
  <c r="AW20"/>
  <c r="AV20"/>
  <c r="AW19"/>
  <c r="C19"/>
  <c r="AW18"/>
  <c r="AX17"/>
  <c r="AW17"/>
  <c r="AV17"/>
  <c r="AW16"/>
  <c r="C16"/>
  <c r="AW15"/>
  <c r="AX14"/>
  <c r="AW14"/>
  <c r="C14"/>
  <c r="AV14" s="1"/>
  <c r="AW13"/>
  <c r="AW12"/>
  <c r="AW11"/>
  <c r="C11"/>
  <c r="P70" i="2"/>
  <c r="J70"/>
  <c r="D70"/>
  <c r="AX69"/>
  <c r="AW69"/>
  <c r="AY69" s="1"/>
  <c r="AX68"/>
  <c r="AW68"/>
  <c r="AY68" s="1"/>
  <c r="AZ68" s="1"/>
  <c r="AV68"/>
  <c r="AX67"/>
  <c r="AW67"/>
  <c r="AY67" s="1"/>
  <c r="AZ67" s="1"/>
  <c r="AV67"/>
  <c r="AY66"/>
  <c r="AX66"/>
  <c r="AW66"/>
  <c r="C66"/>
  <c r="AV66" s="1"/>
  <c r="AX65"/>
  <c r="AW65"/>
  <c r="AY65" s="1"/>
  <c r="AZ65" s="1"/>
  <c r="AV65"/>
  <c r="AX64"/>
  <c r="AW64"/>
  <c r="AY64" s="1"/>
  <c r="AZ64" s="1"/>
  <c r="AV64"/>
  <c r="AY63"/>
  <c r="AZ63" s="1"/>
  <c r="AX63"/>
  <c r="AW63"/>
  <c r="AV63"/>
  <c r="AX62"/>
  <c r="AY62" s="1"/>
  <c r="AZ62" s="1"/>
  <c r="AW62"/>
  <c r="AV62"/>
  <c r="AX61"/>
  <c r="AW61"/>
  <c r="AY61" s="1"/>
  <c r="AZ61" s="1"/>
  <c r="AV61"/>
  <c r="AX60"/>
  <c r="AW60"/>
  <c r="AY60" s="1"/>
  <c r="AZ60" s="1"/>
  <c r="AV60"/>
  <c r="AX59"/>
  <c r="AW59"/>
  <c r="AY59" s="1"/>
  <c r="AZ59" s="1"/>
  <c r="AV59"/>
  <c r="AX58"/>
  <c r="AW58"/>
  <c r="AY58" s="1"/>
  <c r="AZ58" s="1"/>
  <c r="AV58"/>
  <c r="AX57"/>
  <c r="AW57"/>
  <c r="AY57" s="1"/>
  <c r="AZ57" s="1"/>
  <c r="AV57"/>
  <c r="AX56"/>
  <c r="AW56"/>
  <c r="AY56" s="1"/>
  <c r="AZ56" s="1"/>
  <c r="AV56"/>
  <c r="C56"/>
  <c r="AX55"/>
  <c r="AW55"/>
  <c r="AY55" s="1"/>
  <c r="AZ55" s="1"/>
  <c r="AV55"/>
  <c r="AX54"/>
  <c r="AW54"/>
  <c r="AY54" s="1"/>
  <c r="AZ54" s="1"/>
  <c r="AV54"/>
  <c r="AX53"/>
  <c r="AW53"/>
  <c r="AY53" s="1"/>
  <c r="AZ53" s="1"/>
  <c r="AV53"/>
  <c r="AY52"/>
  <c r="AZ52" s="1"/>
  <c r="AX52"/>
  <c r="AW52"/>
  <c r="AV52"/>
  <c r="AX51"/>
  <c r="AY51" s="1"/>
  <c r="AZ51" s="1"/>
  <c r="AW51"/>
  <c r="AV51"/>
  <c r="AX50"/>
  <c r="AW50"/>
  <c r="AY50" s="1"/>
  <c r="AZ50" s="1"/>
  <c r="AV50"/>
  <c r="AX49"/>
  <c r="AW49"/>
  <c r="AY49" s="1"/>
  <c r="AZ49" s="1"/>
  <c r="AV49"/>
  <c r="AY48"/>
  <c r="AZ48" s="1"/>
  <c r="AX48"/>
  <c r="AW48"/>
  <c r="AV48"/>
  <c r="AX47"/>
  <c r="AW47"/>
  <c r="AY47" s="1"/>
  <c r="AZ47" s="1"/>
  <c r="AV47"/>
  <c r="AX46"/>
  <c r="AW46"/>
  <c r="AY46" s="1"/>
  <c r="C46"/>
  <c r="AV46" s="1"/>
  <c r="AY45"/>
  <c r="AZ45" s="1"/>
  <c r="AX45"/>
  <c r="AW45"/>
  <c r="AV45"/>
  <c r="AX44"/>
  <c r="AW44"/>
  <c r="AY44" s="1"/>
  <c r="AZ44" s="1"/>
  <c r="AV44"/>
  <c r="AX43"/>
  <c r="AW43"/>
  <c r="AY43" s="1"/>
  <c r="AZ43" s="1"/>
  <c r="AV43"/>
  <c r="AX42"/>
  <c r="AW42"/>
  <c r="AY42" s="1"/>
  <c r="AZ42" s="1"/>
  <c r="AV42"/>
  <c r="AY41"/>
  <c r="AZ41" s="1"/>
  <c r="AX41"/>
  <c r="AW41"/>
  <c r="AV41"/>
  <c r="AX40"/>
  <c r="AY40" s="1"/>
  <c r="AZ40" s="1"/>
  <c r="AW40"/>
  <c r="AV40"/>
  <c r="AX39"/>
  <c r="AW39"/>
  <c r="AY39" s="1"/>
  <c r="C39"/>
  <c r="AZ39" s="1"/>
  <c r="AY38"/>
  <c r="AZ38" s="1"/>
  <c r="AX38"/>
  <c r="AW38"/>
  <c r="AV38"/>
  <c r="AX37"/>
  <c r="AY37" s="1"/>
  <c r="AZ37" s="1"/>
  <c r="AW37"/>
  <c r="AV37"/>
  <c r="AX36"/>
  <c r="AW36"/>
  <c r="AY36" s="1"/>
  <c r="AZ36" s="1"/>
  <c r="AV36"/>
  <c r="AX35"/>
  <c r="AY35" s="1"/>
  <c r="AZ35" s="1"/>
  <c r="AW35"/>
  <c r="AV35"/>
  <c r="AY34"/>
  <c r="AZ34" s="1"/>
  <c r="AX34"/>
  <c r="AW34"/>
  <c r="AV34"/>
  <c r="AX33"/>
  <c r="AW33"/>
  <c r="AY33" s="1"/>
  <c r="AZ33" s="1"/>
  <c r="AV33"/>
  <c r="AX32"/>
  <c r="AW32"/>
  <c r="AY32" s="1"/>
  <c r="C32"/>
  <c r="AV32" s="1"/>
  <c r="AY31"/>
  <c r="AZ31" s="1"/>
  <c r="AX31"/>
  <c r="AW31"/>
  <c r="AV31"/>
  <c r="AX30"/>
  <c r="AW30"/>
  <c r="AY30" s="1"/>
  <c r="AZ30" s="1"/>
  <c r="AV30"/>
  <c r="AX29"/>
  <c r="AW29"/>
  <c r="AY29" s="1"/>
  <c r="AZ29" s="1"/>
  <c r="AV29"/>
  <c r="AX28"/>
  <c r="AW28"/>
  <c r="AY28" s="1"/>
  <c r="AZ28" s="1"/>
  <c r="AV28"/>
  <c r="AY27"/>
  <c r="AZ27" s="1"/>
  <c r="AX27"/>
  <c r="AW27"/>
  <c r="AV27"/>
  <c r="AX26"/>
  <c r="AY26" s="1"/>
  <c r="AZ26" s="1"/>
  <c r="AW26"/>
  <c r="AV26"/>
  <c r="AX25"/>
  <c r="AW25"/>
  <c r="AY25" s="1"/>
  <c r="C25"/>
  <c r="AY24"/>
  <c r="AZ24" s="1"/>
  <c r="AX24"/>
  <c r="AW24"/>
  <c r="AV24"/>
  <c r="AX23"/>
  <c r="AW23"/>
  <c r="AY23" s="1"/>
  <c r="AZ23" s="1"/>
  <c r="AV23"/>
  <c r="AX22"/>
  <c r="AW22"/>
  <c r="AY22" s="1"/>
  <c r="C22"/>
  <c r="AZ22" s="1"/>
  <c r="AY21"/>
  <c r="AZ21" s="1"/>
  <c r="AX21"/>
  <c r="AW21"/>
  <c r="AV21"/>
  <c r="AX20"/>
  <c r="AW20"/>
  <c r="AY20" s="1"/>
  <c r="AZ20" s="1"/>
  <c r="AV20"/>
  <c r="AX19"/>
  <c r="AW19"/>
  <c r="AY19" s="1"/>
  <c r="C19"/>
  <c r="AY18"/>
  <c r="AZ18" s="1"/>
  <c r="AX18"/>
  <c r="AW18"/>
  <c r="AV18"/>
  <c r="AX17"/>
  <c r="AW17"/>
  <c r="AY17" s="1"/>
  <c r="AZ17" s="1"/>
  <c r="AV17"/>
  <c r="AX16"/>
  <c r="AW16"/>
  <c r="AY16" s="1"/>
  <c r="C16"/>
  <c r="AY15"/>
  <c r="AZ15" s="1"/>
  <c r="AX15"/>
  <c r="AW15"/>
  <c r="AV15"/>
  <c r="AX14"/>
  <c r="AW14"/>
  <c r="AY14" s="1"/>
  <c r="AZ14" s="1"/>
  <c r="AV14"/>
  <c r="C14"/>
  <c r="AX13"/>
  <c r="AY13" s="1"/>
  <c r="AZ13" s="1"/>
  <c r="AW13"/>
  <c r="AV13"/>
  <c r="AY12"/>
  <c r="AZ12" s="1"/>
  <c r="AX12"/>
  <c r="AW12"/>
  <c r="AV12"/>
  <c r="AX11"/>
  <c r="AW11"/>
  <c r="AY11" s="1"/>
  <c r="AZ11" s="1"/>
  <c r="AV11"/>
  <c r="C11"/>
  <c r="AX23" i="4" l="1"/>
  <c r="AY23" s="1"/>
  <c r="AZ23" s="1"/>
  <c r="AX15"/>
  <c r="AY15" s="1"/>
  <c r="AZ15" s="1"/>
  <c r="AX47"/>
  <c r="BF43" i="6"/>
  <c r="C37"/>
  <c r="AX66" i="4"/>
  <c r="H121" i="10"/>
  <c r="H122" s="1"/>
  <c r="E151"/>
  <c r="G114"/>
  <c r="E127"/>
  <c r="D125"/>
  <c r="E125" s="1"/>
  <c r="M146"/>
  <c r="D119"/>
  <c r="E119" s="1"/>
  <c r="D134"/>
  <c r="E134" s="1"/>
  <c r="D156"/>
  <c r="D158" s="1"/>
  <c r="C158"/>
  <c r="G122"/>
  <c r="G143"/>
  <c r="D124"/>
  <c r="E124" s="1"/>
  <c r="J124"/>
  <c r="J125" s="1"/>
  <c r="C147"/>
  <c r="D139"/>
  <c r="D147" s="1"/>
  <c r="H114"/>
  <c r="G141"/>
  <c r="J140" s="1"/>
  <c r="C164"/>
  <c r="E138"/>
  <c r="H143"/>
  <c r="C161"/>
  <c r="K109"/>
  <c r="K114" s="1"/>
  <c r="E117"/>
  <c r="C135"/>
  <c r="D138"/>
  <c r="D141"/>
  <c r="E141" s="1"/>
  <c r="D150"/>
  <c r="E150" s="1"/>
  <c r="C153"/>
  <c r="C140"/>
  <c r="D120"/>
  <c r="E120" s="1"/>
  <c r="H142"/>
  <c r="M143" s="1"/>
  <c r="M145" s="1"/>
  <c r="C152"/>
  <c r="E154"/>
  <c r="C137"/>
  <c r="C160" s="1"/>
  <c r="D30"/>
  <c r="E30" s="1"/>
  <c r="E33"/>
  <c r="D38"/>
  <c r="E84"/>
  <c r="J30"/>
  <c r="G27"/>
  <c r="R12"/>
  <c r="R13" s="1"/>
  <c r="D46"/>
  <c r="E46" s="1"/>
  <c r="D66"/>
  <c r="E66" s="1"/>
  <c r="W9"/>
  <c r="C54"/>
  <c r="S12"/>
  <c r="S13" s="1"/>
  <c r="D32"/>
  <c r="E32" s="1"/>
  <c r="H35"/>
  <c r="D48"/>
  <c r="E48" s="1"/>
  <c r="T8"/>
  <c r="X8" s="1"/>
  <c r="U9"/>
  <c r="R19"/>
  <c r="I32"/>
  <c r="G33"/>
  <c r="G35" s="1"/>
  <c r="E47"/>
  <c r="C51"/>
  <c r="C63"/>
  <c r="E65"/>
  <c r="C67"/>
  <c r="T9"/>
  <c r="X9"/>
  <c r="E22"/>
  <c r="K22"/>
  <c r="H23"/>
  <c r="E36"/>
  <c r="D37"/>
  <c r="E37" s="1"/>
  <c r="C38"/>
  <c r="E38" s="1"/>
  <c r="E64"/>
  <c r="D84" i="9"/>
  <c r="C84"/>
  <c r="E82"/>
  <c r="E84" s="1"/>
  <c r="D55"/>
  <c r="E57"/>
  <c r="E37"/>
  <c r="D47"/>
  <c r="E47" s="1"/>
  <c r="AX52" i="4"/>
  <c r="AY52" s="1"/>
  <c r="AZ52" s="1"/>
  <c r="AX40"/>
  <c r="AX63"/>
  <c r="BF22" i="6"/>
  <c r="BJ22" s="1"/>
  <c r="BK22" s="1"/>
  <c r="BF59"/>
  <c r="BM59" s="1"/>
  <c r="AX47"/>
  <c r="BF35"/>
  <c r="BM35" s="1"/>
  <c r="BF23"/>
  <c r="BM23" s="1"/>
  <c r="AX29"/>
  <c r="C17"/>
  <c r="BF36"/>
  <c r="BH36" s="1"/>
  <c r="BJ36" s="1"/>
  <c r="BK36" s="1"/>
  <c r="AX28" i="4"/>
  <c r="AY28" s="1"/>
  <c r="AZ28" s="1"/>
  <c r="BF61" i="6"/>
  <c r="BH61" s="1"/>
  <c r="BJ61" s="1"/>
  <c r="BK61" s="1"/>
  <c r="BF37"/>
  <c r="BH37" s="1"/>
  <c r="BJ37" s="1"/>
  <c r="BK37" s="1"/>
  <c r="BF13"/>
  <c r="BH13" s="1"/>
  <c r="BJ13" s="1"/>
  <c r="BK13" s="1"/>
  <c r="D38" i="5"/>
  <c r="AY38" s="1"/>
  <c r="AZ38" s="1"/>
  <c r="BA38" s="1"/>
  <c r="BN29" i="6"/>
  <c r="AV51" i="4"/>
  <c r="AV16"/>
  <c r="AX64" i="6"/>
  <c r="BF52"/>
  <c r="BH52" s="1"/>
  <c r="BJ52" s="1"/>
  <c r="BK52" s="1"/>
  <c r="BF40"/>
  <c r="BM40" s="1"/>
  <c r="BF28"/>
  <c r="BH28" s="1"/>
  <c r="BJ28" s="1"/>
  <c r="BK28" s="1"/>
  <c r="BF16"/>
  <c r="BM16" s="1"/>
  <c r="K26" i="9"/>
  <c r="H26"/>
  <c r="H34"/>
  <c r="C73"/>
  <c r="C75" s="1"/>
  <c r="D75" s="1"/>
  <c r="E75" s="1"/>
  <c r="I52"/>
  <c r="G34"/>
  <c r="R8"/>
  <c r="C65"/>
  <c r="J26"/>
  <c r="BM43" i="6"/>
  <c r="BH43"/>
  <c r="BJ43" s="1"/>
  <c r="BK43" s="1"/>
  <c r="BH22"/>
  <c r="AY38" i="4"/>
  <c r="AZ38" s="1"/>
  <c r="D60" i="5"/>
  <c r="AY60" s="1"/>
  <c r="AZ60" s="1"/>
  <c r="BA60" s="1"/>
  <c r="AX24" i="4"/>
  <c r="AV55"/>
  <c r="AX58"/>
  <c r="AV67"/>
  <c r="BF63" i="6"/>
  <c r="BF51"/>
  <c r="BF39"/>
  <c r="BF27"/>
  <c r="BF15"/>
  <c r="BF50"/>
  <c r="BH50" s="1"/>
  <c r="BJ50" s="1"/>
  <c r="BK50" s="1"/>
  <c r="BF57"/>
  <c r="BH57" s="1"/>
  <c r="BJ57" s="1"/>
  <c r="BK57" s="1"/>
  <c r="AV46" i="4"/>
  <c r="BF53" i="6"/>
  <c r="BH53" s="1"/>
  <c r="BJ53" s="1"/>
  <c r="BK53" s="1"/>
  <c r="BF17"/>
  <c r="BH17" s="1"/>
  <c r="BJ17" s="1"/>
  <c r="BK17" s="1"/>
  <c r="BH59"/>
  <c r="BJ59" s="1"/>
  <c r="BK59" s="1"/>
  <c r="AV19" i="4"/>
  <c r="AX27"/>
  <c r="AX49"/>
  <c r="AY49" s="1"/>
  <c r="AZ49" s="1"/>
  <c r="AX57"/>
  <c r="AY57" s="1"/>
  <c r="AZ57" s="1"/>
  <c r="D52" i="5"/>
  <c r="AY52" s="1"/>
  <c r="AZ52" s="1"/>
  <c r="BA52" s="1"/>
  <c r="D28"/>
  <c r="AY28" s="1"/>
  <c r="AZ28" s="1"/>
  <c r="BA28" s="1"/>
  <c r="BF66" i="6"/>
  <c r="BH66" s="1"/>
  <c r="BJ66" s="1"/>
  <c r="BK66" s="1"/>
  <c r="BF42"/>
  <c r="BH42" s="1"/>
  <c r="BJ42" s="1"/>
  <c r="BK42" s="1"/>
  <c r="BF30"/>
  <c r="BM30" s="1"/>
  <c r="BF67"/>
  <c r="BF55"/>
  <c r="BF31"/>
  <c r="BF19"/>
  <c r="BF18"/>
  <c r="BM18" s="1"/>
  <c r="BN15"/>
  <c r="BF25"/>
  <c r="BH25" s="1"/>
  <c r="BJ25" s="1"/>
  <c r="BK25" s="1"/>
  <c r="AV36" i="4"/>
  <c r="AY14"/>
  <c r="AZ14" s="1"/>
  <c r="AX31"/>
  <c r="AY31" s="1"/>
  <c r="AZ31" s="1"/>
  <c r="D54" i="5"/>
  <c r="AY54" s="1"/>
  <c r="AZ54" s="1"/>
  <c r="BA54" s="1"/>
  <c r="D30"/>
  <c r="AY30" s="1"/>
  <c r="AZ30" s="1"/>
  <c r="BA30" s="1"/>
  <c r="BF11" i="6"/>
  <c r="AX56"/>
  <c r="BF44"/>
  <c r="BH44" s="1"/>
  <c r="BJ44" s="1"/>
  <c r="BK44" s="1"/>
  <c r="AX32"/>
  <c r="BF20"/>
  <c r="BM20" s="1"/>
  <c r="AX18" i="4"/>
  <c r="BF45" i="6"/>
  <c r="BH45" s="1"/>
  <c r="BJ45" s="1"/>
  <c r="BK45" s="1"/>
  <c r="BF33"/>
  <c r="BH33" s="1"/>
  <c r="BJ33" s="1"/>
  <c r="BK33" s="1"/>
  <c r="BF21"/>
  <c r="BH21" s="1"/>
  <c r="BJ21" s="1"/>
  <c r="BK21" s="1"/>
  <c r="AX43" i="4"/>
  <c r="AY43" s="1"/>
  <c r="AZ43" s="1"/>
  <c r="D68" i="5"/>
  <c r="AY68" s="1"/>
  <c r="AZ68" s="1"/>
  <c r="BA68" s="1"/>
  <c r="D44"/>
  <c r="AY44" s="1"/>
  <c r="AZ44" s="1"/>
  <c r="BA44" s="1"/>
  <c r="BF58" i="6"/>
  <c r="BH58" s="1"/>
  <c r="BJ58" s="1"/>
  <c r="BK58" s="1"/>
  <c r="BF46"/>
  <c r="BH46" s="1"/>
  <c r="BJ46" s="1"/>
  <c r="BK46" s="1"/>
  <c r="BF34"/>
  <c r="BH34" s="1"/>
  <c r="BJ34" s="1"/>
  <c r="BK34" s="1"/>
  <c r="AV39" i="4"/>
  <c r="BF60" i="6"/>
  <c r="BH60" s="1"/>
  <c r="BJ60" s="1"/>
  <c r="BK60" s="1"/>
  <c r="AX48"/>
  <c r="AX24"/>
  <c r="C12"/>
  <c r="AY55" i="4"/>
  <c r="AZ55" s="1"/>
  <c r="D36" i="5"/>
  <c r="AY36" s="1"/>
  <c r="AZ36" s="1"/>
  <c r="BA36" s="1"/>
  <c r="BF62" i="6"/>
  <c r="BH62" s="1"/>
  <c r="BJ62" s="1"/>
  <c r="BK62" s="1"/>
  <c r="BF38"/>
  <c r="BH38" s="1"/>
  <c r="BJ38" s="1"/>
  <c r="BK38" s="1"/>
  <c r="BF26"/>
  <c r="BF14"/>
  <c r="BM14" s="1"/>
  <c r="U7" i="9"/>
  <c r="W8"/>
  <c r="W9" s="1"/>
  <c r="G26"/>
  <c r="I34"/>
  <c r="G50"/>
  <c r="E29"/>
  <c r="C64"/>
  <c r="D64" s="1"/>
  <c r="E64" s="1"/>
  <c r="T9"/>
  <c r="D31"/>
  <c r="H29"/>
  <c r="I31"/>
  <c r="C52"/>
  <c r="T19"/>
  <c r="D50"/>
  <c r="E50" s="1"/>
  <c r="C51"/>
  <c r="D51" s="1"/>
  <c r="D59" s="1"/>
  <c r="S19"/>
  <c r="Q8"/>
  <c r="E25"/>
  <c r="S8"/>
  <c r="R19"/>
  <c r="S9"/>
  <c r="S11" s="1"/>
  <c r="S12" s="1"/>
  <c r="S13" s="1"/>
  <c r="Q9"/>
  <c r="Q11" s="1"/>
  <c r="U19"/>
  <c r="R12"/>
  <c r="R13" s="1"/>
  <c r="V9"/>
  <c r="E39"/>
  <c r="D26"/>
  <c r="W19"/>
  <c r="E23"/>
  <c r="V19"/>
  <c r="E75" i="8"/>
  <c r="D86"/>
  <c r="C86"/>
  <c r="E91"/>
  <c r="D91"/>
  <c r="C76"/>
  <c r="C78" s="1"/>
  <c r="C80" s="1"/>
  <c r="D77"/>
  <c r="D83"/>
  <c r="E83"/>
  <c r="C89"/>
  <c r="D79"/>
  <c r="C83"/>
  <c r="C85" s="1"/>
  <c r="C87" s="1"/>
  <c r="D84"/>
  <c r="C71"/>
  <c r="C79"/>
  <c r="E86"/>
  <c r="D75"/>
  <c r="E76"/>
  <c r="E70"/>
  <c r="C69"/>
  <c r="D70"/>
  <c r="D72"/>
  <c r="D36"/>
  <c r="C72"/>
  <c r="D69"/>
  <c r="H42"/>
  <c r="H47" s="1"/>
  <c r="E25"/>
  <c r="D62"/>
  <c r="E62"/>
  <c r="T6"/>
  <c r="U6" s="1"/>
  <c r="V6" s="1"/>
  <c r="S20"/>
  <c r="D53"/>
  <c r="R10"/>
  <c r="R12" s="1"/>
  <c r="R13" s="1"/>
  <c r="R14" s="1"/>
  <c r="T20"/>
  <c r="C44"/>
  <c r="C49" s="1"/>
  <c r="S10"/>
  <c r="S12" s="1"/>
  <c r="S13" s="1"/>
  <c r="V19"/>
  <c r="S9"/>
  <c r="U19"/>
  <c r="R20"/>
  <c r="E34"/>
  <c r="E77" s="1"/>
  <c r="D46"/>
  <c r="E46" s="1"/>
  <c r="U9"/>
  <c r="U10" s="1"/>
  <c r="U20"/>
  <c r="C47"/>
  <c r="C48" s="1"/>
  <c r="Q3"/>
  <c r="T10"/>
  <c r="E52"/>
  <c r="E60"/>
  <c r="Q10"/>
  <c r="Q30" s="1"/>
  <c r="D42"/>
  <c r="E42" s="1"/>
  <c r="D45"/>
  <c r="E45" s="1"/>
  <c r="Q9"/>
  <c r="C43" i="7"/>
  <c r="D43" s="1"/>
  <c r="E38"/>
  <c r="D42"/>
  <c r="E42" s="1"/>
  <c r="C42"/>
  <c r="G47" s="1"/>
  <c r="G48" s="1"/>
  <c r="G49" s="1"/>
  <c r="E53"/>
  <c r="D40"/>
  <c r="E40" s="1"/>
  <c r="E50"/>
  <c r="E32"/>
  <c r="X8"/>
  <c r="D32"/>
  <c r="Q2"/>
  <c r="R20"/>
  <c r="Q10"/>
  <c r="Q9"/>
  <c r="R9"/>
  <c r="S18"/>
  <c r="S19"/>
  <c r="R19"/>
  <c r="R10"/>
  <c r="R12" s="1"/>
  <c r="R13" s="1"/>
  <c r="AX27" i="6"/>
  <c r="AY27" s="1"/>
  <c r="BN48"/>
  <c r="BN24"/>
  <c r="BN26"/>
  <c r="BM58"/>
  <c r="BF12"/>
  <c r="C65"/>
  <c r="AX49"/>
  <c r="C41"/>
  <c r="AV41" s="1"/>
  <c r="BN49"/>
  <c r="BN12"/>
  <c r="BF65"/>
  <c r="BN17"/>
  <c r="BO17" s="1"/>
  <c r="C26"/>
  <c r="AV26" s="1"/>
  <c r="BM52"/>
  <c r="BF48"/>
  <c r="BM45"/>
  <c r="BF41"/>
  <c r="BH41" s="1"/>
  <c r="BJ41" s="1"/>
  <c r="BK41" s="1"/>
  <c r="BF56"/>
  <c r="BM53"/>
  <c r="BM42"/>
  <c r="BF24"/>
  <c r="BF47"/>
  <c r="BN11"/>
  <c r="BF49"/>
  <c r="BH49" s="1"/>
  <c r="BJ49" s="1"/>
  <c r="BK49" s="1"/>
  <c r="BM68"/>
  <c r="BF64"/>
  <c r="BM61"/>
  <c r="BM57"/>
  <c r="BM54"/>
  <c r="BM50"/>
  <c r="BM36"/>
  <c r="BF32"/>
  <c r="BM29"/>
  <c r="BM22"/>
  <c r="C24"/>
  <c r="AV24" s="1"/>
  <c r="AX66"/>
  <c r="C58"/>
  <c r="AV58" s="1"/>
  <c r="C34"/>
  <c r="AV34" s="1"/>
  <c r="C48"/>
  <c r="AX37"/>
  <c r="AY37" s="1"/>
  <c r="AZ37" s="1"/>
  <c r="AX26"/>
  <c r="AY26" s="1"/>
  <c r="D59" i="5"/>
  <c r="AY59" s="1"/>
  <c r="AZ59" s="1"/>
  <c r="BA59" s="1"/>
  <c r="D51"/>
  <c r="AY51" s="1"/>
  <c r="AZ51" s="1"/>
  <c r="BA51" s="1"/>
  <c r="D43"/>
  <c r="AY43" s="1"/>
  <c r="AZ43" s="1"/>
  <c r="BA43" s="1"/>
  <c r="D35"/>
  <c r="AY35" s="1"/>
  <c r="AZ35" s="1"/>
  <c r="BA35" s="1"/>
  <c r="D27"/>
  <c r="AY27" s="1"/>
  <c r="AZ27" s="1"/>
  <c r="BA27" s="1"/>
  <c r="D61"/>
  <c r="AY61" s="1"/>
  <c r="AZ61" s="1"/>
  <c r="BA61" s="1"/>
  <c r="D53"/>
  <c r="AY53" s="1"/>
  <c r="AZ53" s="1"/>
  <c r="BA53" s="1"/>
  <c r="D45"/>
  <c r="AY45" s="1"/>
  <c r="AZ45" s="1"/>
  <c r="BA45" s="1"/>
  <c r="D37"/>
  <c r="AY37" s="1"/>
  <c r="AZ37" s="1"/>
  <c r="BA37" s="1"/>
  <c r="D29"/>
  <c r="AY29" s="1"/>
  <c r="AZ29" s="1"/>
  <c r="BA29" s="1"/>
  <c r="D21"/>
  <c r="AY21" s="1"/>
  <c r="AZ21" s="1"/>
  <c r="BA21" s="1"/>
  <c r="D13"/>
  <c r="AY13" s="1"/>
  <c r="AZ13" s="1"/>
  <c r="BA13" s="1"/>
  <c r="D64"/>
  <c r="AY64" s="1"/>
  <c r="AZ64" s="1"/>
  <c r="BA64" s="1"/>
  <c r="D48"/>
  <c r="AY48" s="1"/>
  <c r="AZ48" s="1"/>
  <c r="BA48" s="1"/>
  <c r="D40"/>
  <c r="AY40" s="1"/>
  <c r="AZ40" s="1"/>
  <c r="BA40" s="1"/>
  <c r="D24"/>
  <c r="AY24" s="1"/>
  <c r="AZ24" s="1"/>
  <c r="BA24" s="1"/>
  <c r="C69"/>
  <c r="AW69" s="1"/>
  <c r="AX69" s="1"/>
  <c r="AX45" i="6"/>
  <c r="AY45" s="1"/>
  <c r="AZ45" s="1"/>
  <c r="AX21"/>
  <c r="AY21" s="1"/>
  <c r="BN42"/>
  <c r="C18"/>
  <c r="AV18" s="1"/>
  <c r="AX61"/>
  <c r="BN37"/>
  <c r="BO37" s="1"/>
  <c r="AX13"/>
  <c r="AY13" s="1"/>
  <c r="AY36" i="4"/>
  <c r="AZ36" s="1"/>
  <c r="AY50"/>
  <c r="AZ50" s="1"/>
  <c r="AY58"/>
  <c r="AZ58" s="1"/>
  <c r="AY24"/>
  <c r="AZ24" s="1"/>
  <c r="AX33" i="6"/>
  <c r="C54"/>
  <c r="AV54" s="1"/>
  <c r="AX40"/>
  <c r="AY40" s="1"/>
  <c r="AX16"/>
  <c r="AE69"/>
  <c r="AE72" s="1"/>
  <c r="AC69"/>
  <c r="AC72" s="1"/>
  <c r="C49"/>
  <c r="BN59"/>
  <c r="M69"/>
  <c r="AI75"/>
  <c r="AI76" s="1"/>
  <c r="AF69"/>
  <c r="AF72" s="1"/>
  <c r="C61"/>
  <c r="AV61" s="1"/>
  <c r="BN21"/>
  <c r="AX34"/>
  <c r="AY34" s="1"/>
  <c r="C21"/>
  <c r="AV21" s="1"/>
  <c r="BN40"/>
  <c r="BN13"/>
  <c r="C40"/>
  <c r="AV40" s="1"/>
  <c r="C13"/>
  <c r="AV13" s="1"/>
  <c r="BN33"/>
  <c r="BN53"/>
  <c r="AX41"/>
  <c r="AY41" s="1"/>
  <c r="C29"/>
  <c r="BO29" s="1"/>
  <c r="AX17"/>
  <c r="AY17" s="1"/>
  <c r="AZ17" s="1"/>
  <c r="C64"/>
  <c r="AV64" s="1"/>
  <c r="U69"/>
  <c r="BN18"/>
  <c r="C33"/>
  <c r="AV33" s="1"/>
  <c r="C42"/>
  <c r="AV42" s="1"/>
  <c r="AX18"/>
  <c r="AY18" s="1"/>
  <c r="BN45"/>
  <c r="C45"/>
  <c r="AV45" s="1"/>
  <c r="AX57"/>
  <c r="C53"/>
  <c r="AV53" s="1"/>
  <c r="I69"/>
  <c r="AX53"/>
  <c r="AY53" s="1"/>
  <c r="BN61"/>
  <c r="AX15"/>
  <c r="AY15" s="1"/>
  <c r="AQ69"/>
  <c r="AQ72" s="1"/>
  <c r="AX46"/>
  <c r="BN22"/>
  <c r="BN31"/>
  <c r="BN57"/>
  <c r="Y69"/>
  <c r="Y72" s="1"/>
  <c r="BN19"/>
  <c r="BN67"/>
  <c r="BN58"/>
  <c r="AX65"/>
  <c r="AK69"/>
  <c r="AX55"/>
  <c r="AY55" s="1"/>
  <c r="AX31"/>
  <c r="AY31" s="1"/>
  <c r="C62"/>
  <c r="AV62" s="1"/>
  <c r="C38"/>
  <c r="AV38" s="1"/>
  <c r="AX14"/>
  <c r="BN47"/>
  <c r="BN23"/>
  <c r="BN41"/>
  <c r="BN50"/>
  <c r="AX23"/>
  <c r="AY23" s="1"/>
  <c r="AX54"/>
  <c r="AY54" s="1"/>
  <c r="AZ54" s="1"/>
  <c r="C30"/>
  <c r="AV30" s="1"/>
  <c r="BN16"/>
  <c r="BN32"/>
  <c r="BN25"/>
  <c r="AW19"/>
  <c r="AG69"/>
  <c r="AG72" s="1"/>
  <c r="AW66"/>
  <c r="C57"/>
  <c r="AX25"/>
  <c r="BN14"/>
  <c r="BN39"/>
  <c r="AX42"/>
  <c r="W69"/>
  <c r="W72" s="1"/>
  <c r="AX30"/>
  <c r="AY30" s="1"/>
  <c r="AX67"/>
  <c r="AY67" s="1"/>
  <c r="AX59"/>
  <c r="AY59" s="1"/>
  <c r="AX51"/>
  <c r="AY51" s="1"/>
  <c r="AX43"/>
  <c r="AY43" s="1"/>
  <c r="AX35"/>
  <c r="AY35" s="1"/>
  <c r="AX19"/>
  <c r="AO69"/>
  <c r="AO72" s="1"/>
  <c r="AD69"/>
  <c r="AD72" s="1"/>
  <c r="V69"/>
  <c r="X69"/>
  <c r="X72" s="1"/>
  <c r="P69"/>
  <c r="H69"/>
  <c r="AX63"/>
  <c r="AY63" s="1"/>
  <c r="BN46"/>
  <c r="BN54"/>
  <c r="BO54" s="1"/>
  <c r="AW56"/>
  <c r="AW46"/>
  <c r="AW39"/>
  <c r="AY39" s="1"/>
  <c r="AW32"/>
  <c r="AW25"/>
  <c r="AW22"/>
  <c r="AW16"/>
  <c r="AH69"/>
  <c r="AH72" s="1"/>
  <c r="Z69"/>
  <c r="Z72" s="1"/>
  <c r="R69"/>
  <c r="J69"/>
  <c r="N69"/>
  <c r="AA69"/>
  <c r="AA72" s="1"/>
  <c r="AI69"/>
  <c r="AI72" s="1"/>
  <c r="S69"/>
  <c r="P70" s="1"/>
  <c r="K69"/>
  <c r="J70" s="1"/>
  <c r="AJ69"/>
  <c r="AJ72" s="1"/>
  <c r="F69"/>
  <c r="AX22"/>
  <c r="G69"/>
  <c r="O69"/>
  <c r="L69"/>
  <c r="AB69"/>
  <c r="AB72" s="1"/>
  <c r="T69"/>
  <c r="D69"/>
  <c r="AW14"/>
  <c r="D12" i="5"/>
  <c r="D63"/>
  <c r="AY63" s="1"/>
  <c r="AZ63" s="1"/>
  <c r="BA63" s="1"/>
  <c r="D55"/>
  <c r="AY55" s="1"/>
  <c r="AZ55" s="1"/>
  <c r="BA55" s="1"/>
  <c r="D47"/>
  <c r="D31"/>
  <c r="AY31" s="1"/>
  <c r="AZ31" s="1"/>
  <c r="BA31" s="1"/>
  <c r="D23"/>
  <c r="AY23" s="1"/>
  <c r="AZ23" s="1"/>
  <c r="BA23" s="1"/>
  <c r="D15"/>
  <c r="AY15" s="1"/>
  <c r="AZ15" s="1"/>
  <c r="BA15" s="1"/>
  <c r="D57"/>
  <c r="D49"/>
  <c r="AY49" s="1"/>
  <c r="AZ49" s="1"/>
  <c r="BA49" s="1"/>
  <c r="D41"/>
  <c r="AY41" s="1"/>
  <c r="AZ41" s="1"/>
  <c r="BA41" s="1"/>
  <c r="D33"/>
  <c r="AY33" s="1"/>
  <c r="AZ33" s="1"/>
  <c r="BA33" s="1"/>
  <c r="D58"/>
  <c r="AY58" s="1"/>
  <c r="AZ58" s="1"/>
  <c r="BA58" s="1"/>
  <c r="D50"/>
  <c r="AY50" s="1"/>
  <c r="AZ50" s="1"/>
  <c r="BA50" s="1"/>
  <c r="D42"/>
  <c r="AY42" s="1"/>
  <c r="AZ42" s="1"/>
  <c r="BA42" s="1"/>
  <c r="D34"/>
  <c r="AY34" s="1"/>
  <c r="AZ34" s="1"/>
  <c r="BA34" s="1"/>
  <c r="D26"/>
  <c r="AY26" s="1"/>
  <c r="AZ26" s="1"/>
  <c r="BA26" s="1"/>
  <c r="AT69"/>
  <c r="AT72" s="1"/>
  <c r="D20"/>
  <c r="AR69"/>
  <c r="AR72" s="1"/>
  <c r="AP69"/>
  <c r="AP72" s="1"/>
  <c r="AL69"/>
  <c r="AL72" s="1"/>
  <c r="AN69"/>
  <c r="AN72" s="1"/>
  <c r="D18"/>
  <c r="AY18" s="1"/>
  <c r="AZ18" s="1"/>
  <c r="BA18" s="1"/>
  <c r="D17"/>
  <c r="AY17" s="1"/>
  <c r="AZ17" s="1"/>
  <c r="BA17" s="1"/>
  <c r="AV69"/>
  <c r="D67"/>
  <c r="D65"/>
  <c r="AY65" s="1"/>
  <c r="AZ65" s="1"/>
  <c r="BA65" s="1"/>
  <c r="AY33" i="6"/>
  <c r="AW42"/>
  <c r="AW58"/>
  <c r="AW65"/>
  <c r="AW50"/>
  <c r="AW57"/>
  <c r="AY57" s="1"/>
  <c r="BN65"/>
  <c r="AW44"/>
  <c r="AW60"/>
  <c r="AW52"/>
  <c r="AW36"/>
  <c r="AW28"/>
  <c r="AW20"/>
  <c r="AW12"/>
  <c r="BN55"/>
  <c r="AW68"/>
  <c r="AY29"/>
  <c r="AY47"/>
  <c r="C50"/>
  <c r="AV50" s="1"/>
  <c r="BN34"/>
  <c r="AW11"/>
  <c r="AX58"/>
  <c r="AX12"/>
  <c r="AX50"/>
  <c r="BN30"/>
  <c r="C68"/>
  <c r="AV68" s="1"/>
  <c r="AX60"/>
  <c r="AX44"/>
  <c r="AX36"/>
  <c r="AX28"/>
  <c r="AX52"/>
  <c r="C44"/>
  <c r="AV44" s="1"/>
  <c r="BN62"/>
  <c r="BN38"/>
  <c r="AX62"/>
  <c r="AY62" s="1"/>
  <c r="AS69"/>
  <c r="AS72" s="1"/>
  <c r="AX38"/>
  <c r="AY38" s="1"/>
  <c r="BN63"/>
  <c r="AX68"/>
  <c r="BN68"/>
  <c r="AX20"/>
  <c r="BN35"/>
  <c r="BN51"/>
  <c r="AM69"/>
  <c r="AM72" s="1"/>
  <c r="BN27"/>
  <c r="AY24"/>
  <c r="BN43"/>
  <c r="AX11"/>
  <c r="BN36"/>
  <c r="AY49"/>
  <c r="BN60"/>
  <c r="C36"/>
  <c r="AV36" s="1"/>
  <c r="C60"/>
  <c r="AV60" s="1"/>
  <c r="BN28"/>
  <c r="BN64"/>
  <c r="BN20"/>
  <c r="C28"/>
  <c r="AV28" s="1"/>
  <c r="C20"/>
  <c r="AV20" s="1"/>
  <c r="BN52"/>
  <c r="BN66"/>
  <c r="C52"/>
  <c r="BN44"/>
  <c r="BN56"/>
  <c r="AV65"/>
  <c r="AV17"/>
  <c r="AV37"/>
  <c r="AV48"/>
  <c r="AY61"/>
  <c r="AY48"/>
  <c r="AZ48" s="1"/>
  <c r="AY64"/>
  <c r="C15"/>
  <c r="BO15" s="1"/>
  <c r="C23"/>
  <c r="C27"/>
  <c r="C31"/>
  <c r="C35"/>
  <c r="C43"/>
  <c r="C47"/>
  <c r="C51"/>
  <c r="C55"/>
  <c r="C59"/>
  <c r="C63"/>
  <c r="C67"/>
  <c r="AU69"/>
  <c r="AU72" s="1"/>
  <c r="E70" i="5"/>
  <c r="AY69" i="4"/>
  <c r="AY27"/>
  <c r="AZ27" s="1"/>
  <c r="AX29"/>
  <c r="AY29" s="1"/>
  <c r="AZ29" s="1"/>
  <c r="AY41"/>
  <c r="AZ41" s="1"/>
  <c r="AX61"/>
  <c r="AY61" s="1"/>
  <c r="AZ61" s="1"/>
  <c r="AY66"/>
  <c r="AZ66" s="1"/>
  <c r="AX21"/>
  <c r="AY21" s="1"/>
  <c r="AZ21" s="1"/>
  <c r="AX13"/>
  <c r="AY13" s="1"/>
  <c r="AZ13" s="1"/>
  <c r="AX45"/>
  <c r="AY45" s="1"/>
  <c r="AZ45" s="1"/>
  <c r="AY18"/>
  <c r="AZ18" s="1"/>
  <c r="AY26"/>
  <c r="AZ26" s="1"/>
  <c r="AY33"/>
  <c r="AZ33" s="1"/>
  <c r="AX37"/>
  <c r="AY37" s="1"/>
  <c r="AZ37" s="1"/>
  <c r="AY40"/>
  <c r="AZ40" s="1"/>
  <c r="AY47"/>
  <c r="AZ47" s="1"/>
  <c r="AY63"/>
  <c r="AZ63" s="1"/>
  <c r="AY51"/>
  <c r="AZ51" s="1"/>
  <c r="AY20"/>
  <c r="AZ20" s="1"/>
  <c r="AY17"/>
  <c r="AZ17" s="1"/>
  <c r="AY30"/>
  <c r="AZ30" s="1"/>
  <c r="AY39"/>
  <c r="AZ39" s="1"/>
  <c r="AY44"/>
  <c r="AZ44" s="1"/>
  <c r="AY62"/>
  <c r="AZ62" s="1"/>
  <c r="AV12"/>
  <c r="AY12"/>
  <c r="AZ12" s="1"/>
  <c r="AV11"/>
  <c r="AY11"/>
  <c r="AZ11" s="1"/>
  <c r="C69"/>
  <c r="AZ32"/>
  <c r="AZ46"/>
  <c r="AZ16" i="2"/>
  <c r="AZ25"/>
  <c r="AZ19"/>
  <c r="AV16"/>
  <c r="AV19"/>
  <c r="AV22"/>
  <c r="AV25"/>
  <c r="AZ32"/>
  <c r="AV39"/>
  <c r="AZ46"/>
  <c r="AZ66"/>
  <c r="BM66" i="6" l="1"/>
  <c r="BH23"/>
  <c r="BJ23" s="1"/>
  <c r="BK23" s="1"/>
  <c r="BM60"/>
  <c r="BH35"/>
  <c r="BJ35" s="1"/>
  <c r="BK35" s="1"/>
  <c r="BO65"/>
  <c r="BM37"/>
  <c r="BH40"/>
  <c r="BJ40" s="1"/>
  <c r="BK40" s="1"/>
  <c r="I125" i="10"/>
  <c r="E156"/>
  <c r="E158" s="1"/>
  <c r="I122"/>
  <c r="K140"/>
  <c r="K141"/>
  <c r="D135"/>
  <c r="E135" s="1"/>
  <c r="D152"/>
  <c r="E152"/>
  <c r="D164"/>
  <c r="E164" s="1"/>
  <c r="C145"/>
  <c r="D137"/>
  <c r="C166"/>
  <c r="D160"/>
  <c r="E160" s="1"/>
  <c r="E137"/>
  <c r="E139"/>
  <c r="E147" s="1"/>
  <c r="D153"/>
  <c r="E153" s="1"/>
  <c r="C144"/>
  <c r="D140"/>
  <c r="E140" s="1"/>
  <c r="C162"/>
  <c r="C163"/>
  <c r="D161"/>
  <c r="E161" s="1"/>
  <c r="I143"/>
  <c r="I146" s="1"/>
  <c r="I35"/>
  <c r="I36" s="1"/>
  <c r="C52"/>
  <c r="D51"/>
  <c r="C50"/>
  <c r="C74"/>
  <c r="H55"/>
  <c r="E51"/>
  <c r="C53"/>
  <c r="I38"/>
  <c r="J37"/>
  <c r="J38" s="1"/>
  <c r="D63"/>
  <c r="E63" s="1"/>
  <c r="C69"/>
  <c r="D54"/>
  <c r="E54" s="1"/>
  <c r="C77"/>
  <c r="C58"/>
  <c r="G54"/>
  <c r="D67"/>
  <c r="E67" s="1"/>
  <c r="E55" i="9"/>
  <c r="C16" i="6"/>
  <c r="AV16" s="1"/>
  <c r="BM28"/>
  <c r="BM44"/>
  <c r="BM21"/>
  <c r="BM33"/>
  <c r="BH16"/>
  <c r="BJ16" s="1"/>
  <c r="BK16" s="1"/>
  <c r="BM41"/>
  <c r="AZ34"/>
  <c r="BM13"/>
  <c r="D73" i="9"/>
  <c r="E73" s="1"/>
  <c r="C74"/>
  <c r="I37"/>
  <c r="D65"/>
  <c r="E65" s="1"/>
  <c r="C68"/>
  <c r="D68" s="1"/>
  <c r="D70" s="1"/>
  <c r="C62"/>
  <c r="D62" s="1"/>
  <c r="BJ26" i="6"/>
  <c r="BK26" s="1"/>
  <c r="BH26"/>
  <c r="BM19"/>
  <c r="BH19"/>
  <c r="BJ19" s="1"/>
  <c r="BK19" s="1"/>
  <c r="BM64"/>
  <c r="BH64"/>
  <c r="BJ64" s="1"/>
  <c r="BK64" s="1"/>
  <c r="BH14"/>
  <c r="BJ14" s="1"/>
  <c r="BK14" s="1"/>
  <c r="BH20"/>
  <c r="BJ20" s="1"/>
  <c r="BK20" s="1"/>
  <c r="BJ18"/>
  <c r="BK18" s="1"/>
  <c r="BH18"/>
  <c r="BM15"/>
  <c r="BH15"/>
  <c r="BJ15" s="1"/>
  <c r="BK15" s="1"/>
  <c r="BO24"/>
  <c r="BO18"/>
  <c r="BM49"/>
  <c r="BM27"/>
  <c r="BH27"/>
  <c r="BJ27" s="1"/>
  <c r="BK27" s="1"/>
  <c r="BM48"/>
  <c r="BH48"/>
  <c r="BJ48" s="1"/>
  <c r="BK48" s="1"/>
  <c r="BM46"/>
  <c r="BM26"/>
  <c r="BM56"/>
  <c r="BH56"/>
  <c r="BJ56" s="1"/>
  <c r="BK56" s="1"/>
  <c r="BM12"/>
  <c r="BJ12"/>
  <c r="BK12" s="1"/>
  <c r="BH12"/>
  <c r="BM51"/>
  <c r="BH51"/>
  <c r="BJ51" s="1"/>
  <c r="BK51" s="1"/>
  <c r="AY56"/>
  <c r="AZ18"/>
  <c r="BM24"/>
  <c r="BH24"/>
  <c r="BJ24" s="1"/>
  <c r="BK24" s="1"/>
  <c r="AX69"/>
  <c r="BO26"/>
  <c r="D22" i="5"/>
  <c r="AY22" s="1"/>
  <c r="AZ22" s="1"/>
  <c r="BA22" s="1"/>
  <c r="BM38" i="6"/>
  <c r="BO48"/>
  <c r="BM31"/>
  <c r="BH31"/>
  <c r="BJ31" s="1"/>
  <c r="BK31" s="1"/>
  <c r="D25" i="5"/>
  <c r="AY25" s="1"/>
  <c r="AZ25" s="1"/>
  <c r="BA25" s="1"/>
  <c r="AZ26" i="6"/>
  <c r="BM34"/>
  <c r="BM32"/>
  <c r="BH32"/>
  <c r="BJ32" s="1"/>
  <c r="BK32" s="1"/>
  <c r="BO34"/>
  <c r="AY32"/>
  <c r="BM17"/>
  <c r="BM62"/>
  <c r="BM55"/>
  <c r="BH55"/>
  <c r="BJ55" s="1"/>
  <c r="BK55" s="1"/>
  <c r="BM39"/>
  <c r="BH39"/>
  <c r="BJ39" s="1"/>
  <c r="BK39" s="1"/>
  <c r="BH30"/>
  <c r="BJ30" s="1"/>
  <c r="BK30" s="1"/>
  <c r="BM47"/>
  <c r="BH47"/>
  <c r="BJ47" s="1"/>
  <c r="BK47" s="1"/>
  <c r="BM65"/>
  <c r="BH65"/>
  <c r="BJ65" s="1"/>
  <c r="BK65" s="1"/>
  <c r="BM11"/>
  <c r="BH11"/>
  <c r="BF69"/>
  <c r="BM69" s="1"/>
  <c r="BM67"/>
  <c r="BH67"/>
  <c r="BJ67" s="1"/>
  <c r="BK67" s="1"/>
  <c r="BM63"/>
  <c r="BH63"/>
  <c r="BJ63" s="1"/>
  <c r="BK63" s="1"/>
  <c r="AZ24"/>
  <c r="BM25"/>
  <c r="X7" i="9"/>
  <c r="U8"/>
  <c r="U9" s="1"/>
  <c r="X9" s="1"/>
  <c r="C53"/>
  <c r="I56" s="1"/>
  <c r="I35"/>
  <c r="I38"/>
  <c r="I39" s="1"/>
  <c r="I36"/>
  <c r="D74"/>
  <c r="E74" s="1"/>
  <c r="E59"/>
  <c r="C59"/>
  <c r="D52"/>
  <c r="C56"/>
  <c r="D36"/>
  <c r="E36" s="1"/>
  <c r="D33"/>
  <c r="E33" s="1"/>
  <c r="D34"/>
  <c r="E34" s="1"/>
  <c r="E26"/>
  <c r="X11"/>
  <c r="E36" i="8"/>
  <c r="E84"/>
  <c r="C73"/>
  <c r="D89"/>
  <c r="E89" s="1"/>
  <c r="X10"/>
  <c r="W9"/>
  <c r="W10"/>
  <c r="X9"/>
  <c r="Q22"/>
  <c r="Z10" s="1"/>
  <c r="AA10" s="1"/>
  <c r="AA15" s="1"/>
  <c r="D44"/>
  <c r="E44" s="1"/>
  <c r="D48"/>
  <c r="E48" s="1"/>
  <c r="E53"/>
  <c r="D54"/>
  <c r="E54" s="1"/>
  <c r="X19"/>
  <c r="S14"/>
  <c r="T14"/>
  <c r="D49"/>
  <c r="E49" s="1"/>
  <c r="V20"/>
  <c r="X20" s="1"/>
  <c r="V9"/>
  <c r="V10" s="1"/>
  <c r="V14"/>
  <c r="D47"/>
  <c r="E47" s="1"/>
  <c r="C5"/>
  <c r="Q23"/>
  <c r="Q12"/>
  <c r="W12" s="1"/>
  <c r="U14"/>
  <c r="E43" i="7"/>
  <c r="Q22"/>
  <c r="C5"/>
  <c r="D5" s="1"/>
  <c r="Q12"/>
  <c r="Q23"/>
  <c r="R14"/>
  <c r="S9"/>
  <c r="Y9" s="1"/>
  <c r="S20"/>
  <c r="S10"/>
  <c r="Y10" s="1"/>
  <c r="T18"/>
  <c r="T9" s="1"/>
  <c r="T10" s="1"/>
  <c r="U17"/>
  <c r="AY20" i="6"/>
  <c r="AZ20" s="1"/>
  <c r="BO53"/>
  <c r="C11"/>
  <c r="AY12"/>
  <c r="AZ12" s="1"/>
  <c r="AZ41"/>
  <c r="BO49"/>
  <c r="AY16"/>
  <c r="AK72"/>
  <c r="AZ61"/>
  <c r="BO41"/>
  <c r="AZ29"/>
  <c r="AY66"/>
  <c r="D14" i="5"/>
  <c r="AY14" s="1"/>
  <c r="AZ14" s="1"/>
  <c r="BA14" s="1"/>
  <c r="D39"/>
  <c r="AY39" s="1"/>
  <c r="AZ39" s="1"/>
  <c r="BA39" s="1"/>
  <c r="AY19" i="6"/>
  <c r="BO13"/>
  <c r="D46" i="5"/>
  <c r="AY46" s="1"/>
  <c r="AZ46" s="1"/>
  <c r="BA46" s="1"/>
  <c r="AY47"/>
  <c r="AZ47" s="1"/>
  <c r="BA47" s="1"/>
  <c r="D66"/>
  <c r="AY66" s="1"/>
  <c r="AZ66" s="1"/>
  <c r="BA66" s="1"/>
  <c r="AY67"/>
  <c r="AZ67" s="1"/>
  <c r="BA67" s="1"/>
  <c r="AZ49" i="6"/>
  <c r="D56" i="5"/>
  <c r="AY56" s="1"/>
  <c r="AZ56" s="1"/>
  <c r="BA56" s="1"/>
  <c r="AY57"/>
  <c r="AZ57" s="1"/>
  <c r="BA57" s="1"/>
  <c r="D11"/>
  <c r="AY12"/>
  <c r="AZ12" s="1"/>
  <c r="BA12" s="1"/>
  <c r="D19"/>
  <c r="AY19" s="1"/>
  <c r="AZ19" s="1"/>
  <c r="BA19" s="1"/>
  <c r="AY20"/>
  <c r="AZ20" s="1"/>
  <c r="BA20" s="1"/>
  <c r="D32"/>
  <c r="AY32" s="1"/>
  <c r="AZ32" s="1"/>
  <c r="BA32" s="1"/>
  <c r="AZ53" i="6"/>
  <c r="AV49"/>
  <c r="BO47"/>
  <c r="BO45"/>
  <c r="BO40"/>
  <c r="BO21"/>
  <c r="BO33"/>
  <c r="AZ64"/>
  <c r="BO42"/>
  <c r="BO62"/>
  <c r="AY42"/>
  <c r="AZ42" s="1"/>
  <c r="AZ62"/>
  <c r="AZ40"/>
  <c r="AV29"/>
  <c r="BO64"/>
  <c r="AZ13"/>
  <c r="AZ21"/>
  <c r="BO61"/>
  <c r="D70"/>
  <c r="AZ33"/>
  <c r="BO57"/>
  <c r="AZ38"/>
  <c r="AY65"/>
  <c r="AZ65" s="1"/>
  <c r="AY14"/>
  <c r="AY46"/>
  <c r="BO30"/>
  <c r="AY50"/>
  <c r="AZ50" s="1"/>
  <c r="AY28"/>
  <c r="AZ28" s="1"/>
  <c r="AZ30"/>
  <c r="BO38"/>
  <c r="C56"/>
  <c r="AZ56" s="1"/>
  <c r="AV57"/>
  <c r="AZ57"/>
  <c r="AY60"/>
  <c r="AZ60" s="1"/>
  <c r="AY25"/>
  <c r="AY36"/>
  <c r="AZ36" s="1"/>
  <c r="AY58"/>
  <c r="AZ58" s="1"/>
  <c r="AY22"/>
  <c r="U73"/>
  <c r="D76" i="5"/>
  <c r="AV72"/>
  <c r="AW72" s="1"/>
  <c r="D16"/>
  <c r="AY16" s="1"/>
  <c r="AZ16" s="1"/>
  <c r="BA16" s="1"/>
  <c r="BO63" i="6"/>
  <c r="BO27"/>
  <c r="BO55"/>
  <c r="AY44"/>
  <c r="AZ44" s="1"/>
  <c r="AY52"/>
  <c r="AZ52" s="1"/>
  <c r="BO44"/>
  <c r="BO43"/>
  <c r="BO58"/>
  <c r="AY68"/>
  <c r="AZ68" s="1"/>
  <c r="BO50"/>
  <c r="AY11"/>
  <c r="BO68"/>
  <c r="BO51"/>
  <c r="BO12"/>
  <c r="C32"/>
  <c r="AV32" s="1"/>
  <c r="C19"/>
  <c r="BO19" s="1"/>
  <c r="BO20"/>
  <c r="AV52"/>
  <c r="BO52"/>
  <c r="BO28"/>
  <c r="C39"/>
  <c r="BO39" s="1"/>
  <c r="BO36"/>
  <c r="BO60"/>
  <c r="AZ27"/>
  <c r="AV27"/>
  <c r="C66"/>
  <c r="AZ67"/>
  <c r="AV67"/>
  <c r="AZ31"/>
  <c r="AV31"/>
  <c r="BO67"/>
  <c r="AZ59"/>
  <c r="AV59"/>
  <c r="AV56"/>
  <c r="AZ63"/>
  <c r="AV63"/>
  <c r="BN69"/>
  <c r="BO31"/>
  <c r="C22"/>
  <c r="AZ23"/>
  <c r="AV23"/>
  <c r="AZ35"/>
  <c r="AV35"/>
  <c r="AV12"/>
  <c r="AZ43"/>
  <c r="AV43"/>
  <c r="C25"/>
  <c r="BO59"/>
  <c r="BO35"/>
  <c r="AZ51"/>
  <c r="AV51"/>
  <c r="C46"/>
  <c r="AZ47"/>
  <c r="AV47"/>
  <c r="AZ55"/>
  <c r="AV55"/>
  <c r="C14"/>
  <c r="AZ15"/>
  <c r="AV15"/>
  <c r="BO23"/>
  <c r="AV69" i="4"/>
  <c r="AZ69"/>
  <c r="AV69" i="2"/>
  <c r="AZ69"/>
  <c r="AY69" i="6" l="1"/>
  <c r="I126" i="10"/>
  <c r="I127" s="1"/>
  <c r="I124"/>
  <c r="I123"/>
  <c r="I147"/>
  <c r="I148" s="1"/>
  <c r="J147"/>
  <c r="J144"/>
  <c r="J146"/>
  <c r="I144"/>
  <c r="I145"/>
  <c r="D145"/>
  <c r="E145" s="1"/>
  <c r="D144"/>
  <c r="C146"/>
  <c r="C148" s="1"/>
  <c r="J148" s="1"/>
  <c r="D166"/>
  <c r="D167" s="1"/>
  <c r="C167"/>
  <c r="C170"/>
  <c r="D163"/>
  <c r="E163" s="1"/>
  <c r="D162"/>
  <c r="E162" s="1"/>
  <c r="I39"/>
  <c r="I40" s="1"/>
  <c r="I37"/>
  <c r="G56"/>
  <c r="J53"/>
  <c r="D77"/>
  <c r="E77" s="1"/>
  <c r="C71"/>
  <c r="D69"/>
  <c r="D71" s="1"/>
  <c r="D53"/>
  <c r="E53" s="1"/>
  <c r="C57"/>
  <c r="C73"/>
  <c r="F48"/>
  <c r="D58"/>
  <c r="E58" s="1"/>
  <c r="C75"/>
  <c r="D74"/>
  <c r="E74" s="1"/>
  <c r="C76"/>
  <c r="M56"/>
  <c r="M58" s="1"/>
  <c r="M59" s="1"/>
  <c r="H56"/>
  <c r="C60"/>
  <c r="D52"/>
  <c r="D60" s="1"/>
  <c r="E50"/>
  <c r="D50"/>
  <c r="BO16" i="6"/>
  <c r="AZ16"/>
  <c r="X8" i="9"/>
  <c r="C76"/>
  <c r="D76" s="1"/>
  <c r="E76" s="1"/>
  <c r="C70"/>
  <c r="D53"/>
  <c r="D49" s="1"/>
  <c r="BH69" i="6"/>
  <c r="BJ11"/>
  <c r="C72" i="9"/>
  <c r="D72" s="1"/>
  <c r="E72" s="1"/>
  <c r="I58"/>
  <c r="I57"/>
  <c r="I60"/>
  <c r="E68"/>
  <c r="E70" s="1"/>
  <c r="D35"/>
  <c r="E35" s="1"/>
  <c r="E62"/>
  <c r="X12" i="8"/>
  <c r="Z12"/>
  <c r="D5"/>
  <c r="C23" i="7"/>
  <c r="C25" s="1"/>
  <c r="S12"/>
  <c r="U18"/>
  <c r="V17"/>
  <c r="U19"/>
  <c r="T20"/>
  <c r="T12"/>
  <c r="C69" i="6"/>
  <c r="AY11" i="5"/>
  <c r="AY69" s="1"/>
  <c r="BO56" i="6"/>
  <c r="AZ19"/>
  <c r="D69" i="5"/>
  <c r="AV39" i="6"/>
  <c r="BO32"/>
  <c r="AZ32"/>
  <c r="AV19"/>
  <c r="AZ39"/>
  <c r="AV14"/>
  <c r="AZ14"/>
  <c r="BO14"/>
  <c r="AV46"/>
  <c r="AZ46"/>
  <c r="BO46"/>
  <c r="AZ11"/>
  <c r="AV11"/>
  <c r="BO11"/>
  <c r="AV66"/>
  <c r="AZ66"/>
  <c r="BO66"/>
  <c r="AV22"/>
  <c r="AZ22"/>
  <c r="BO22"/>
  <c r="AV25"/>
  <c r="AZ25"/>
  <c r="BO25"/>
  <c r="D170" i="10" l="1"/>
  <c r="D172" s="1"/>
  <c r="C172"/>
  <c r="D146"/>
  <c r="D148" s="1"/>
  <c r="E144"/>
  <c r="E146" s="1"/>
  <c r="E148" s="1"/>
  <c r="E166"/>
  <c r="E167" s="1"/>
  <c r="D76"/>
  <c r="E76" s="1"/>
  <c r="D57"/>
  <c r="D59" s="1"/>
  <c r="D61" s="1"/>
  <c r="C59"/>
  <c r="C61" s="1"/>
  <c r="J61" s="1"/>
  <c r="I56"/>
  <c r="E69"/>
  <c r="E71" s="1"/>
  <c r="K53"/>
  <c r="K54"/>
  <c r="D75"/>
  <c r="E75" s="1"/>
  <c r="C79"/>
  <c r="D73"/>
  <c r="E73" s="1"/>
  <c r="E52"/>
  <c r="E60" s="1"/>
  <c r="C78" i="9"/>
  <c r="C79" s="1"/>
  <c r="E60"/>
  <c r="D60"/>
  <c r="BJ69" i="6"/>
  <c r="BK11"/>
  <c r="BK69" s="1"/>
  <c r="AZ69"/>
  <c r="AV69"/>
  <c r="D23" i="8"/>
  <c r="X14"/>
  <c r="D23" i="7"/>
  <c r="D25" s="1"/>
  <c r="S13"/>
  <c r="S14" s="1"/>
  <c r="T13"/>
  <c r="T14" s="1"/>
  <c r="U9"/>
  <c r="U20"/>
  <c r="U10"/>
  <c r="U12" s="1"/>
  <c r="V18"/>
  <c r="V19"/>
  <c r="W17"/>
  <c r="AZ11" i="5"/>
  <c r="D75"/>
  <c r="BO69" i="6"/>
  <c r="E170" i="10" l="1"/>
  <c r="E172" s="1"/>
  <c r="E57"/>
  <c r="E59" s="1"/>
  <c r="E61" s="1"/>
  <c r="C80"/>
  <c r="D79"/>
  <c r="D80" s="1"/>
  <c r="C83"/>
  <c r="I60"/>
  <c r="I61" s="1"/>
  <c r="I58"/>
  <c r="J57"/>
  <c r="J59"/>
  <c r="J60" s="1"/>
  <c r="I57"/>
  <c r="I59"/>
  <c r="D78" i="9"/>
  <c r="D79" s="1"/>
  <c r="D27" i="8"/>
  <c r="D82"/>
  <c r="D85" s="1"/>
  <c r="D87" s="1"/>
  <c r="D68"/>
  <c r="D71" s="1"/>
  <c r="D73" s="1"/>
  <c r="D78" s="1"/>
  <c r="D80" s="1"/>
  <c r="E23"/>
  <c r="E23" i="7"/>
  <c r="E25" s="1"/>
  <c r="V9"/>
  <c r="V20"/>
  <c r="V10"/>
  <c r="V12" s="1"/>
  <c r="U13"/>
  <c r="U14" s="1"/>
  <c r="W19"/>
  <c r="X19" s="1"/>
  <c r="W18"/>
  <c r="AZ69" i="5"/>
  <c r="BA11"/>
  <c r="BA69" s="1"/>
  <c r="BA72" s="1"/>
  <c r="BA73" s="1"/>
  <c r="S14" i="1"/>
  <c r="T14"/>
  <c r="U14"/>
  <c r="V14"/>
  <c r="W14"/>
  <c r="X14"/>
  <c r="R14"/>
  <c r="S13"/>
  <c r="T13"/>
  <c r="U13"/>
  <c r="V13"/>
  <c r="W13"/>
  <c r="X13"/>
  <c r="R13"/>
  <c r="R17"/>
  <c r="R19" s="1"/>
  <c r="Q9"/>
  <c r="Q19"/>
  <c r="Q20"/>
  <c r="L20"/>
  <c r="L19"/>
  <c r="D12"/>
  <c r="X11"/>
  <c r="X8"/>
  <c r="C10"/>
  <c r="C12" s="1"/>
  <c r="D10"/>
  <c r="E10"/>
  <c r="E12" s="1"/>
  <c r="F10"/>
  <c r="F12" s="1"/>
  <c r="G10"/>
  <c r="G12" s="1"/>
  <c r="H10"/>
  <c r="H12" s="1"/>
  <c r="I10"/>
  <c r="I12" s="1"/>
  <c r="J10"/>
  <c r="J12" s="1"/>
  <c r="B10"/>
  <c r="B12" s="1"/>
  <c r="C6"/>
  <c r="D6" s="1"/>
  <c r="E6" s="1"/>
  <c r="F6" s="1"/>
  <c r="G6" s="1"/>
  <c r="H6" s="1"/>
  <c r="I6" s="1"/>
  <c r="J6" s="1"/>
  <c r="K6" s="1"/>
  <c r="L6" s="1"/>
  <c r="M6" s="1"/>
  <c r="N6" s="1"/>
  <c r="O6" s="1"/>
  <c r="P6" s="1"/>
  <c r="Q6" s="1"/>
  <c r="R6" s="1"/>
  <c r="S6" s="1"/>
  <c r="T6" s="1"/>
  <c r="U6" s="1"/>
  <c r="V6" s="1"/>
  <c r="W6" s="1"/>
  <c r="D83" i="10" l="1"/>
  <c r="D85" s="1"/>
  <c r="C85"/>
  <c r="E79"/>
  <c r="E80" s="1"/>
  <c r="E78" i="9"/>
  <c r="E79" s="1"/>
  <c r="E27" i="8"/>
  <c r="E82"/>
  <c r="E85" s="1"/>
  <c r="E87" s="1"/>
  <c r="E68"/>
  <c r="E71" s="1"/>
  <c r="E73" s="1"/>
  <c r="E78" s="1"/>
  <c r="E80" s="1"/>
  <c r="W9" i="7"/>
  <c r="Z9" s="1"/>
  <c r="AA9" s="1"/>
  <c r="W20"/>
  <c r="X20" s="1"/>
  <c r="W10"/>
  <c r="V13"/>
  <c r="V14" s="1"/>
  <c r="R18" i="1"/>
  <c r="R20" s="1"/>
  <c r="L9"/>
  <c r="M9"/>
  <c r="N9"/>
  <c r="O9"/>
  <c r="P9"/>
  <c r="L10"/>
  <c r="L12" s="1"/>
  <c r="M10"/>
  <c r="M12" s="1"/>
  <c r="N10"/>
  <c r="N12" s="1"/>
  <c r="O10"/>
  <c r="O12" s="1"/>
  <c r="P10"/>
  <c r="P12" s="1"/>
  <c r="Q10"/>
  <c r="Q12" s="1"/>
  <c r="K9"/>
  <c r="K10"/>
  <c r="K12" s="1"/>
  <c r="S17"/>
  <c r="M20"/>
  <c r="N20"/>
  <c r="O20"/>
  <c r="P20"/>
  <c r="M19"/>
  <c r="N19"/>
  <c r="O19"/>
  <c r="P19"/>
  <c r="E83" i="10" l="1"/>
  <c r="E85" s="1"/>
  <c r="W12" i="7"/>
  <c r="X10"/>
  <c r="X9"/>
  <c r="T17" i="1"/>
  <c r="T18" s="1"/>
  <c r="S19"/>
  <c r="Y9"/>
  <c r="R10"/>
  <c r="S18"/>
  <c r="S20" s="1"/>
  <c r="W13" i="7" l="1"/>
  <c r="W14" s="1"/>
  <c r="X12"/>
  <c r="Z8"/>
  <c r="Z10" s="1"/>
  <c r="U17" i="1"/>
  <c r="T19"/>
  <c r="Y11"/>
  <c r="T20"/>
  <c r="S10"/>
  <c r="S9"/>
  <c r="T10"/>
  <c r="T12" s="1"/>
  <c r="T9"/>
  <c r="X13" i="7" l="1"/>
  <c r="X14" s="1"/>
  <c r="V17" i="1"/>
  <c r="U19"/>
  <c r="U18"/>
  <c r="S12"/>
  <c r="W17" l="1"/>
  <c r="V19"/>
  <c r="V18"/>
  <c r="U20"/>
  <c r="U10"/>
  <c r="U9"/>
  <c r="W18" l="1"/>
  <c r="W19"/>
  <c r="X19" s="1"/>
  <c r="V20"/>
  <c r="V9"/>
  <c r="V10"/>
  <c r="V12" s="1"/>
  <c r="U12"/>
  <c r="W20" l="1"/>
  <c r="X20" s="1"/>
  <c r="W9"/>
  <c r="Z9" s="1"/>
  <c r="AA9" s="1"/>
  <c r="W10"/>
  <c r="X9" l="1"/>
  <c r="W12"/>
  <c r="X12" s="1"/>
  <c r="X10"/>
  <c r="Y10" l="1"/>
  <c r="Z8"/>
  <c r="Z10" s="1"/>
  <c r="D113" i="10" l="1"/>
  <c r="D114" s="1"/>
  <c r="C114"/>
  <c r="C133" l="1"/>
  <c r="D133" s="1"/>
  <c r="E133" s="1"/>
  <c r="E113"/>
  <c r="E114" s="1"/>
  <c r="F135" l="1"/>
</calcChain>
</file>

<file path=xl/sharedStrings.xml><?xml version="1.0" encoding="utf-8"?>
<sst xmlns="http://schemas.openxmlformats.org/spreadsheetml/2006/main" count="1343" uniqueCount="323">
  <si>
    <t>Ajustare pret iunie-decembrie 2021 si estimare ajustare perioada martie -sept 2022</t>
  </si>
  <si>
    <r>
      <t>Formula de ajustare An=av+(1-av)*In/I</t>
    </r>
    <r>
      <rPr>
        <sz val="8"/>
        <color theme="1"/>
        <rFont val="Calibri"/>
        <family val="2"/>
        <charset val="238"/>
        <scheme val="minor"/>
      </rPr>
      <t>0</t>
    </r>
  </si>
  <si>
    <t>Siuatii de lucrari aferente perioadei</t>
  </si>
  <si>
    <t>Valoare situatii</t>
  </si>
  <si>
    <t>Valoare coeficient In</t>
  </si>
  <si>
    <t>Valoare coeficient An</t>
  </si>
  <si>
    <t>Publicat</t>
  </si>
  <si>
    <t>Estimat</t>
  </si>
  <si>
    <r>
      <t>I</t>
    </r>
    <r>
      <rPr>
        <b/>
        <sz val="8"/>
        <color theme="1"/>
        <rFont val="Calibri"/>
        <family val="2"/>
        <charset val="238"/>
        <scheme val="minor"/>
      </rPr>
      <t xml:space="preserve">0 </t>
    </r>
    <r>
      <rPr>
        <b/>
        <sz val="11"/>
        <color theme="1"/>
        <rFont val="Calibri"/>
        <family val="2"/>
        <charset val="238"/>
        <scheme val="minor"/>
      </rPr>
      <t>iulie 2019 =</t>
    </r>
  </si>
  <si>
    <t>Valoare ajustare</t>
  </si>
  <si>
    <t>Valoare atualizata cu coeficient An</t>
  </si>
  <si>
    <t>Total</t>
  </si>
  <si>
    <t>Prg exec+ncs+ajustare</t>
  </si>
  <si>
    <t>Dif val situatii/prg executie</t>
  </si>
  <si>
    <t>Luna</t>
  </si>
  <si>
    <t>Crestere lunara In</t>
  </si>
  <si>
    <t>Crestere lunara An</t>
  </si>
  <si>
    <t>TVA (19%)</t>
  </si>
  <si>
    <t>Dif val situatii/prg executie cu tva</t>
  </si>
  <si>
    <t>OBIECTIV:</t>
  </si>
  <si>
    <t>Modernizare DJ504 lim.Jud.Teleorman-Popesti-Izvoru-Recea-Cornatel-Vulpesti(DN65A ),km110+700-136+695,L=25,995km,</t>
  </si>
  <si>
    <t>Beneficiar:</t>
  </si>
  <si>
    <t>Consiliul Judetean Arges</t>
  </si>
  <si>
    <t>Proiectant:</t>
  </si>
  <si>
    <t>S.C. SECTIA DE PROIECTARE OLT  S.R.L.</t>
  </si>
  <si>
    <t>Executant:</t>
  </si>
  <si>
    <t>Asocierea  S.C.  General Trust Arges SRL(lider asociere) - S.C. Alpenside SRL- S.C WFA IMPEX S.R.L</t>
  </si>
  <si>
    <t>Programul de executie actualizat (grafic fizic si valoric)</t>
  </si>
  <si>
    <t>Nr._x000D_
crt.</t>
  </si>
  <si>
    <t>Denumire capitole de lucrari/_x000D_
activitati</t>
  </si>
  <si>
    <t>Valoare
fara TVA (conform act aditional nr. 9)</t>
  </si>
  <si>
    <t>Luna 1</t>
  </si>
  <si>
    <t>Luna 2</t>
  </si>
  <si>
    <t>Luna 3</t>
  </si>
  <si>
    <t>Luna 4</t>
  </si>
  <si>
    <t>Luna 5</t>
  </si>
  <si>
    <t>Luna 6</t>
  </si>
  <si>
    <t>Luna 7</t>
  </si>
  <si>
    <t>Luna 8</t>
  </si>
  <si>
    <t>Luna 9</t>
  </si>
  <si>
    <t>Luna 10</t>
  </si>
  <si>
    <t>Luna 11</t>
  </si>
  <si>
    <t>Luna 12</t>
  </si>
  <si>
    <t>Luna 13</t>
  </si>
  <si>
    <t>Luna 14</t>
  </si>
  <si>
    <t>Luna 15</t>
  </si>
  <si>
    <t>Luna 16</t>
  </si>
  <si>
    <t>Luna 17</t>
  </si>
  <si>
    <t>Luna 18</t>
  </si>
  <si>
    <t>Luna 19</t>
  </si>
  <si>
    <t>Luna 20</t>
  </si>
  <si>
    <t>Luna 21</t>
  </si>
  <si>
    <t>Luna 22</t>
  </si>
  <si>
    <t>Luna 1-Luna16</t>
  </si>
  <si>
    <t>Luna17-Luna22</t>
  </si>
  <si>
    <t>Luna1-Luna22</t>
  </si>
  <si>
    <t>22-31 mai;1-30 iunie</t>
  </si>
  <si>
    <t>iulie</t>
  </si>
  <si>
    <t>august</t>
  </si>
  <si>
    <t>septembrie</t>
  </si>
  <si>
    <t>octombrie</t>
  </si>
  <si>
    <t>noiembrie</t>
  </si>
  <si>
    <t>1-22 decembrie; 22-31 martie</t>
  </si>
  <si>
    <t xml:space="preserve">aprilie </t>
  </si>
  <si>
    <t>mai</t>
  </si>
  <si>
    <t>iunie</t>
  </si>
  <si>
    <t>1-24 decembrie; 22-31 martie</t>
  </si>
  <si>
    <t>aprilie</t>
  </si>
  <si>
    <t xml:space="preserve">mai </t>
  </si>
  <si>
    <t>fizic</t>
  </si>
  <si>
    <t>valoric</t>
  </si>
  <si>
    <t>Amenajare teren</t>
  </si>
  <si>
    <t>0024.2.1</t>
  </si>
  <si>
    <t>NCS AMENAJ TEREN</t>
  </si>
  <si>
    <t>Protectia mediului</t>
  </si>
  <si>
    <t>0024.3.1</t>
  </si>
  <si>
    <t>Reparatii sistem rutier</t>
  </si>
  <si>
    <t>0024.4.1</t>
  </si>
  <si>
    <t>NCS Reparatii sistem rutier</t>
  </si>
  <si>
    <t>Lucrari structura rutiera</t>
  </si>
  <si>
    <t>0024.5.1</t>
  </si>
  <si>
    <t>NCS Teava gaze</t>
  </si>
  <si>
    <t>Lucrari trotuare</t>
  </si>
  <si>
    <t>0024.6.1</t>
  </si>
  <si>
    <t>NCS Lucrari trotuare</t>
  </si>
  <si>
    <t>Lucrari accese,drumuri laterale pana la limita de proprietate a judetului si statii BUS</t>
  </si>
  <si>
    <t>0024.7.1</t>
  </si>
  <si>
    <t>Lucrari accese, drumuri laterale pana la limita de proprietate a judetului si statii</t>
  </si>
  <si>
    <t xml:space="preserve">NCS Lucrari accese, drumuri laterale </t>
  </si>
  <si>
    <t>0024.7.2</t>
  </si>
  <si>
    <t>Podet tubular D 600 mm L=1210 m</t>
  </si>
  <si>
    <t>NCS Podet tubular D 600 mm</t>
  </si>
  <si>
    <t>0024.7.3</t>
  </si>
  <si>
    <t>Podet tubular D 300 mm L=5520 m</t>
  </si>
  <si>
    <t>NCS podete accese proprietati</t>
  </si>
  <si>
    <t>Scurgerea apelor</t>
  </si>
  <si>
    <t>0024.8.1</t>
  </si>
  <si>
    <t>Sant de pamant L=15910,00 m</t>
  </si>
  <si>
    <t>0024.8.2</t>
  </si>
  <si>
    <t>Sant pereat L=29567 m</t>
  </si>
  <si>
    <t>0024.8.3</t>
  </si>
  <si>
    <t>Rigola carosabila L=1150,00 m</t>
  </si>
  <si>
    <t>NCS Rigola carosabila</t>
  </si>
  <si>
    <t>0024.8.4</t>
  </si>
  <si>
    <t>Rigola ranforsata L=840,00 m</t>
  </si>
  <si>
    <t>NCS Rigola ranforsata</t>
  </si>
  <si>
    <t>Podete</t>
  </si>
  <si>
    <t>0024.9.1</t>
  </si>
  <si>
    <t>Reparatii podete 27 buc</t>
  </si>
  <si>
    <t>NCS Reparatii podete</t>
  </si>
  <si>
    <t>0024.9.2</t>
  </si>
  <si>
    <t>Demolare elemente beton</t>
  </si>
  <si>
    <t>NCS Demolare elemente beton</t>
  </si>
  <si>
    <t>0024.9.3</t>
  </si>
  <si>
    <t>Podete dalate L=1,00 m 24 buc</t>
  </si>
  <si>
    <t>NCS Podete dalate</t>
  </si>
  <si>
    <t>Siguranta circulatiei, semnalizari si marcaje</t>
  </si>
  <si>
    <t>0024.10.1</t>
  </si>
  <si>
    <t>Semnalizare si marcaje provizorii</t>
  </si>
  <si>
    <t>0024.10.2</t>
  </si>
  <si>
    <t>Indicatoare hectometrice</t>
  </si>
  <si>
    <t>0024.10.3</t>
  </si>
  <si>
    <t>Indicatoare kilometrice</t>
  </si>
  <si>
    <t>0024.10.4</t>
  </si>
  <si>
    <t>Semnalizare verticala</t>
  </si>
  <si>
    <t>0024.10.5</t>
  </si>
  <si>
    <t>Marcaje longitudinale, L=64,99 KM</t>
  </si>
  <si>
    <t>0024.10.6</t>
  </si>
  <si>
    <t>Marcaje transversale</t>
  </si>
  <si>
    <t>0024.10.7</t>
  </si>
  <si>
    <t>Desfacere parapet metalic, L=1234</t>
  </si>
  <si>
    <t>0024.10.8</t>
  </si>
  <si>
    <t>Parapet metalic zincat, L=3130 m</t>
  </si>
  <si>
    <t>0024.10.9</t>
  </si>
  <si>
    <t>Fluturasi reflectorizanti</t>
  </si>
  <si>
    <t>Lucrari de consolidari</t>
  </si>
  <si>
    <t>0024.11.1</t>
  </si>
  <si>
    <t>Reparatii gabioane</t>
  </si>
  <si>
    <t>POD KM 118+807 (SCURGERE) LA IZVORU</t>
  </si>
  <si>
    <t>NCS Pod km 118+807</t>
  </si>
  <si>
    <t>POD KM 123+194 LA RECEA</t>
  </si>
  <si>
    <t>NCS Pod km 123+194</t>
  </si>
  <si>
    <t>POD KM 126+394 (PARAU SARACU) LA RECEA</t>
  </si>
  <si>
    <t>NCS pod km 126+394</t>
  </si>
  <si>
    <t>POD KM 136+526 (SCURGERE) LA BUZOIESTI</t>
  </si>
  <si>
    <t>NCS Pod km 136+526</t>
  </si>
  <si>
    <t>Organizare de santier</t>
  </si>
  <si>
    <t>0024.16.1</t>
  </si>
  <si>
    <t>0024.16.2</t>
  </si>
  <si>
    <t xml:space="preserve">TOTAL VALOARE (fara TVA) </t>
  </si>
  <si>
    <t>Valoare ajustata fara TVA (estimata pana la terminare lucrare)</t>
  </si>
  <si>
    <t>Valoare ajustata cu TVA (estimata pana la terminare lucrare)</t>
  </si>
  <si>
    <t>total</t>
  </si>
  <si>
    <t>Valoare contract initiala fara tva</t>
  </si>
  <si>
    <t xml:space="preserve">oferta de baza </t>
  </si>
  <si>
    <t>ncs</t>
  </si>
  <si>
    <t>Tva 19% val. Ajustata</t>
  </si>
  <si>
    <t>Tva 19% val. Initiala</t>
  </si>
  <si>
    <t xml:space="preserve">Valoare initiala cu TVA </t>
  </si>
  <si>
    <t>Dif(+/-)</t>
  </si>
  <si>
    <t>Valoare Ajustare fara tva Luna 17-Luna 22</t>
  </si>
  <si>
    <t>TVA 19%</t>
  </si>
  <si>
    <t>Valoare Ajustare fara tva luna10-Luna16</t>
  </si>
  <si>
    <t>Valoare Ajustare cu tva luna10-Luna16</t>
  </si>
  <si>
    <t>Valoare Ajustare cu tva luna10-Luna22</t>
  </si>
  <si>
    <t>Valoare Ajustare cu tva Luna 17-Luna 22</t>
  </si>
  <si>
    <t>Ajustare pret dec.2021;mar.2022,apr,2022</t>
  </si>
  <si>
    <t>val.fara tva</t>
  </si>
  <si>
    <t>tva</t>
  </si>
  <si>
    <t>val.cu tva</t>
  </si>
  <si>
    <t xml:space="preserve">Denumire </t>
  </si>
  <si>
    <t>Dispozitia de santier nr.4/ NCS drum 23.05.2022</t>
  </si>
  <si>
    <t>Dispozitia de santier nr.4/ NR drum23.05.2022</t>
  </si>
  <si>
    <t>Dispozitia de santier nr.P10/ NR poduri 25.05.2022</t>
  </si>
  <si>
    <t>neeligibil</t>
  </si>
  <si>
    <t>Dispozitia de santier nr.P9/ NR poduri 09.02.2022 (Ad10/18.05.2022)</t>
  </si>
  <si>
    <t xml:space="preserve">     Ajustare pret pana la 30.04.2022 eligibil</t>
  </si>
  <si>
    <t xml:space="preserve">     Ajustare pret pana la 30.04.2022 neeligibil</t>
  </si>
  <si>
    <t>Contract de finantare nr.848/09.01.2018 (Ad.1/19.04.2019), total d.c.:</t>
  </si>
  <si>
    <t>Ajustare pret pana la 30.04.2022, total, d.c.:</t>
  </si>
  <si>
    <t xml:space="preserve">     Contract de finantare nr.848/09.01.2018 (Ad.1/19.04.2019), eligibil </t>
  </si>
  <si>
    <t xml:space="preserve">     Contract de finantare nr.848/09.01.2018 (Ad.1/19.04.2019), neeligibil</t>
  </si>
  <si>
    <t>Contract executie 6511/15.04.2020 Ad10/18.05.2022</t>
  </si>
  <si>
    <t>Diferente(+/-)  eligibil</t>
  </si>
  <si>
    <t>Diferente(+/-) total, d.c.:</t>
  </si>
  <si>
    <t>Diferente(+/-)  neeligibil</t>
  </si>
  <si>
    <t>Contract executie 6511/15.04.2020</t>
  </si>
  <si>
    <t>Cheltuieli diverse si neprevazute total, d.c.:</t>
  </si>
  <si>
    <t xml:space="preserve">      Cheltuieli diverse eligibile</t>
  </si>
  <si>
    <t xml:space="preserve">      Cheltuieli diverse neeligibile</t>
  </si>
  <si>
    <t>NCS/NR 30.04.2022, neeligibil achitat</t>
  </si>
  <si>
    <t>NCS/NR 30.04.2022, neeligibil de achitat</t>
  </si>
  <si>
    <t>NCS/NR 30.04.2022, neeligibil contractat</t>
  </si>
  <si>
    <t>NCS/NR 30.04.2022, neeligibil rest/rezerva</t>
  </si>
  <si>
    <t>rest de exec.total 01.05.2022</t>
  </si>
  <si>
    <t>rest de exec.ncs 01.05.2022</t>
  </si>
  <si>
    <t>rest de exec.oferta 01.05.2022</t>
  </si>
  <si>
    <t>nr</t>
  </si>
  <si>
    <t>dif</t>
  </si>
  <si>
    <t>Ajustare NCS/NR 30.04.2022, neeligibil contractat</t>
  </si>
  <si>
    <t xml:space="preserve">     Ajustare NCS/NR 30.04.2022, neeligibil contractat</t>
  </si>
  <si>
    <t xml:space="preserve">     Ajustare pret oferta de baza, 30.04.2022 neeligibil</t>
  </si>
  <si>
    <t xml:space="preserve">     Ajustare pret oferta de baza, 30.04.2022 eligibil</t>
  </si>
  <si>
    <t xml:space="preserve">     Ajustare NCS/NR 30.04.2022, neeligibil achitat</t>
  </si>
  <si>
    <t>oferta initiala</t>
  </si>
  <si>
    <t>ajustare ncs</t>
  </si>
  <si>
    <t>ajustare oferta</t>
  </si>
  <si>
    <t>oferta revizuita ad.10 ncs/nr &amp;ajustare pret</t>
  </si>
  <si>
    <t xml:space="preserve"> ncs</t>
  </si>
  <si>
    <t xml:space="preserve">Oferta </t>
  </si>
  <si>
    <t>Var.I</t>
  </si>
  <si>
    <t>Ajustare pret oferta dec.2021</t>
  </si>
  <si>
    <t>Ajustare pret mar.2022</t>
  </si>
  <si>
    <t>Ajustare pret apr.2022</t>
  </si>
  <si>
    <t xml:space="preserve">Total ajustare mai-aug.2022,2% cofinantare ch eligibile </t>
  </si>
  <si>
    <t>buget cjarges</t>
  </si>
  <si>
    <t>Total ajustare mai-aug.2022,98%  ch eligibile rambursabile</t>
  </si>
  <si>
    <t>Total ajustare dec.2021-apr.2022, neeligibil</t>
  </si>
  <si>
    <t>Total ncs+ajustare ncs, neeligibil</t>
  </si>
  <si>
    <t>fedr+bs</t>
  </si>
  <si>
    <t>Subtotal buget cjarges</t>
  </si>
  <si>
    <t>Var.II</t>
  </si>
  <si>
    <t>Var.III</t>
  </si>
  <si>
    <t>Rezerva de implementare23% din rest de executat la 01.05.2022 total, d.c.</t>
  </si>
  <si>
    <t>Rezerva de implementare oferta de baza din rest de executat la 01.05.2022</t>
  </si>
  <si>
    <t>Rezerva de implementare ncsdin rest de executat la 01.05.2022</t>
  </si>
  <si>
    <t>de cuprins in buget luna iunie 2022</t>
  </si>
  <si>
    <t>Var.I (ncs+rez. de implementare 23%)</t>
  </si>
  <si>
    <t>Var.II (ncs-nr drum si pod +rez. de implementare 23%)</t>
  </si>
  <si>
    <t>Var.III (ncs-nr drum +rez. de implementare 23%)</t>
  </si>
  <si>
    <t>Ajustare pret 01-11 mai 2022</t>
  </si>
  <si>
    <t>Ajustare pret dec.2021</t>
  </si>
  <si>
    <t>01-11mai 2022</t>
  </si>
  <si>
    <t>rest de exec.total 12.05.2022</t>
  </si>
  <si>
    <t>rest de exec.ncs 12.05.2022</t>
  </si>
  <si>
    <t>Contract executie 6511/15.04.2020 Ad11/23.06.2022</t>
  </si>
  <si>
    <t>oferta revizuita ad.11 ncs/nr &amp;ajustare pret</t>
  </si>
  <si>
    <t>Ajustare rest de executat contract, 12.05.2022, d.c.:</t>
  </si>
  <si>
    <t xml:space="preserve">     Ajustare rest de executat devize oferta, 12.05.2022, d.c.:</t>
  </si>
  <si>
    <t xml:space="preserve">     Ajustare rest de executat devize oferta, 12.05.2022, eligibil 98%</t>
  </si>
  <si>
    <t xml:space="preserve">     Ajustare rest de executat devize oferta,12.05.2022, eligibil, cofinantare 2%</t>
  </si>
  <si>
    <t xml:space="preserve">     Ajustare rest de executat ncs, 12.05.2022</t>
  </si>
  <si>
    <t>Total ajustare ncs, neeligibil</t>
  </si>
  <si>
    <t>Rezerva de implementare 23% din rest de executat la 12.05.2022 total, d.c.</t>
  </si>
  <si>
    <t>rez. de implementare 23%</t>
  </si>
  <si>
    <t>Ajustare dec.2021-11 mai2022, neeligibil</t>
  </si>
  <si>
    <t>Situatii de lucrari aferente perioadei</t>
  </si>
  <si>
    <t xml:space="preserve">     Ajustare pret oferta de baza, 11.05.2022 eligibil</t>
  </si>
  <si>
    <t xml:space="preserve">     Ajustare pret oferta de baza, 11.05.2022 neeligibil</t>
  </si>
  <si>
    <t xml:space="preserve">     Ajustare NCS/NR 11.05.2022, neeligibil achitat</t>
  </si>
  <si>
    <t>NCS/NR 23.06.2022, neeligibil contractat</t>
  </si>
  <si>
    <t>NCS/NR 23.06.2022, neeligibil achitat</t>
  </si>
  <si>
    <t>Rezerva de implementare 23% din rest de executat oferta de baza la 12.05.2022 98% bugetul statului cheltuieli eligibile</t>
  </si>
  <si>
    <t>rest de exec.oferta de baza 12.05.2022</t>
  </si>
  <si>
    <t>12 mai - 20 august 2022</t>
  </si>
  <si>
    <t>Nota: luna iunie 2021, in speta luna a 9-a de executie lucrari, este luna 13 dpdv calendaristic de la data inceperii executiei lucrarilor tinand cont de sistarile pe timpul sezonului friguros perioada de iarna 18.12.2020-18.03.2021; luna iunie 2021 este luna cand incepe a se calcula ajustarea de pret in conformitate cu caluza 48 din contractul de executie</t>
  </si>
  <si>
    <t>Ramas de alocat/suplimentat pt Rezerva de implementare 23% din rest de executat la 12.05.2022 total, d.c.</t>
  </si>
  <si>
    <t>Ramas de alocat suplimentat pt Rezerva de implementare 23% din rest de executat oferta de baza la 12.05.2022 98% bugetul statului cheltuieli eligibile</t>
  </si>
  <si>
    <t>Rezerva de implementare 23% din rest de executat oferta de baza cheltuieli eligibile la 12.05.2022</t>
  </si>
  <si>
    <t>Ramas de alocat/ suplimentat pt Rezerva de implementare 23% din rest de executat oferta de baza cheltuieli eligibile la 12.05.2022</t>
  </si>
  <si>
    <t>Act aditional la contractul de executie iunie 2022</t>
  </si>
  <si>
    <t>Act aditional la contractul de executie iulie 2022</t>
  </si>
  <si>
    <t>Rezerva de implementare 23% din rest de executat oferta de baza la 12.05.2022 2% cofinantare beneficiar/cjarges cheltuieli eligibile</t>
  </si>
  <si>
    <t>Rezerva de implementare 23% din rest de executat ncs  la 12.05.2022, cheltuieli neeligibile/ buget beneficiar cjarges</t>
  </si>
  <si>
    <t>Ramas de alocat/suplimentat pt Rezerva de implementare 23% din rest de executat oferta de baza la 12.05.2022 2% cofinantare beneficiar/cjarges cheltuieli eligibile</t>
  </si>
  <si>
    <t>Ramas de alocat suplimentat pt Rezerva de implementare 23% din rest de executat ncs  la 12.05.2022, cheltuieli neeligibile/ buget beneficiar cjarges</t>
  </si>
  <si>
    <t xml:space="preserve">     Ajustare rest de executat devize oferta, 12.05.2022, eligibil 98%, bugetul statului</t>
  </si>
  <si>
    <t xml:space="preserve">     Ajustare rest de executat devize oferta, 12.05.2022, eligibil, cofinantare 2% beneficiar cj arges</t>
  </si>
  <si>
    <t xml:space="preserve">     Ajustare rest de executat ncs, 12.05.2022, cheltuieli neeligibile beneficiar cj arges</t>
  </si>
  <si>
    <t>% ajustare oferta de baza</t>
  </si>
  <si>
    <t xml:space="preserve">oferta revizuita ad.11 ncs -nr  iunie 2022  </t>
  </si>
  <si>
    <t>ajustare oferta  de baza cumulat 12 mai 2022</t>
  </si>
  <si>
    <t>ajustare ncs - nr cumulat 12 mai 2022</t>
  </si>
  <si>
    <t>oferta revizuita ad.11 ncs - nr iunie 2022 &amp;ajustare pret cumulat 2021&amp; 2022</t>
  </si>
  <si>
    <t>Total ajustare rest de exec,12 mai 2022,  2% cofinantare ch eligibile beneficiar cj arges</t>
  </si>
  <si>
    <t>Total ajustare rest de executat 12mai, 98%  ch eligibile rambursabile, bugetul statului</t>
  </si>
  <si>
    <t>%diverse si neprevazute (ncs-nr + ajustare ncs)</t>
  </si>
  <si>
    <t>%diverse si neprevazute (ncs - nr+ ajustare ncs)</t>
  </si>
  <si>
    <t>% crestere valoare contract cumulat</t>
  </si>
  <si>
    <t>Act aditional la contractul de finantare iulie-august 2022</t>
  </si>
  <si>
    <t>Rezerva de ajustare 23% din rest de executat la 12.05.2022 total, d.c.</t>
  </si>
  <si>
    <t>Rezerva de ajustare 23% din rest de executat oferta de baza cheltuieli eligibile la 12.05.2022</t>
  </si>
  <si>
    <t>Rezerva de ajustare 23% din rest de executat oferta de baza la 12.05.2022 98% bugetul statului cheltuieli eligibile</t>
  </si>
  <si>
    <t>Rezerva de ajustare 23% din rest de executat oferta de baza la 12.05.2022 2% cofinantare beneficiar/cjarges cheltuieli eligibile</t>
  </si>
  <si>
    <t>Rezerva de ajustare 23% din rest de executat ncs  la 12.05.2022, cheltuieli neeligibile/ buget beneficiar cjarges</t>
  </si>
  <si>
    <t>Act aditional la contractul de finantare august - septembrie 2022</t>
  </si>
  <si>
    <t>Ramas de alocat/suplimentat pt Rezerva de ajustare 23% din rest de executat la 12.05.2022 total, d.c.</t>
  </si>
  <si>
    <t>Ramas de alocat/ suplimentat pt Rezerva de ajustare 23% din rest de executat oferta de baza cheltuieli eligibile la 12.05.2022</t>
  </si>
  <si>
    <t>Ramas de alocat suplimentat pt Rezerva de ajustare 23% din rest de executat oferta de baza la 12.05.2022 98% bugetul statului cheltuieli eligibile</t>
  </si>
  <si>
    <t>Ramas de alocat/suplimentat pt Rezerva de ajustare 23% din rest de executat oferta de baza la 12.05.2022 2% cofinantare beneficiar/cjarges cheltuieli eligibile</t>
  </si>
  <si>
    <t>Ramas de alocat suplimentat pt Rezerva de ajustare 23% din rest de executat ncs  la 12.05.2022, cheltuieli neeligibile/ buget beneficiar cjarges</t>
  </si>
  <si>
    <r>
      <t>Formula de ajustare An=av+(1-av)*In/I</t>
    </r>
    <r>
      <rPr>
        <b/>
        <sz val="8"/>
        <color theme="1"/>
        <rFont val="Calibri"/>
        <family val="2"/>
        <charset val="238"/>
        <scheme val="minor"/>
      </rPr>
      <t>0</t>
    </r>
  </si>
  <si>
    <t>oferta de baza</t>
  </si>
  <si>
    <t>ajustare ncs iunie 2021 -11 mai 2022</t>
  </si>
  <si>
    <t>ajustare oferta  de baza iunie 2021- 11 mai 2022</t>
  </si>
  <si>
    <t>oferta revizuita ad.11 -iunie 2022 &amp;ajustare iunie2021-11mai2022</t>
  </si>
  <si>
    <t>crestere valoare contract cumulat (ncs-nr &amp; ajustare: 3.248.175,49lei; ajustare pret oferta de baza: 10.007.743,49 lei)</t>
  </si>
  <si>
    <t xml:space="preserve"> crestere valoare contract cumulat (ncs-nr &amp; ajustare: 2.833.424,63lei; ajustare pret oferta de baza: 4.815.784,34 lei)</t>
  </si>
  <si>
    <t>crestere valoare contract cu tva</t>
  </si>
  <si>
    <t>de cuprins in DG si buget luna iunie/iulie 2022</t>
  </si>
  <si>
    <t>de cuprins in DG si buget luna iulie/august 2022</t>
  </si>
  <si>
    <t>Modernizare DJ 504</t>
  </si>
  <si>
    <t>Ajustare pret achitata pana la 11.05.2022, total, d.c.:</t>
  </si>
  <si>
    <t>Diferente(+/-)  ctr executie ad1/ctr exec initial neeligibil</t>
  </si>
  <si>
    <t>Diferente(+/-)  ctr exec ad11/ctr exec initial eligibil</t>
  </si>
  <si>
    <t>Diferente(+/-) ctr exec ad11/ctr exec initial total, d.c.:</t>
  </si>
  <si>
    <t xml:space="preserve">     Ajustare NCS/NR 11.05.2022, neeligibil contractat si achitat</t>
  </si>
  <si>
    <t>Ajustare NCS/NR 30.04.2022, neeligibil contractat si achitat</t>
  </si>
  <si>
    <t>Ajustare pret oferta de baza, 11.05.2022 neeligibil achitat</t>
  </si>
  <si>
    <t xml:space="preserve">     Ajustare pret oferta de baza+ ncs, per.dec.2021- 11.05.2022 neeligibil de contractat si neachitat</t>
  </si>
  <si>
    <t xml:space="preserve">     Ajustare pret oferta de baza, per.dec.2021- 11.05.2022 neeligibil de contractat si neachitat</t>
  </si>
  <si>
    <t xml:space="preserve">     Ajustare pret ncs, per.dec.2021- 11.05.2022 neeligibil de contractat si neachitat</t>
  </si>
  <si>
    <t>Total ajustare ncs, dec 2021 - 11mai2022 &amp;  si ajustare rest ncs12mai2022 neeligibil cj arges</t>
  </si>
  <si>
    <t>Total ajustare de contractat si de achitat</t>
  </si>
  <si>
    <t>total de cuprins in DG si buget luna iunie/iulie/august 2022</t>
  </si>
  <si>
    <t>total ajustare rest 12 mai 2022 (total rez. de implementare)</t>
  </si>
  <si>
    <t>68148,543+4150,657+2326,243+12-1813,621</t>
  </si>
  <si>
    <t>Ajustare dif.decembrie 2021 si estimare ajustare perioada martie -sept 2022</t>
  </si>
  <si>
    <t>12 mai - 20 septembrie 2022</t>
  </si>
  <si>
    <t>Ajustare pret 12 mai -20 septembrie 2022</t>
  </si>
  <si>
    <t>Situatii de lucrari af. perioadei</t>
  </si>
  <si>
    <t>Ajustare pret contract iunie 2021 -sept 2022</t>
  </si>
  <si>
    <t>Total ajustare dif.dec2021-septembrie 2022</t>
  </si>
</sst>
</file>

<file path=xl/styles.xml><?xml version="1.0" encoding="utf-8"?>
<styleSheet xmlns="http://schemas.openxmlformats.org/spreadsheetml/2006/main">
  <numFmts count="6">
    <numFmt numFmtId="43" formatCode="_-* #,##0.00\ _l_e_i_-;\-* #,##0.00\ _l_e_i_-;_-* &quot;-&quot;??\ _l_e_i_-;_-@_-"/>
    <numFmt numFmtId="164" formatCode="#,##0.0000"/>
    <numFmt numFmtId="165" formatCode="#,##0.00;\-#,##0.00;"/>
    <numFmt numFmtId="166" formatCode="_-* #,##0.00_-;\-* #,##0.00_-;_-* &quot;-&quot;??_-;_-@_-"/>
    <numFmt numFmtId="167" formatCode="0.000%"/>
    <numFmt numFmtId="168" formatCode="0.000"/>
  </numFmts>
  <fonts count="2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rgb="FFFF0000"/>
      <name val="Arial Narrow"/>
      <family val="2"/>
    </font>
    <font>
      <b/>
      <sz val="10"/>
      <name val="Arial Narrow"/>
      <family val="2"/>
    </font>
    <font>
      <b/>
      <sz val="9"/>
      <color theme="1"/>
      <name val="Arial Narrow"/>
      <family val="2"/>
      <charset val="238"/>
    </font>
    <font>
      <b/>
      <sz val="11"/>
      <color theme="1"/>
      <name val="Arial Narrow"/>
      <family val="2"/>
    </font>
    <font>
      <sz val="9"/>
      <name val="Arial Narrow"/>
      <family val="2"/>
    </font>
    <font>
      <b/>
      <sz val="11"/>
      <color rgb="FFFF0000"/>
      <name val="Arial Narrow"/>
      <family val="2"/>
    </font>
    <font>
      <b/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color theme="1"/>
      <name val="Arial Narrow"/>
      <family val="2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n">
        <color rgb="FF000000"/>
      </left>
      <right style="thick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805">
    <xf numFmtId="0" fontId="0" fillId="0" borderId="0" xfId="0"/>
    <xf numFmtId="0" fontId="1" fillId="0" borderId="0" xfId="0" applyFont="1"/>
    <xf numFmtId="0" fontId="1" fillId="0" borderId="1" xfId="0" applyFont="1" applyBorder="1"/>
    <xf numFmtId="4" fontId="0" fillId="0" borderId="0" xfId="0" applyNumberFormat="1"/>
    <xf numFmtId="0" fontId="1" fillId="0" borderId="0" xfId="0" applyFont="1" applyAlignment="1">
      <alignment horizontal="center"/>
    </xf>
    <xf numFmtId="0" fontId="0" fillId="0" borderId="1" xfId="0" applyBorder="1"/>
    <xf numFmtId="4" fontId="0" fillId="0" borderId="1" xfId="0" applyNumberFormat="1" applyBorder="1"/>
    <xf numFmtId="17" fontId="1" fillId="0" borderId="0" xfId="0" applyNumberFormat="1" applyFont="1" applyAlignment="1">
      <alignment horizontal="center"/>
    </xf>
    <xf numFmtId="0" fontId="1" fillId="0" borderId="3" xfId="0" applyFont="1" applyBorder="1"/>
    <xf numFmtId="17" fontId="1" fillId="0" borderId="3" xfId="0" applyNumberFormat="1" applyFont="1" applyBorder="1"/>
    <xf numFmtId="4" fontId="1" fillId="0" borderId="1" xfId="0" applyNumberFormat="1" applyFont="1" applyBorder="1"/>
    <xf numFmtId="0" fontId="1" fillId="0" borderId="1" xfId="0" applyFont="1" applyFill="1" applyBorder="1"/>
    <xf numFmtId="4" fontId="0" fillId="0" borderId="1" xfId="0" applyNumberFormat="1" applyFill="1" applyBorder="1"/>
    <xf numFmtId="164" fontId="0" fillId="0" borderId="1" xfId="0" applyNumberFormat="1" applyFill="1" applyBorder="1"/>
    <xf numFmtId="10" fontId="0" fillId="0" borderId="1" xfId="0" applyNumberFormat="1" applyBorder="1"/>
    <xf numFmtId="0" fontId="0" fillId="0" borderId="4" xfId="0" applyBorder="1"/>
    <xf numFmtId="0" fontId="0" fillId="0" borderId="1" xfId="0" applyFill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5" fillId="2" borderId="5" xfId="0" applyFont="1" applyFill="1" applyBorder="1" applyAlignment="1">
      <alignment horizontal="left"/>
    </xf>
    <xf numFmtId="0" fontId="11" fillId="2" borderId="5" xfId="0" applyFont="1" applyFill="1" applyBorder="1" applyAlignment="1">
      <alignment horizontal="left"/>
    </xf>
    <xf numFmtId="165" fontId="11" fillId="2" borderId="6" xfId="0" applyNumberFormat="1" applyFont="1" applyFill="1" applyBorder="1" applyAlignment="1">
      <alignment horizontal="right"/>
    </xf>
    <xf numFmtId="10" fontId="6" fillId="2" borderId="7" xfId="1" applyNumberFormat="1" applyFont="1" applyFill="1" applyBorder="1"/>
    <xf numFmtId="2" fontId="11" fillId="2" borderId="10" xfId="0" applyNumberFormat="1" applyFont="1" applyFill="1" applyBorder="1" applyAlignment="1">
      <alignment horizontal="right"/>
    </xf>
    <xf numFmtId="10" fontId="6" fillId="2" borderId="11" xfId="1" applyNumberFormat="1" applyFont="1" applyFill="1" applyBorder="1"/>
    <xf numFmtId="10" fontId="6" fillId="2" borderId="10" xfId="0" applyNumberFormat="1" applyFont="1" applyFill="1" applyBorder="1" applyAlignment="1">
      <alignment horizontal="right"/>
    </xf>
    <xf numFmtId="2" fontId="11" fillId="2" borderId="6" xfId="0" applyNumberFormat="1" applyFont="1" applyFill="1" applyBorder="1" applyAlignment="1">
      <alignment horizontal="right"/>
    </xf>
    <xf numFmtId="10" fontId="11" fillId="2" borderId="1" xfId="0" applyNumberFormat="1" applyFont="1" applyFill="1" applyBorder="1" applyAlignment="1">
      <alignment horizontal="right"/>
    </xf>
    <xf numFmtId="2" fontId="6" fillId="0" borderId="0" xfId="0" applyNumberFormat="1" applyFont="1"/>
    <xf numFmtId="4" fontId="6" fillId="0" borderId="1" xfId="0" applyNumberFormat="1" applyFont="1" applyBorder="1"/>
    <xf numFmtId="4" fontId="6" fillId="0" borderId="0" xfId="0" applyNumberFormat="1" applyFont="1"/>
    <xf numFmtId="0" fontId="5" fillId="0" borderId="5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left"/>
    </xf>
    <xf numFmtId="165" fontId="7" fillId="0" borderId="1" xfId="0" applyNumberFormat="1" applyFont="1" applyFill="1" applyBorder="1" applyAlignment="1">
      <alignment horizontal="right"/>
    </xf>
    <xf numFmtId="10" fontId="6" fillId="3" borderId="7" xfId="1" applyNumberFormat="1" applyFont="1" applyFill="1" applyBorder="1"/>
    <xf numFmtId="2" fontId="6" fillId="3" borderId="8" xfId="0" applyNumberFormat="1" applyFont="1" applyFill="1" applyBorder="1"/>
    <xf numFmtId="2" fontId="6" fillId="3" borderId="9" xfId="0" applyNumberFormat="1" applyFont="1" applyFill="1" applyBorder="1"/>
    <xf numFmtId="2" fontId="6" fillId="3" borderId="1" xfId="0" applyNumberFormat="1" applyFont="1" applyFill="1" applyBorder="1"/>
    <xf numFmtId="10" fontId="6" fillId="3" borderId="11" xfId="1" applyNumberFormat="1" applyFont="1" applyFill="1" applyBorder="1"/>
    <xf numFmtId="10" fontId="6" fillId="3" borderId="10" xfId="0" applyNumberFormat="1" applyFont="1" applyFill="1" applyBorder="1" applyAlignment="1">
      <alignment horizontal="right"/>
    </xf>
    <xf numFmtId="2" fontId="6" fillId="3" borderId="7" xfId="0" applyNumberFormat="1" applyFont="1" applyFill="1" applyBorder="1"/>
    <xf numFmtId="10" fontId="6" fillId="0" borderId="7" xfId="1" applyNumberFormat="1" applyFont="1" applyFill="1" applyBorder="1"/>
    <xf numFmtId="2" fontId="6" fillId="0" borderId="8" xfId="0" applyNumberFormat="1" applyFont="1" applyFill="1" applyBorder="1"/>
    <xf numFmtId="2" fontId="6" fillId="0" borderId="12" xfId="0" applyNumberFormat="1" applyFont="1" applyFill="1" applyBorder="1"/>
    <xf numFmtId="10" fontId="6" fillId="0" borderId="1" xfId="0" applyNumberFormat="1" applyFont="1" applyFill="1" applyBorder="1"/>
    <xf numFmtId="2" fontId="6" fillId="0" borderId="1" xfId="0" applyNumberFormat="1" applyFont="1" applyFill="1" applyBorder="1"/>
    <xf numFmtId="166" fontId="7" fillId="0" borderId="5" xfId="0" applyNumberFormat="1" applyFont="1" applyFill="1" applyBorder="1" applyAlignment="1">
      <alignment horizontal="left" wrapText="1"/>
    </xf>
    <xf numFmtId="165" fontId="7" fillId="0" borderId="6" xfId="0" applyNumberFormat="1" applyFont="1" applyFill="1" applyBorder="1" applyAlignment="1">
      <alignment horizontal="right"/>
    </xf>
    <xf numFmtId="2" fontId="6" fillId="0" borderId="13" xfId="0" applyNumberFormat="1" applyFont="1" applyFill="1" applyBorder="1"/>
    <xf numFmtId="2" fontId="6" fillId="0" borderId="14" xfId="0" applyNumberFormat="1" applyFont="1" applyFill="1" applyBorder="1"/>
    <xf numFmtId="2" fontId="12" fillId="0" borderId="13" xfId="0" applyNumberFormat="1" applyFont="1" applyFill="1" applyBorder="1"/>
    <xf numFmtId="10" fontId="6" fillId="4" borderId="11" xfId="1" applyNumberFormat="1" applyFont="1" applyFill="1" applyBorder="1"/>
    <xf numFmtId="2" fontId="6" fillId="4" borderId="13" xfId="0" applyNumberFormat="1" applyFont="1" applyFill="1" applyBorder="1"/>
    <xf numFmtId="10" fontId="6" fillId="4" borderId="10" xfId="0" applyNumberFormat="1" applyFont="1" applyFill="1" applyBorder="1" applyAlignment="1">
      <alignment horizontal="right"/>
    </xf>
    <xf numFmtId="2" fontId="6" fillId="4" borderId="7" xfId="0" applyNumberFormat="1" applyFont="1" applyFill="1" applyBorder="1"/>
    <xf numFmtId="10" fontId="6" fillId="4" borderId="7" xfId="1" applyNumberFormat="1" applyFont="1" applyFill="1" applyBorder="1"/>
    <xf numFmtId="10" fontId="6" fillId="4" borderId="1" xfId="1" applyNumberFormat="1" applyFont="1" applyFill="1" applyBorder="1"/>
    <xf numFmtId="2" fontId="6" fillId="4" borderId="1" xfId="0" applyNumberFormat="1" applyFont="1" applyFill="1" applyBorder="1"/>
    <xf numFmtId="2" fontId="11" fillId="2" borderId="15" xfId="0" applyNumberFormat="1" applyFont="1" applyFill="1" applyBorder="1" applyAlignment="1">
      <alignment horizontal="right"/>
    </xf>
    <xf numFmtId="2" fontId="11" fillId="2" borderId="16" xfId="0" applyNumberFormat="1" applyFont="1" applyFill="1" applyBorder="1" applyAlignment="1">
      <alignment horizontal="right"/>
    </xf>
    <xf numFmtId="10" fontId="11" fillId="2" borderId="4" xfId="0" applyNumberFormat="1" applyFont="1" applyFill="1" applyBorder="1" applyAlignment="1">
      <alignment horizontal="right"/>
    </xf>
    <xf numFmtId="2" fontId="6" fillId="2" borderId="1" xfId="0" applyNumberFormat="1" applyFont="1" applyFill="1" applyBorder="1"/>
    <xf numFmtId="2" fontId="6" fillId="0" borderId="9" xfId="0" applyNumberFormat="1" applyFont="1" applyFill="1" applyBorder="1"/>
    <xf numFmtId="10" fontId="6" fillId="0" borderId="11" xfId="1" applyNumberFormat="1" applyFont="1" applyFill="1" applyBorder="1"/>
    <xf numFmtId="10" fontId="6" fillId="0" borderId="10" xfId="0" applyNumberFormat="1" applyFont="1" applyFill="1" applyBorder="1" applyAlignment="1">
      <alignment horizontal="right"/>
    </xf>
    <xf numFmtId="2" fontId="11" fillId="2" borderId="8" xfId="0" applyNumberFormat="1" applyFont="1" applyFill="1" applyBorder="1"/>
    <xf numFmtId="2" fontId="11" fillId="2" borderId="12" xfId="0" applyNumberFormat="1" applyFont="1" applyFill="1" applyBorder="1"/>
    <xf numFmtId="10" fontId="11" fillId="2" borderId="1" xfId="0" applyNumberFormat="1" applyFont="1" applyFill="1" applyBorder="1"/>
    <xf numFmtId="2" fontId="6" fillId="4" borderId="8" xfId="0" applyNumberFormat="1" applyFont="1" applyFill="1" applyBorder="1"/>
    <xf numFmtId="10" fontId="6" fillId="4" borderId="1" xfId="0" applyNumberFormat="1" applyFont="1" applyFill="1" applyBorder="1"/>
    <xf numFmtId="2" fontId="11" fillId="2" borderId="9" xfId="0" applyNumberFormat="1" applyFont="1" applyFill="1" applyBorder="1"/>
    <xf numFmtId="2" fontId="7" fillId="2" borderId="1" xfId="0" applyNumberFormat="1" applyFont="1" applyFill="1" applyBorder="1"/>
    <xf numFmtId="2" fontId="6" fillId="3" borderId="12" xfId="0" applyNumberFormat="1" applyFont="1" applyFill="1" applyBorder="1"/>
    <xf numFmtId="10" fontId="6" fillId="0" borderId="1" xfId="1" applyNumberFormat="1" applyFont="1" applyFill="1" applyBorder="1"/>
    <xf numFmtId="2" fontId="6" fillId="0" borderId="0" xfId="0" applyNumberFormat="1" applyFont="1" applyFill="1" applyBorder="1"/>
    <xf numFmtId="165" fontId="11" fillId="2" borderId="17" xfId="0" applyNumberFormat="1" applyFont="1" applyFill="1" applyBorder="1" applyAlignment="1">
      <alignment horizontal="right"/>
    </xf>
    <xf numFmtId="2" fontId="11" fillId="2" borderId="17" xfId="0" applyNumberFormat="1" applyFont="1" applyFill="1" applyBorder="1"/>
    <xf numFmtId="165" fontId="11" fillId="2" borderId="1" xfId="0" applyNumberFormat="1" applyFont="1" applyFill="1" applyBorder="1" applyAlignment="1">
      <alignment horizontal="right"/>
    </xf>
    <xf numFmtId="10" fontId="6" fillId="2" borderId="1" xfId="1" applyNumberFormat="1" applyFont="1" applyFill="1" applyBorder="1"/>
    <xf numFmtId="165" fontId="11" fillId="2" borderId="18" xfId="0" applyNumberFormat="1" applyFont="1" applyFill="1" applyBorder="1" applyAlignment="1">
      <alignment horizontal="right"/>
    </xf>
    <xf numFmtId="165" fontId="11" fillId="2" borderId="16" xfId="0" applyNumberFormat="1" applyFont="1" applyFill="1" applyBorder="1" applyAlignment="1">
      <alignment horizontal="right"/>
    </xf>
    <xf numFmtId="2" fontId="12" fillId="0" borderId="8" xfId="0" applyNumberFormat="1" applyFont="1" applyFill="1" applyBorder="1"/>
    <xf numFmtId="0" fontId="6" fillId="0" borderId="0" xfId="0" applyFont="1" applyFill="1"/>
    <xf numFmtId="165" fontId="7" fillId="0" borderId="0" xfId="0" applyNumberFormat="1" applyFont="1" applyFill="1" applyBorder="1" applyAlignment="1">
      <alignment horizontal="right"/>
    </xf>
    <xf numFmtId="2" fontId="6" fillId="0" borderId="7" xfId="0" applyNumberFormat="1" applyFont="1" applyFill="1" applyBorder="1"/>
    <xf numFmtId="10" fontId="12" fillId="4" borderId="7" xfId="1" applyNumberFormat="1" applyFont="1" applyFill="1" applyBorder="1"/>
    <xf numFmtId="2" fontId="12" fillId="4" borderId="1" xfId="0" applyNumberFormat="1" applyFont="1" applyFill="1" applyBorder="1"/>
    <xf numFmtId="10" fontId="6" fillId="0" borderId="7" xfId="0" applyNumberFormat="1" applyFont="1" applyFill="1" applyBorder="1"/>
    <xf numFmtId="165" fontId="7" fillId="0" borderId="6" xfId="0" applyNumberFormat="1" applyFont="1" applyFill="1" applyBorder="1" applyAlignment="1"/>
    <xf numFmtId="10" fontId="6" fillId="0" borderId="1" xfId="0" applyNumberFormat="1" applyFont="1" applyBorder="1"/>
    <xf numFmtId="2" fontId="6" fillId="0" borderId="1" xfId="0" applyNumberFormat="1" applyFont="1" applyBorder="1"/>
    <xf numFmtId="165" fontId="7" fillId="0" borderId="1" xfId="0" applyNumberFormat="1" applyFont="1" applyFill="1" applyBorder="1" applyAlignment="1"/>
    <xf numFmtId="167" fontId="6" fillId="0" borderId="8" xfId="0" applyNumberFormat="1" applyFont="1" applyFill="1" applyBorder="1"/>
    <xf numFmtId="2" fontId="6" fillId="0" borderId="12" xfId="0" applyNumberFormat="1" applyFont="1" applyBorder="1"/>
    <xf numFmtId="10" fontId="6" fillId="3" borderId="1" xfId="0" applyNumberFormat="1" applyFont="1" applyFill="1" applyBorder="1"/>
    <xf numFmtId="2" fontId="6" fillId="4" borderId="12" xfId="0" applyNumberFormat="1" applyFont="1" applyFill="1" applyBorder="1"/>
    <xf numFmtId="2" fontId="11" fillId="2" borderId="1" xfId="0" applyNumberFormat="1" applyFont="1" applyFill="1" applyBorder="1"/>
    <xf numFmtId="9" fontId="6" fillId="3" borderId="7" xfId="1" applyNumberFormat="1" applyFont="1" applyFill="1" applyBorder="1"/>
    <xf numFmtId="10" fontId="6" fillId="3" borderId="1" xfId="1" applyNumberFormat="1" applyFont="1" applyFill="1" applyBorder="1"/>
    <xf numFmtId="10" fontId="6" fillId="2" borderId="1" xfId="0" applyNumberFormat="1" applyFont="1" applyFill="1" applyBorder="1"/>
    <xf numFmtId="2" fontId="6" fillId="5" borderId="1" xfId="0" applyNumberFormat="1" applyFont="1" applyFill="1" applyBorder="1"/>
    <xf numFmtId="0" fontId="11" fillId="0" borderId="5" xfId="0" applyFont="1" applyFill="1" applyBorder="1" applyAlignment="1">
      <alignment horizontal="left"/>
    </xf>
    <xf numFmtId="10" fontId="6" fillId="6" borderId="7" xfId="1" applyNumberFormat="1" applyFont="1" applyFill="1" applyBorder="1"/>
    <xf numFmtId="2" fontId="6" fillId="6" borderId="1" xfId="0" applyNumberFormat="1" applyFont="1" applyFill="1" applyBorder="1"/>
    <xf numFmtId="2" fontId="6" fillId="6" borderId="12" xfId="0" applyNumberFormat="1" applyFont="1" applyFill="1" applyBorder="1"/>
    <xf numFmtId="0" fontId="5" fillId="2" borderId="19" xfId="0" applyFont="1" applyFill="1" applyBorder="1" applyAlignment="1">
      <alignment horizontal="left"/>
    </xf>
    <xf numFmtId="0" fontId="11" fillId="2" borderId="19" xfId="0" applyFont="1" applyFill="1" applyBorder="1" applyAlignment="1">
      <alignment horizontal="left"/>
    </xf>
    <xf numFmtId="165" fontId="11" fillId="2" borderId="20" xfId="0" applyNumberFormat="1" applyFont="1" applyFill="1" applyBorder="1" applyAlignment="1">
      <alignment horizontal="right"/>
    </xf>
    <xf numFmtId="2" fontId="6" fillId="0" borderId="21" xfId="0" applyNumberFormat="1" applyFont="1" applyFill="1" applyBorder="1"/>
    <xf numFmtId="2" fontId="6" fillId="0" borderId="22" xfId="0" applyNumberFormat="1" applyFont="1" applyFill="1" applyBorder="1"/>
    <xf numFmtId="2" fontId="6" fillId="3" borderId="21" xfId="0" applyNumberFormat="1" applyFont="1" applyFill="1" applyBorder="1"/>
    <xf numFmtId="10" fontId="6" fillId="6" borderId="11" xfId="1" applyNumberFormat="1" applyFont="1" applyFill="1" applyBorder="1"/>
    <xf numFmtId="2" fontId="6" fillId="6" borderId="23" xfId="0" applyNumberFormat="1" applyFont="1" applyFill="1" applyBorder="1"/>
    <xf numFmtId="0" fontId="5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10" fontId="6" fillId="6" borderId="1" xfId="1" applyNumberFormat="1" applyFont="1" applyFill="1" applyBorder="1"/>
    <xf numFmtId="0" fontId="6" fillId="0" borderId="0" xfId="0" applyFont="1" applyFill="1" applyBorder="1"/>
    <xf numFmtId="0" fontId="5" fillId="2" borderId="4" xfId="0" applyFont="1" applyFill="1" applyBorder="1" applyAlignment="1">
      <alignment horizontal="left"/>
    </xf>
    <xf numFmtId="0" fontId="11" fillId="2" borderId="4" xfId="0" applyFont="1" applyFill="1" applyBorder="1" applyAlignment="1">
      <alignment horizontal="left"/>
    </xf>
    <xf numFmtId="165" fontId="11" fillId="2" borderId="4" xfId="0" applyNumberFormat="1" applyFont="1" applyFill="1" applyBorder="1" applyAlignment="1">
      <alignment horizontal="right"/>
    </xf>
    <xf numFmtId="2" fontId="7" fillId="2" borderId="17" xfId="0" applyNumberFormat="1" applyFont="1" applyFill="1" applyBorder="1"/>
    <xf numFmtId="10" fontId="6" fillId="2" borderId="24" xfId="1" applyNumberFormat="1" applyFont="1" applyFill="1" applyBorder="1"/>
    <xf numFmtId="2" fontId="7" fillId="2" borderId="25" xfId="0" applyNumberFormat="1" applyFont="1" applyFill="1" applyBorder="1"/>
    <xf numFmtId="10" fontId="7" fillId="2" borderId="1" xfId="0" applyNumberFormat="1" applyFont="1" applyFill="1" applyBorder="1"/>
    <xf numFmtId="10" fontId="6" fillId="5" borderId="24" xfId="1" applyNumberFormat="1" applyFont="1" applyFill="1" applyBorder="1"/>
    <xf numFmtId="0" fontId="7" fillId="0" borderId="1" xfId="0" applyFont="1" applyFill="1" applyBorder="1" applyAlignment="1">
      <alignment horizontal="left"/>
    </xf>
    <xf numFmtId="0" fontId="5" fillId="0" borderId="26" xfId="0" applyFont="1" applyFill="1" applyBorder="1" applyAlignment="1">
      <alignment horizontal="left"/>
    </xf>
    <xf numFmtId="0" fontId="7" fillId="0" borderId="27" xfId="0" applyFont="1" applyFill="1" applyBorder="1" applyAlignment="1">
      <alignment horizontal="left"/>
    </xf>
    <xf numFmtId="165" fontId="7" fillId="0" borderId="28" xfId="0" applyNumberFormat="1" applyFont="1" applyFill="1" applyBorder="1" applyAlignment="1">
      <alignment horizontal="right"/>
    </xf>
    <xf numFmtId="10" fontId="6" fillId="0" borderId="29" xfId="0" applyNumberFormat="1" applyFont="1" applyFill="1" applyBorder="1" applyAlignment="1">
      <alignment horizontal="right"/>
    </xf>
    <xf numFmtId="2" fontId="6" fillId="0" borderId="23" xfId="0" applyNumberFormat="1" applyFont="1" applyBorder="1"/>
    <xf numFmtId="10" fontId="6" fillId="0" borderId="3" xfId="0" applyNumberFormat="1" applyFont="1" applyBorder="1"/>
    <xf numFmtId="2" fontId="6" fillId="0" borderId="3" xfId="0" applyNumberFormat="1" applyFont="1" applyBorder="1"/>
    <xf numFmtId="2" fontId="6" fillId="3" borderId="3" xfId="0" applyNumberFormat="1" applyFont="1" applyFill="1" applyBorder="1"/>
    <xf numFmtId="0" fontId="11" fillId="0" borderId="6" xfId="0" applyFont="1" applyFill="1" applyBorder="1"/>
    <xf numFmtId="0" fontId="11" fillId="0" borderId="30" xfId="0" applyFont="1" applyFill="1" applyBorder="1"/>
    <xf numFmtId="4" fontId="11" fillId="0" borderId="30" xfId="0" applyNumberFormat="1" applyFont="1" applyFill="1" applyBorder="1" applyAlignment="1" applyProtection="1">
      <alignment horizontal="right"/>
      <protection hidden="1"/>
    </xf>
    <xf numFmtId="0" fontId="6" fillId="0" borderId="30" xfId="0" applyFont="1" applyFill="1" applyBorder="1"/>
    <xf numFmtId="2" fontId="11" fillId="0" borderId="30" xfId="0" applyNumberFormat="1" applyFont="1" applyFill="1" applyBorder="1"/>
    <xf numFmtId="10" fontId="6" fillId="0" borderId="30" xfId="0" applyNumberFormat="1" applyFont="1" applyBorder="1"/>
    <xf numFmtId="2" fontId="11" fillId="0" borderId="30" xfId="0" applyNumberFormat="1" applyFont="1" applyBorder="1"/>
    <xf numFmtId="0" fontId="6" fillId="0" borderId="30" xfId="0" applyFont="1" applyBorder="1"/>
    <xf numFmtId="10" fontId="6" fillId="0" borderId="30" xfId="1" applyNumberFormat="1" applyFont="1" applyFill="1" applyBorder="1"/>
    <xf numFmtId="4" fontId="7" fillId="0" borderId="4" xfId="0" applyNumberFormat="1" applyFont="1" applyBorder="1" applyAlignment="1"/>
    <xf numFmtId="4" fontId="7" fillId="0" borderId="25" xfId="0" applyNumberFormat="1" applyFont="1" applyBorder="1" applyAlignment="1"/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4" fontId="11" fillId="2" borderId="6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4" fontId="6" fillId="3" borderId="7" xfId="1" applyNumberFormat="1" applyFont="1" applyFill="1" applyBorder="1"/>
    <xf numFmtId="4" fontId="6" fillId="3" borderId="11" xfId="1" applyNumberFormat="1" applyFont="1" applyFill="1" applyBorder="1"/>
    <xf numFmtId="4" fontId="6" fillId="0" borderId="7" xfId="1" applyNumberFormat="1" applyFont="1" applyFill="1" applyBorder="1"/>
    <xf numFmtId="4" fontId="6" fillId="4" borderId="11" xfId="1" applyNumberFormat="1" applyFont="1" applyFill="1" applyBorder="1"/>
    <xf numFmtId="4" fontId="11" fillId="2" borderId="4" xfId="0" applyNumberFormat="1" applyFont="1" applyFill="1" applyBorder="1" applyAlignment="1">
      <alignment horizontal="right"/>
    </xf>
    <xf numFmtId="4" fontId="6" fillId="0" borderId="11" xfId="1" applyNumberFormat="1" applyFont="1" applyFill="1" applyBorder="1"/>
    <xf numFmtId="4" fontId="7" fillId="0" borderId="0" xfId="0" applyNumberFormat="1" applyFont="1" applyFill="1" applyBorder="1" applyAlignment="1">
      <alignment horizontal="right"/>
    </xf>
    <xf numFmtId="4" fontId="6" fillId="6" borderId="7" xfId="1" applyNumberFormat="1" applyFont="1" applyFill="1" applyBorder="1"/>
    <xf numFmtId="4" fontId="6" fillId="6" borderId="1" xfId="0" applyNumberFormat="1" applyFont="1" applyFill="1" applyBorder="1"/>
    <xf numFmtId="4" fontId="6" fillId="6" borderId="12" xfId="0" applyNumberFormat="1" applyFont="1" applyFill="1" applyBorder="1"/>
    <xf numFmtId="4" fontId="6" fillId="6" borderId="11" xfId="1" applyNumberFormat="1" applyFont="1" applyFill="1" applyBorder="1"/>
    <xf numFmtId="4" fontId="6" fillId="6" borderId="23" xfId="0" applyNumberFormat="1" applyFont="1" applyFill="1" applyBorder="1"/>
    <xf numFmtId="4" fontId="6" fillId="6" borderId="1" xfId="1" applyNumberFormat="1" applyFont="1" applyFill="1" applyBorder="1"/>
    <xf numFmtId="0" fontId="6" fillId="0" borderId="0" xfId="0" applyFont="1" applyAlignment="1">
      <alignment horizontal="right"/>
    </xf>
    <xf numFmtId="0" fontId="5" fillId="0" borderId="6" xfId="0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right" vertical="center"/>
    </xf>
    <xf numFmtId="4" fontId="6" fillId="0" borderId="0" xfId="0" applyNumberFormat="1" applyFont="1" applyAlignment="1">
      <alignment horizontal="right"/>
    </xf>
    <xf numFmtId="0" fontId="7" fillId="0" borderId="12" xfId="0" applyFont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wrapText="1"/>
    </xf>
    <xf numFmtId="4" fontId="11" fillId="0" borderId="0" xfId="0" applyNumberFormat="1" applyFont="1" applyFill="1" applyBorder="1" applyAlignment="1">
      <alignment horizontal="right"/>
    </xf>
    <xf numFmtId="4" fontId="6" fillId="6" borderId="10" xfId="0" applyNumberFormat="1" applyFont="1" applyFill="1" applyBorder="1" applyAlignment="1">
      <alignment horizontal="right"/>
    </xf>
    <xf numFmtId="4" fontId="6" fillId="6" borderId="8" xfId="0" applyNumberFormat="1" applyFont="1" applyFill="1" applyBorder="1"/>
    <xf numFmtId="4" fontId="6" fillId="6" borderId="9" xfId="0" applyNumberFormat="1" applyFont="1" applyFill="1" applyBorder="1"/>
    <xf numFmtId="4" fontId="6" fillId="6" borderId="13" xfId="0" applyNumberFormat="1" applyFont="1" applyFill="1" applyBorder="1"/>
    <xf numFmtId="4" fontId="6" fillId="6" borderId="14" xfId="0" applyNumberFormat="1" applyFont="1" applyFill="1" applyBorder="1"/>
    <xf numFmtId="4" fontId="12" fillId="6" borderId="13" xfId="0" applyNumberFormat="1" applyFont="1" applyFill="1" applyBorder="1"/>
    <xf numFmtId="4" fontId="11" fillId="6" borderId="1" xfId="0" applyNumberFormat="1" applyFont="1" applyFill="1" applyBorder="1" applyAlignment="1">
      <alignment horizontal="right"/>
    </xf>
    <xf numFmtId="4" fontId="6" fillId="6" borderId="21" xfId="0" applyNumberFormat="1" applyFont="1" applyFill="1" applyBorder="1"/>
    <xf numFmtId="4" fontId="6" fillId="6" borderId="22" xfId="0" applyNumberFormat="1" applyFont="1" applyFill="1" applyBorder="1"/>
    <xf numFmtId="4" fontId="6" fillId="6" borderId="29" xfId="0" applyNumberFormat="1" applyFont="1" applyFill="1" applyBorder="1" applyAlignment="1">
      <alignment horizontal="right"/>
    </xf>
    <xf numFmtId="4" fontId="11" fillId="6" borderId="6" xfId="0" applyNumberFormat="1" applyFont="1" applyFill="1" applyBorder="1" applyAlignment="1">
      <alignment horizontal="right"/>
    </xf>
    <xf numFmtId="4" fontId="11" fillId="6" borderId="4" xfId="0" applyNumberFormat="1" applyFont="1" applyFill="1" applyBorder="1" applyAlignment="1">
      <alignment horizontal="right"/>
    </xf>
    <xf numFmtId="4" fontId="11" fillId="6" borderId="1" xfId="0" applyNumberFormat="1" applyFont="1" applyFill="1" applyBorder="1"/>
    <xf numFmtId="4" fontId="12" fillId="6" borderId="7" xfId="1" applyNumberFormat="1" applyFont="1" applyFill="1" applyBorder="1"/>
    <xf numFmtId="4" fontId="6" fillId="6" borderId="7" xfId="0" applyNumberFormat="1" applyFont="1" applyFill="1" applyBorder="1"/>
    <xf numFmtId="4" fontId="6" fillId="6" borderId="24" xfId="1" applyNumberFormat="1" applyFont="1" applyFill="1" applyBorder="1"/>
    <xf numFmtId="4" fontId="7" fillId="6" borderId="1" xfId="0" applyNumberFormat="1" applyFont="1" applyFill="1" applyBorder="1"/>
    <xf numFmtId="4" fontId="6" fillId="6" borderId="3" xfId="0" applyNumberFormat="1" applyFont="1" applyFill="1" applyBorder="1"/>
    <xf numFmtId="4" fontId="11" fillId="6" borderId="30" xfId="0" applyNumberFormat="1" applyFont="1" applyFill="1" applyBorder="1" applyAlignment="1" applyProtection="1">
      <alignment horizontal="right"/>
      <protection hidden="1"/>
    </xf>
    <xf numFmtId="0" fontId="6" fillId="6" borderId="0" xfId="0" applyFont="1" applyFill="1"/>
    <xf numFmtId="2" fontId="11" fillId="6" borderId="6" xfId="0" applyNumberFormat="1" applyFont="1" applyFill="1" applyBorder="1" applyAlignment="1">
      <alignment horizontal="right"/>
    </xf>
    <xf numFmtId="4" fontId="6" fillId="6" borderId="0" xfId="0" applyNumberFormat="1" applyFont="1" applyFill="1"/>
    <xf numFmtId="4" fontId="13" fillId="2" borderId="6" xfId="0" applyNumberFormat="1" applyFont="1" applyFill="1" applyBorder="1" applyAlignment="1">
      <alignment horizontal="right"/>
    </xf>
    <xf numFmtId="4" fontId="13" fillId="6" borderId="30" xfId="0" applyNumberFormat="1" applyFont="1" applyFill="1" applyBorder="1" applyAlignment="1" applyProtection="1">
      <alignment horizontal="right"/>
      <protection hidden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2" fontId="11" fillId="2" borderId="0" xfId="0" applyNumberFormat="1" applyFont="1" applyFill="1" applyBorder="1" applyAlignment="1">
      <alignment horizontal="right"/>
    </xf>
    <xf numFmtId="0" fontId="6" fillId="0" borderId="7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4" fontId="11" fillId="6" borderId="16" xfId="0" applyNumberFormat="1" applyFont="1" applyFill="1" applyBorder="1" applyAlignment="1">
      <alignment horizontal="right"/>
    </xf>
    <xf numFmtId="4" fontId="12" fillId="6" borderId="8" xfId="0" applyNumberFormat="1" applyFont="1" applyFill="1" applyBorder="1"/>
    <xf numFmtId="0" fontId="14" fillId="2" borderId="5" xfId="0" applyFont="1" applyFill="1" applyBorder="1" applyAlignment="1">
      <alignment horizontal="left"/>
    </xf>
    <xf numFmtId="4" fontId="14" fillId="2" borderId="6" xfId="0" applyNumberFormat="1" applyFont="1" applyFill="1" applyBorder="1" applyAlignment="1">
      <alignment horizontal="right"/>
    </xf>
    <xf numFmtId="4" fontId="10" fillId="2" borderId="7" xfId="1" applyNumberFormat="1" applyFont="1" applyFill="1" applyBorder="1"/>
    <xf numFmtId="4" fontId="14" fillId="2" borderId="10" xfId="0" applyNumberFormat="1" applyFont="1" applyFill="1" applyBorder="1" applyAlignment="1">
      <alignment horizontal="right"/>
    </xf>
    <xf numFmtId="4" fontId="14" fillId="2" borderId="15" xfId="0" applyNumberFormat="1" applyFont="1" applyFill="1" applyBorder="1" applyAlignment="1">
      <alignment horizontal="right"/>
    </xf>
    <xf numFmtId="4" fontId="10" fillId="2" borderId="11" xfId="1" applyNumberFormat="1" applyFont="1" applyFill="1" applyBorder="1"/>
    <xf numFmtId="4" fontId="10" fillId="2" borderId="10" xfId="0" applyNumberFormat="1" applyFont="1" applyFill="1" applyBorder="1" applyAlignment="1">
      <alignment horizontal="right"/>
    </xf>
    <xf numFmtId="4" fontId="14" fillId="2" borderId="16" xfId="0" applyNumberFormat="1" applyFont="1" applyFill="1" applyBorder="1" applyAlignment="1">
      <alignment horizontal="right"/>
    </xf>
    <xf numFmtId="4" fontId="14" fillId="2" borderId="4" xfId="0" applyNumberFormat="1" applyFont="1" applyFill="1" applyBorder="1" applyAlignment="1">
      <alignment horizontal="right"/>
    </xf>
    <xf numFmtId="4" fontId="14" fillId="2" borderId="1" xfId="0" applyNumberFormat="1" applyFont="1" applyFill="1" applyBorder="1" applyAlignment="1">
      <alignment horizontal="right"/>
    </xf>
    <xf numFmtId="4" fontId="10" fillId="2" borderId="7" xfId="0" applyNumberFormat="1" applyFont="1" applyFill="1" applyBorder="1"/>
    <xf numFmtId="4" fontId="10" fillId="2" borderId="12" xfId="0" applyNumberFormat="1" applyFont="1" applyFill="1" applyBorder="1"/>
    <xf numFmtId="4" fontId="10" fillId="2" borderId="1" xfId="0" applyNumberFormat="1" applyFont="1" applyFill="1" applyBorder="1"/>
    <xf numFmtId="0" fontId="10" fillId="0" borderId="0" xfId="0" applyFont="1"/>
    <xf numFmtId="4" fontId="14" fillId="2" borderId="8" xfId="0" applyNumberFormat="1" applyFont="1" applyFill="1" applyBorder="1"/>
    <xf numFmtId="4" fontId="14" fillId="2" borderId="12" xfId="0" applyNumberFormat="1" applyFont="1" applyFill="1" applyBorder="1"/>
    <xf numFmtId="4" fontId="14" fillId="2" borderId="1" xfId="0" applyNumberFormat="1" applyFont="1" applyFill="1" applyBorder="1"/>
    <xf numFmtId="4" fontId="14" fillId="2" borderId="9" xfId="0" applyNumberFormat="1" applyFont="1" applyFill="1" applyBorder="1"/>
    <xf numFmtId="4" fontId="14" fillId="2" borderId="17" xfId="0" applyNumberFormat="1" applyFont="1" applyFill="1" applyBorder="1" applyAlignment="1">
      <alignment horizontal="right"/>
    </xf>
    <xf numFmtId="4" fontId="14" fillId="2" borderId="17" xfId="0" applyNumberFormat="1" applyFont="1" applyFill="1" applyBorder="1"/>
    <xf numFmtId="4" fontId="10" fillId="2" borderId="1" xfId="1" applyNumberFormat="1" applyFont="1" applyFill="1" applyBorder="1"/>
    <xf numFmtId="0" fontId="5" fillId="0" borderId="38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5" fillId="0" borderId="44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5" fillId="0" borderId="45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45" xfId="0" applyFont="1" applyFill="1" applyBorder="1" applyAlignment="1">
      <alignment horizontal="center" vertical="center"/>
    </xf>
    <xf numFmtId="0" fontId="10" fillId="2" borderId="45" xfId="0" applyFont="1" applyFill="1" applyBorder="1" applyAlignment="1">
      <alignment horizontal="left"/>
    </xf>
    <xf numFmtId="4" fontId="10" fillId="2" borderId="8" xfId="0" applyNumberFormat="1" applyFont="1" applyFill="1" applyBorder="1"/>
    <xf numFmtId="0" fontId="5" fillId="0" borderId="45" xfId="0" applyFont="1" applyFill="1" applyBorder="1" applyAlignment="1">
      <alignment horizontal="left"/>
    </xf>
    <xf numFmtId="0" fontId="5" fillId="0" borderId="47" xfId="0" applyFont="1" applyFill="1" applyBorder="1" applyAlignment="1">
      <alignment horizontal="left"/>
    </xf>
    <xf numFmtId="4" fontId="14" fillId="2" borderId="0" xfId="0" applyNumberFormat="1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4" fontId="10" fillId="2" borderId="9" xfId="0" applyNumberFormat="1" applyFont="1" applyFill="1" applyBorder="1"/>
    <xf numFmtId="0" fontId="5" fillId="0" borderId="46" xfId="0" applyFont="1" applyFill="1" applyBorder="1" applyAlignment="1">
      <alignment horizontal="left"/>
    </xf>
    <xf numFmtId="0" fontId="11" fillId="0" borderId="19" xfId="0" applyFont="1" applyFill="1" applyBorder="1" applyAlignment="1">
      <alignment horizontal="left"/>
    </xf>
    <xf numFmtId="4" fontId="7" fillId="0" borderId="3" xfId="0" applyNumberFormat="1" applyFont="1" applyFill="1" applyBorder="1" applyAlignment="1">
      <alignment horizontal="right"/>
    </xf>
    <xf numFmtId="4" fontId="6" fillId="6" borderId="11" xfId="0" applyNumberFormat="1" applyFont="1" applyFill="1" applyBorder="1"/>
    <xf numFmtId="4" fontId="11" fillId="6" borderId="20" xfId="0" applyNumberFormat="1" applyFont="1" applyFill="1" applyBorder="1" applyAlignment="1">
      <alignment horizontal="right"/>
    </xf>
    <xf numFmtId="4" fontId="11" fillId="6" borderId="3" xfId="0" applyNumberFormat="1" applyFont="1" applyFill="1" applyBorder="1" applyAlignment="1">
      <alignment horizontal="right"/>
    </xf>
    <xf numFmtId="0" fontId="5" fillId="0" borderId="48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4" fontId="11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>
      <alignment horizontal="right"/>
    </xf>
    <xf numFmtId="4" fontId="6" fillId="0" borderId="24" xfId="1" applyNumberFormat="1" applyFont="1" applyFill="1" applyBorder="1"/>
    <xf numFmtId="4" fontId="6" fillId="6" borderId="4" xfId="0" applyNumberFormat="1" applyFont="1" applyFill="1" applyBorder="1"/>
    <xf numFmtId="4" fontId="6" fillId="6" borderId="49" xfId="1" applyNumberFormat="1" applyFont="1" applyFill="1" applyBorder="1"/>
    <xf numFmtId="4" fontId="6" fillId="6" borderId="50" xfId="0" applyNumberFormat="1" applyFont="1" applyFill="1" applyBorder="1" applyAlignment="1">
      <alignment horizontal="right"/>
    </xf>
    <xf numFmtId="4" fontId="6" fillId="6" borderId="24" xfId="0" applyNumberFormat="1" applyFont="1" applyFill="1" applyBorder="1"/>
    <xf numFmtId="4" fontId="6" fillId="6" borderId="4" xfId="1" applyNumberFormat="1" applyFont="1" applyFill="1" applyBorder="1"/>
    <xf numFmtId="4" fontId="6" fillId="6" borderId="25" xfId="0" applyNumberFormat="1" applyFont="1" applyFill="1" applyBorder="1"/>
    <xf numFmtId="4" fontId="6" fillId="6" borderId="17" xfId="0" applyNumberFormat="1" applyFont="1" applyFill="1" applyBorder="1"/>
    <xf numFmtId="0" fontId="10" fillId="2" borderId="51" xfId="0" applyFont="1" applyFill="1" applyBorder="1" applyAlignment="1">
      <alignment horizontal="left"/>
    </xf>
    <xf numFmtId="0" fontId="14" fillId="2" borderId="52" xfId="0" applyFont="1" applyFill="1" applyBorder="1" applyAlignment="1">
      <alignment horizontal="left"/>
    </xf>
    <xf numFmtId="4" fontId="14" fillId="2" borderId="37" xfId="0" applyNumberFormat="1" applyFont="1" applyFill="1" applyBorder="1" applyAlignment="1">
      <alignment horizontal="right"/>
    </xf>
    <xf numFmtId="4" fontId="15" fillId="2" borderId="53" xfId="0" applyNumberFormat="1" applyFont="1" applyFill="1" applyBorder="1" applyAlignment="1">
      <alignment horizontal="right"/>
    </xf>
    <xf numFmtId="4" fontId="10" fillId="2" borderId="54" xfId="1" applyNumberFormat="1" applyFont="1" applyFill="1" applyBorder="1"/>
    <xf numFmtId="4" fontId="10" fillId="2" borderId="55" xfId="0" applyNumberFormat="1" applyFont="1" applyFill="1" applyBorder="1"/>
    <xf numFmtId="4" fontId="10" fillId="2" borderId="56" xfId="0" applyNumberFormat="1" applyFont="1" applyFill="1" applyBorder="1"/>
    <xf numFmtId="4" fontId="10" fillId="2" borderId="57" xfId="0" applyNumberFormat="1" applyFont="1" applyFill="1" applyBorder="1" applyAlignment="1">
      <alignment horizontal="right"/>
    </xf>
    <xf numFmtId="4" fontId="10" fillId="2" borderId="54" xfId="0" applyNumberFormat="1" applyFont="1" applyFill="1" applyBorder="1"/>
    <xf numFmtId="4" fontId="10" fillId="2" borderId="58" xfId="0" applyNumberFormat="1" applyFont="1" applyFill="1" applyBorder="1"/>
    <xf numFmtId="4" fontId="14" fillId="2" borderId="59" xfId="0" applyNumberFormat="1" applyFont="1" applyFill="1" applyBorder="1" applyAlignment="1">
      <alignment horizontal="right"/>
    </xf>
    <xf numFmtId="4" fontId="10" fillId="2" borderId="53" xfId="0" applyNumberFormat="1" applyFont="1" applyFill="1" applyBorder="1"/>
    <xf numFmtId="4" fontId="14" fillId="2" borderId="53" xfId="0" applyNumberFormat="1" applyFont="1" applyFill="1" applyBorder="1" applyAlignment="1">
      <alignment horizontal="right"/>
    </xf>
    <xf numFmtId="0" fontId="10" fillId="2" borderId="48" xfId="0" applyFont="1" applyFill="1" applyBorder="1" applyAlignment="1">
      <alignment horizontal="left"/>
    </xf>
    <xf numFmtId="0" fontId="14" fillId="2" borderId="4" xfId="0" applyFont="1" applyFill="1" applyBorder="1" applyAlignment="1">
      <alignment horizontal="left"/>
    </xf>
    <xf numFmtId="4" fontId="15" fillId="2" borderId="17" xfId="0" applyNumberFormat="1" applyFont="1" applyFill="1" applyBorder="1"/>
    <xf numFmtId="4" fontId="10" fillId="2" borderId="24" xfId="1" applyNumberFormat="1" applyFont="1" applyFill="1" applyBorder="1"/>
    <xf numFmtId="4" fontId="15" fillId="2" borderId="25" xfId="0" applyNumberFormat="1" applyFont="1" applyFill="1" applyBorder="1"/>
    <xf numFmtId="4" fontId="15" fillId="2" borderId="1" xfId="0" applyNumberFormat="1" applyFont="1" applyFill="1" applyBorder="1"/>
    <xf numFmtId="0" fontId="5" fillId="0" borderId="60" xfId="0" applyFont="1" applyFill="1" applyBorder="1" applyAlignment="1">
      <alignment horizontal="left"/>
    </xf>
    <xf numFmtId="0" fontId="14" fillId="2" borderId="33" xfId="0" applyFont="1" applyFill="1" applyBorder="1"/>
    <xf numFmtId="0" fontId="14" fillId="2" borderId="30" xfId="0" applyFont="1" applyFill="1" applyBorder="1"/>
    <xf numFmtId="4" fontId="14" fillId="2" borderId="30" xfId="0" applyNumberFormat="1" applyFont="1" applyFill="1" applyBorder="1" applyAlignment="1" applyProtection="1">
      <alignment horizontal="right"/>
      <protection hidden="1"/>
    </xf>
    <xf numFmtId="4" fontId="14" fillId="2" borderId="33" xfId="0" applyNumberFormat="1" applyFont="1" applyFill="1" applyBorder="1" applyAlignment="1" applyProtection="1">
      <alignment horizontal="right"/>
      <protection hidden="1"/>
    </xf>
    <xf numFmtId="4" fontId="14" fillId="2" borderId="37" xfId="0" applyNumberFormat="1" applyFont="1" applyFill="1" applyBorder="1" applyAlignment="1" applyProtection="1">
      <alignment horizontal="right"/>
      <protection hidden="1"/>
    </xf>
    <xf numFmtId="4" fontId="14" fillId="2" borderId="55" xfId="0" applyNumberFormat="1" applyFont="1" applyFill="1" applyBorder="1" applyAlignment="1" applyProtection="1">
      <alignment horizontal="right"/>
      <protection hidden="1"/>
    </xf>
    <xf numFmtId="4" fontId="16" fillId="6" borderId="30" xfId="0" applyNumberFormat="1" applyFont="1" applyFill="1" applyBorder="1" applyAlignment="1" applyProtection="1">
      <alignment horizontal="right"/>
      <protection hidden="1"/>
    </xf>
    <xf numFmtId="4" fontId="0" fillId="0" borderId="61" xfId="0" applyNumberFormat="1" applyBorder="1"/>
    <xf numFmtId="4" fontId="0" fillId="0" borderId="62" xfId="0" applyNumberFormat="1" applyBorder="1"/>
    <xf numFmtId="0" fontId="0" fillId="0" borderId="63" xfId="0" applyBorder="1"/>
    <xf numFmtId="0" fontId="1" fillId="0" borderId="33" xfId="0" applyFont="1" applyBorder="1"/>
    <xf numFmtId="0" fontId="1" fillId="0" borderId="30" xfId="0" applyFont="1" applyBorder="1"/>
    <xf numFmtId="4" fontId="0" fillId="0" borderId="32" xfId="0" applyNumberFormat="1" applyBorder="1"/>
    <xf numFmtId="4" fontId="0" fillId="0" borderId="30" xfId="0" applyNumberFormat="1" applyBorder="1"/>
    <xf numFmtId="4" fontId="0" fillId="0" borderId="12" xfId="0" applyNumberFormat="1" applyBorder="1"/>
    <xf numFmtId="4" fontId="0" fillId="0" borderId="7" xfId="0" applyNumberFormat="1" applyBorder="1"/>
    <xf numFmtId="4" fontId="0" fillId="0" borderId="3" xfId="0" applyNumberFormat="1" applyBorder="1"/>
    <xf numFmtId="4" fontId="0" fillId="0" borderId="4" xfId="0" applyNumberFormat="1" applyBorder="1"/>
    <xf numFmtId="4" fontId="1" fillId="0" borderId="0" xfId="0" applyNumberFormat="1" applyFont="1"/>
    <xf numFmtId="0" fontId="1" fillId="0" borderId="33" xfId="0" applyFont="1" applyFill="1" applyBorder="1"/>
    <xf numFmtId="0" fontId="0" fillId="0" borderId="37" xfId="0" applyBorder="1"/>
    <xf numFmtId="4" fontId="1" fillId="0" borderId="64" xfId="0" applyNumberFormat="1" applyFont="1" applyBorder="1"/>
    <xf numFmtId="4" fontId="1" fillId="0" borderId="30" xfId="0" applyNumberFormat="1" applyFont="1" applyBorder="1"/>
    <xf numFmtId="0" fontId="0" fillId="0" borderId="66" xfId="0" applyBorder="1"/>
    <xf numFmtId="0" fontId="0" fillId="0" borderId="67" xfId="0" applyBorder="1"/>
    <xf numFmtId="0" fontId="0" fillId="0" borderId="68" xfId="0" applyBorder="1"/>
    <xf numFmtId="0" fontId="0" fillId="0" borderId="69" xfId="0" applyBorder="1"/>
    <xf numFmtId="0" fontId="0" fillId="0" borderId="33" xfId="0" applyBorder="1"/>
    <xf numFmtId="0" fontId="0" fillId="0" borderId="64" xfId="0" applyBorder="1"/>
    <xf numFmtId="0" fontId="1" fillId="0" borderId="33" xfId="0" applyFont="1" applyBorder="1" applyAlignment="1">
      <alignment horizontal="center"/>
    </xf>
    <xf numFmtId="0" fontId="1" fillId="0" borderId="64" xfId="0" applyFont="1" applyBorder="1" applyAlignment="1">
      <alignment horizontal="center"/>
    </xf>
    <xf numFmtId="4" fontId="1" fillId="0" borderId="37" xfId="0" applyNumberFormat="1" applyFont="1" applyBorder="1"/>
    <xf numFmtId="0" fontId="1" fillId="0" borderId="71" xfId="0" applyFont="1" applyFill="1" applyBorder="1"/>
    <xf numFmtId="4" fontId="0" fillId="0" borderId="71" xfId="0" applyNumberFormat="1" applyBorder="1"/>
    <xf numFmtId="4" fontId="1" fillId="0" borderId="71" xfId="0" applyNumberFormat="1" applyFont="1" applyBorder="1"/>
    <xf numFmtId="4" fontId="0" fillId="0" borderId="33" xfId="0" applyNumberFormat="1" applyBorder="1"/>
    <xf numFmtId="4" fontId="1" fillId="0" borderId="33" xfId="0" applyNumberFormat="1" applyFont="1" applyBorder="1"/>
    <xf numFmtId="0" fontId="1" fillId="0" borderId="30" xfId="0" applyFont="1" applyBorder="1" applyAlignment="1">
      <alignment horizontal="center"/>
    </xf>
    <xf numFmtId="4" fontId="0" fillId="7" borderId="1" xfId="0" applyNumberFormat="1" applyFill="1" applyBorder="1"/>
    <xf numFmtId="4" fontId="1" fillId="0" borderId="30" xfId="0" applyNumberFormat="1" applyFont="1" applyBorder="1" applyAlignment="1">
      <alignment vertical="center"/>
    </xf>
    <xf numFmtId="4" fontId="1" fillId="0" borderId="64" xfId="0" applyNumberFormat="1" applyFont="1" applyBorder="1" applyAlignment="1">
      <alignment vertical="center"/>
    </xf>
    <xf numFmtId="0" fontId="1" fillId="0" borderId="71" xfId="0" applyFont="1" applyBorder="1"/>
    <xf numFmtId="0" fontId="1" fillId="0" borderId="0" xfId="0" applyFont="1" applyBorder="1"/>
    <xf numFmtId="4" fontId="1" fillId="0" borderId="64" xfId="0" applyNumberFormat="1" applyFont="1" applyBorder="1" applyAlignment="1">
      <alignment horizontal="right" vertical="center"/>
    </xf>
    <xf numFmtId="4" fontId="1" fillId="0" borderId="30" xfId="0" applyNumberFormat="1" applyFont="1" applyBorder="1" applyAlignment="1">
      <alignment horizontal="right" vertical="center"/>
    </xf>
    <xf numFmtId="4" fontId="1" fillId="0" borderId="37" xfId="0" applyNumberFormat="1" applyFont="1" applyBorder="1" applyAlignment="1">
      <alignment horizontal="right" vertical="center"/>
    </xf>
    <xf numFmtId="4" fontId="1" fillId="0" borderId="69" xfId="0" applyNumberFormat="1" applyFont="1" applyBorder="1" applyAlignment="1">
      <alignment horizontal="right" vertical="center"/>
    </xf>
    <xf numFmtId="0" fontId="1" fillId="0" borderId="33" xfId="0" applyFont="1" applyBorder="1" applyAlignment="1">
      <alignment vertical="center" wrapText="1"/>
    </xf>
    <xf numFmtId="4" fontId="1" fillId="0" borderId="33" xfId="0" applyNumberFormat="1" applyFont="1" applyBorder="1" applyAlignment="1">
      <alignment vertical="center"/>
    </xf>
    <xf numFmtId="0" fontId="1" fillId="0" borderId="66" xfId="0" applyFont="1" applyBorder="1"/>
    <xf numFmtId="0" fontId="1" fillId="0" borderId="67" xfId="0" applyFont="1" applyBorder="1"/>
    <xf numFmtId="0" fontId="1" fillId="0" borderId="65" xfId="0" applyFont="1" applyBorder="1"/>
    <xf numFmtId="4" fontId="1" fillId="0" borderId="65" xfId="0" applyNumberFormat="1" applyFont="1" applyBorder="1"/>
    <xf numFmtId="4" fontId="1" fillId="7" borderId="32" xfId="0" applyNumberFormat="1" applyFont="1" applyFill="1" applyBorder="1"/>
    <xf numFmtId="4" fontId="1" fillId="8" borderId="33" xfId="0" applyNumberFormat="1" applyFont="1" applyFill="1" applyBorder="1" applyAlignment="1">
      <alignment vertical="center"/>
    </xf>
    <xf numFmtId="4" fontId="1" fillId="7" borderId="71" xfId="0" applyNumberFormat="1" applyFont="1" applyFill="1" applyBorder="1" applyAlignment="1">
      <alignment vertical="center"/>
    </xf>
    <xf numFmtId="4" fontId="1" fillId="7" borderId="66" xfId="0" applyNumberFormat="1" applyFont="1" applyFill="1" applyBorder="1" applyAlignment="1">
      <alignment vertical="center"/>
    </xf>
    <xf numFmtId="4" fontId="1" fillId="7" borderId="30" xfId="0" applyNumberFormat="1" applyFont="1" applyFill="1" applyBorder="1" applyAlignment="1">
      <alignment vertical="center"/>
    </xf>
    <xf numFmtId="4" fontId="1" fillId="7" borderId="64" xfId="0" applyNumberFormat="1" applyFont="1" applyFill="1" applyBorder="1" applyAlignment="1">
      <alignment vertical="center"/>
    </xf>
    <xf numFmtId="4" fontId="1" fillId="8" borderId="30" xfId="0" applyNumberFormat="1" applyFont="1" applyFill="1" applyBorder="1" applyAlignment="1">
      <alignment vertical="center"/>
    </xf>
    <xf numFmtId="4" fontId="1" fillId="8" borderId="64" xfId="0" applyNumberFormat="1" applyFont="1" applyFill="1" applyBorder="1" applyAlignment="1">
      <alignment vertical="center"/>
    </xf>
    <xf numFmtId="0" fontId="1" fillId="7" borderId="33" xfId="0" applyFont="1" applyFill="1" applyBorder="1"/>
    <xf numFmtId="0" fontId="0" fillId="7" borderId="64" xfId="0" applyFill="1" applyBorder="1"/>
    <xf numFmtId="0" fontId="1" fillId="7" borderId="71" xfId="0" applyFont="1" applyFill="1" applyBorder="1"/>
    <xf numFmtId="0" fontId="0" fillId="7" borderId="69" xfId="0" applyFill="1" applyBorder="1"/>
    <xf numFmtId="0" fontId="0" fillId="7" borderId="0" xfId="0" applyFill="1"/>
    <xf numFmtId="0" fontId="1" fillId="7" borderId="69" xfId="0" applyFont="1" applyFill="1" applyBorder="1"/>
    <xf numFmtId="0" fontId="1" fillId="7" borderId="37" xfId="0" applyFont="1" applyFill="1" applyBorder="1"/>
    <xf numFmtId="0" fontId="1" fillId="8" borderId="33" xfId="0" applyFont="1" applyFill="1" applyBorder="1"/>
    <xf numFmtId="0" fontId="1" fillId="8" borderId="37" xfId="0" applyFont="1" applyFill="1" applyBorder="1"/>
    <xf numFmtId="0" fontId="0" fillId="8" borderId="64" xfId="0" applyFill="1" applyBorder="1"/>
    <xf numFmtId="0" fontId="1" fillId="8" borderId="71" xfId="0" applyFont="1" applyFill="1" applyBorder="1"/>
    <xf numFmtId="0" fontId="0" fillId="8" borderId="69" xfId="0" applyFill="1" applyBorder="1"/>
    <xf numFmtId="17" fontId="1" fillId="0" borderId="0" xfId="0" applyNumberFormat="1" applyFont="1" applyAlignment="1">
      <alignment horizontal="center" wrapText="1"/>
    </xf>
    <xf numFmtId="4" fontId="1" fillId="7" borderId="1" xfId="0" applyNumberFormat="1" applyFont="1" applyFill="1" applyBorder="1"/>
    <xf numFmtId="4" fontId="1" fillId="6" borderId="1" xfId="0" applyNumberFormat="1" applyFont="1" applyFill="1" applyBorder="1"/>
    <xf numFmtId="4" fontId="1" fillId="7" borderId="71" xfId="0" applyNumberFormat="1" applyFont="1" applyFill="1" applyBorder="1" applyAlignment="1"/>
    <xf numFmtId="4" fontId="1" fillId="7" borderId="70" xfId="0" applyNumberFormat="1" applyFont="1" applyFill="1" applyBorder="1" applyAlignment="1"/>
    <xf numFmtId="4" fontId="1" fillId="7" borderId="12" xfId="0" applyNumberFormat="1" applyFont="1" applyFill="1" applyBorder="1"/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4" fontId="1" fillId="8" borderId="30" xfId="0" applyNumberFormat="1" applyFont="1" applyFill="1" applyBorder="1"/>
    <xf numFmtId="4" fontId="1" fillId="8" borderId="32" xfId="0" applyNumberFormat="1" applyFont="1" applyFill="1" applyBorder="1" applyAlignment="1"/>
    <xf numFmtId="0" fontId="1" fillId="7" borderId="71" xfId="0" applyFont="1" applyFill="1" applyBorder="1" applyAlignment="1">
      <alignment horizontal="center"/>
    </xf>
    <xf numFmtId="0" fontId="1" fillId="7" borderId="32" xfId="0" applyFont="1" applyFill="1" applyBorder="1" applyAlignment="1">
      <alignment horizontal="center"/>
    </xf>
    <xf numFmtId="0" fontId="1" fillId="7" borderId="70" xfId="0" applyFont="1" applyFill="1" applyBorder="1" applyAlignment="1">
      <alignment horizontal="center"/>
    </xf>
    <xf numFmtId="4" fontId="0" fillId="0" borderId="37" xfId="0" applyNumberFormat="1" applyBorder="1"/>
    <xf numFmtId="0" fontId="1" fillId="0" borderId="71" xfId="0" applyFont="1" applyBorder="1" applyAlignment="1">
      <alignment vertical="center" wrapText="1"/>
    </xf>
    <xf numFmtId="4" fontId="1" fillId="0" borderId="68" xfId="0" applyNumberFormat="1" applyFont="1" applyBorder="1"/>
    <xf numFmtId="4" fontId="1" fillId="0" borderId="67" xfId="0" applyNumberFormat="1" applyFont="1" applyBorder="1"/>
    <xf numFmtId="4" fontId="1" fillId="6" borderId="70" xfId="0" applyNumberFormat="1" applyFont="1" applyFill="1" applyBorder="1" applyAlignment="1"/>
    <xf numFmtId="4" fontId="1" fillId="6" borderId="12" xfId="0" applyNumberFormat="1" applyFont="1" applyFill="1" applyBorder="1"/>
    <xf numFmtId="4" fontId="1" fillId="0" borderId="12" xfId="0" applyNumberFormat="1" applyFont="1" applyBorder="1"/>
    <xf numFmtId="17" fontId="1" fillId="0" borderId="23" xfId="0" applyNumberFormat="1" applyFont="1" applyBorder="1"/>
    <xf numFmtId="0" fontId="0" fillId="0" borderId="12" xfId="0" applyBorder="1"/>
    <xf numFmtId="0" fontId="1" fillId="0" borderId="7" xfId="0" applyFont="1" applyBorder="1" applyAlignment="1">
      <alignment horizontal="center" vertical="center" wrapText="1"/>
    </xf>
    <xf numFmtId="4" fontId="1" fillId="0" borderId="7" xfId="0" applyNumberFormat="1" applyFont="1" applyBorder="1"/>
    <xf numFmtId="0" fontId="0" fillId="0" borderId="7" xfId="0" applyBorder="1"/>
    <xf numFmtId="17" fontId="1" fillId="0" borderId="1" xfId="0" applyNumberFormat="1" applyFont="1" applyBorder="1" applyAlignment="1">
      <alignment horizontal="center"/>
    </xf>
    <xf numFmtId="17" fontId="1" fillId="0" borderId="1" xfId="0" applyNumberFormat="1" applyFont="1" applyBorder="1"/>
    <xf numFmtId="17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Border="1"/>
    <xf numFmtId="4" fontId="1" fillId="6" borderId="30" xfId="0" applyNumberFormat="1" applyFont="1" applyFill="1" applyBorder="1" applyAlignment="1">
      <alignment vertical="center"/>
    </xf>
    <xf numFmtId="0" fontId="0" fillId="7" borderId="71" xfId="0" applyFill="1" applyBorder="1"/>
    <xf numFmtId="4" fontId="1" fillId="0" borderId="66" xfId="0" applyNumberFormat="1" applyFont="1" applyBorder="1" applyAlignment="1">
      <alignment vertical="center" wrapText="1"/>
    </xf>
    <xf numFmtId="4" fontId="1" fillId="0" borderId="33" xfId="0" applyNumberFormat="1" applyFont="1" applyBorder="1" applyAlignment="1">
      <alignment vertical="center" wrapText="1"/>
    </xf>
    <xf numFmtId="4" fontId="1" fillId="6" borderId="30" xfId="0" applyNumberFormat="1" applyFont="1" applyFill="1" applyBorder="1" applyAlignment="1">
      <alignment vertical="center" wrapText="1"/>
    </xf>
    <xf numFmtId="4" fontId="1" fillId="0" borderId="64" xfId="0" applyNumberFormat="1" applyFont="1" applyBorder="1" applyAlignment="1">
      <alignment vertical="center" wrapText="1"/>
    </xf>
    <xf numFmtId="4" fontId="1" fillId="7" borderId="71" xfId="0" applyNumberFormat="1" applyFont="1" applyFill="1" applyBorder="1" applyAlignment="1">
      <alignment vertical="center" wrapText="1"/>
    </xf>
    <xf numFmtId="4" fontId="1" fillId="7" borderId="30" xfId="0" applyNumberFormat="1" applyFont="1" applyFill="1" applyBorder="1" applyAlignment="1">
      <alignment vertical="center" wrapText="1"/>
    </xf>
    <xf numFmtId="4" fontId="1" fillId="7" borderId="64" xfId="0" applyNumberFormat="1" applyFont="1" applyFill="1" applyBorder="1" applyAlignment="1">
      <alignment vertical="center" wrapText="1"/>
    </xf>
    <xf numFmtId="4" fontId="1" fillId="8" borderId="71" xfId="0" applyNumberFormat="1" applyFont="1" applyFill="1" applyBorder="1" applyAlignment="1">
      <alignment vertical="center" wrapText="1"/>
    </xf>
    <xf numFmtId="4" fontId="1" fillId="8" borderId="30" xfId="0" applyNumberFormat="1" applyFont="1" applyFill="1" applyBorder="1" applyAlignment="1">
      <alignment vertical="center" wrapText="1"/>
    </xf>
    <xf numFmtId="4" fontId="1" fillId="8" borderId="64" xfId="0" applyNumberFormat="1" applyFont="1" applyFill="1" applyBorder="1" applyAlignment="1">
      <alignment vertical="center" wrapText="1"/>
    </xf>
    <xf numFmtId="0" fontId="0" fillId="7" borderId="37" xfId="0" applyFill="1" applyBorder="1"/>
    <xf numFmtId="4" fontId="1" fillId="7" borderId="30" xfId="0" applyNumberFormat="1" applyFont="1" applyFill="1" applyBorder="1"/>
    <xf numFmtId="4" fontId="1" fillId="7" borderId="37" xfId="0" applyNumberFormat="1" applyFont="1" applyFill="1" applyBorder="1"/>
    <xf numFmtId="4" fontId="1" fillId="7" borderId="64" xfId="0" applyNumberFormat="1" applyFont="1" applyFill="1" applyBorder="1"/>
    <xf numFmtId="4" fontId="1" fillId="7" borderId="33" xfId="0" applyNumberFormat="1" applyFont="1" applyFill="1" applyBorder="1"/>
    <xf numFmtId="0" fontId="0" fillId="8" borderId="37" xfId="0" applyFill="1" applyBorder="1"/>
    <xf numFmtId="4" fontId="1" fillId="8" borderId="33" xfId="0" applyNumberFormat="1" applyFont="1" applyFill="1" applyBorder="1"/>
    <xf numFmtId="4" fontId="1" fillId="8" borderId="64" xfId="0" applyNumberFormat="1" applyFont="1" applyFill="1" applyBorder="1"/>
    <xf numFmtId="4" fontId="1" fillId="8" borderId="71" xfId="0" applyNumberFormat="1" applyFont="1" applyFill="1" applyBorder="1"/>
    <xf numFmtId="4" fontId="1" fillId="7" borderId="71" xfId="0" applyNumberFormat="1" applyFont="1" applyFill="1" applyBorder="1"/>
    <xf numFmtId="0" fontId="1" fillId="7" borderId="30" xfId="0" applyFont="1" applyFill="1" applyBorder="1"/>
    <xf numFmtId="0" fontId="0" fillId="7" borderId="33" xfId="0" applyFill="1" applyBorder="1"/>
    <xf numFmtId="4" fontId="0" fillId="7" borderId="33" xfId="0" applyNumberFormat="1" applyFill="1" applyBorder="1"/>
    <xf numFmtId="0" fontId="0" fillId="7" borderId="33" xfId="0" applyFill="1" applyBorder="1" applyAlignment="1">
      <alignment vertical="center" wrapText="1"/>
    </xf>
    <xf numFmtId="4" fontId="0" fillId="7" borderId="71" xfId="0" applyNumberFormat="1" applyFill="1" applyBorder="1"/>
    <xf numFmtId="0" fontId="1" fillId="6" borderId="33" xfId="0" applyFont="1" applyFill="1" applyBorder="1"/>
    <xf numFmtId="0" fontId="1" fillId="6" borderId="37" xfId="0" applyFont="1" applyFill="1" applyBorder="1"/>
    <xf numFmtId="4" fontId="1" fillId="6" borderId="33" xfId="0" applyNumberFormat="1" applyFont="1" applyFill="1" applyBorder="1"/>
    <xf numFmtId="0" fontId="1" fillId="6" borderId="0" xfId="0" applyFont="1" applyFill="1"/>
    <xf numFmtId="0" fontId="1" fillId="8" borderId="33" xfId="0" applyFont="1" applyFill="1" applyBorder="1" applyAlignment="1">
      <alignment vertical="center" wrapText="1"/>
    </xf>
    <xf numFmtId="0" fontId="1" fillId="8" borderId="69" xfId="0" applyFont="1" applyFill="1" applyBorder="1"/>
    <xf numFmtId="4" fontId="1" fillId="6" borderId="64" xfId="0" applyNumberFormat="1" applyFont="1" applyFill="1" applyBorder="1" applyAlignment="1">
      <alignment vertical="center"/>
    </xf>
    <xf numFmtId="0" fontId="1" fillId="0" borderId="37" xfId="0" applyFont="1" applyBorder="1" applyAlignment="1">
      <alignment vertical="center"/>
    </xf>
    <xf numFmtId="4" fontId="1" fillId="6" borderId="33" xfId="0" applyNumberFormat="1" applyFont="1" applyFill="1" applyBorder="1" applyAlignment="1">
      <alignment vertical="center"/>
    </xf>
    <xf numFmtId="0" fontId="1" fillId="8" borderId="69" xfId="0" applyFont="1" applyFill="1" applyBorder="1" applyAlignment="1">
      <alignment vertical="center"/>
    </xf>
    <xf numFmtId="4" fontId="1" fillId="8" borderId="71" xfId="0" applyNumberFormat="1" applyFont="1" applyFill="1" applyBorder="1" applyAlignment="1">
      <alignment vertical="center"/>
    </xf>
    <xf numFmtId="0" fontId="1" fillId="7" borderId="33" xfId="0" applyFont="1" applyFill="1" applyBorder="1" applyAlignment="1">
      <alignment vertical="center" wrapText="1"/>
    </xf>
    <xf numFmtId="0" fontId="1" fillId="7" borderId="69" xfId="0" applyFont="1" applyFill="1" applyBorder="1" applyAlignment="1">
      <alignment vertical="center"/>
    </xf>
    <xf numFmtId="10" fontId="0" fillId="0" borderId="32" xfId="0" applyNumberFormat="1" applyBorder="1"/>
    <xf numFmtId="10" fontId="0" fillId="0" borderId="30" xfId="0" applyNumberFormat="1" applyBorder="1"/>
    <xf numFmtId="0" fontId="1" fillId="8" borderId="32" xfId="0" applyFont="1" applyFill="1" applyBorder="1" applyAlignment="1">
      <alignment horizontal="center"/>
    </xf>
    <xf numFmtId="4" fontId="0" fillId="6" borderId="1" xfId="0" applyNumberFormat="1" applyFont="1" applyFill="1" applyBorder="1" applyAlignment="1">
      <alignment vertical="center"/>
    </xf>
    <xf numFmtId="0" fontId="0" fillId="6" borderId="0" xfId="0" applyFill="1"/>
    <xf numFmtId="0" fontId="0" fillId="0" borderId="0" xfId="0" applyBorder="1"/>
    <xf numFmtId="4" fontId="1" fillId="7" borderId="33" xfId="0" applyNumberFormat="1" applyFont="1" applyFill="1" applyBorder="1" applyAlignment="1">
      <alignment vertical="center"/>
    </xf>
    <xf numFmtId="4" fontId="1" fillId="0" borderId="68" xfId="0" applyNumberFormat="1" applyFont="1" applyBorder="1" applyAlignment="1">
      <alignment vertical="center"/>
    </xf>
    <xf numFmtId="4" fontId="1" fillId="8" borderId="1" xfId="0" applyNumberFormat="1" applyFont="1" applyFill="1" applyBorder="1" applyAlignment="1">
      <alignment vertical="center"/>
    </xf>
    <xf numFmtId="4" fontId="1" fillId="7" borderId="1" xfId="0" applyNumberFormat="1" applyFont="1" applyFill="1" applyBorder="1" applyAlignment="1">
      <alignment vertical="center"/>
    </xf>
    <xf numFmtId="4" fontId="1" fillId="0" borderId="0" xfId="0" applyNumberFormat="1" applyFont="1" applyBorder="1"/>
    <xf numFmtId="4" fontId="1" fillId="6" borderId="32" xfId="0" applyNumberFormat="1" applyFont="1" applyFill="1" applyBorder="1" applyAlignment="1"/>
    <xf numFmtId="0" fontId="0" fillId="0" borderId="3" xfId="0" applyBorder="1"/>
    <xf numFmtId="4" fontId="0" fillId="6" borderId="0" xfId="0" applyNumberFormat="1" applyFill="1" applyBorder="1"/>
    <xf numFmtId="0" fontId="1" fillId="0" borderId="33" xfId="0" applyFont="1" applyBorder="1" applyAlignment="1">
      <alignment vertical="center" wrapText="1"/>
    </xf>
    <xf numFmtId="0" fontId="1" fillId="0" borderId="33" xfId="0" applyFont="1" applyBorder="1" applyAlignment="1">
      <alignment horizontal="center"/>
    </xf>
    <xf numFmtId="0" fontId="1" fillId="0" borderId="0" xfId="0" applyFont="1" applyAlignment="1">
      <alignment wrapText="1"/>
    </xf>
    <xf numFmtId="17" fontId="1" fillId="0" borderId="4" xfId="0" applyNumberFormat="1" applyFont="1" applyBorder="1" applyAlignment="1">
      <alignment horizontal="center" wrapText="1"/>
    </xf>
    <xf numFmtId="0" fontId="1" fillId="0" borderId="72" xfId="0" applyFont="1" applyFill="1" applyBorder="1"/>
    <xf numFmtId="0" fontId="0" fillId="0" borderId="4" xfId="0" applyFont="1" applyBorder="1"/>
    <xf numFmtId="0" fontId="1" fillId="9" borderId="0" xfId="0" applyFont="1" applyFill="1"/>
    <xf numFmtId="0" fontId="0" fillId="9" borderId="0" xfId="0" applyFill="1"/>
    <xf numFmtId="4" fontId="1" fillId="8" borderId="37" xfId="0" applyNumberFormat="1" applyFont="1" applyFill="1" applyBorder="1" applyAlignment="1">
      <alignment vertical="center" wrapText="1"/>
    </xf>
    <xf numFmtId="0" fontId="1" fillId="0" borderId="65" xfId="0" applyFont="1" applyBorder="1" applyAlignment="1">
      <alignment wrapText="1"/>
    </xf>
    <xf numFmtId="4" fontId="1" fillId="0" borderId="13" xfId="0" applyNumberFormat="1" applyFont="1" applyBorder="1"/>
    <xf numFmtId="4" fontId="1" fillId="7" borderId="30" xfId="0" applyNumberFormat="1" applyFont="1" applyFill="1" applyBorder="1" applyAlignment="1"/>
    <xf numFmtId="0" fontId="1" fillId="0" borderId="65" xfId="0" applyFont="1" applyBorder="1" applyAlignment="1">
      <alignment vertical="top" wrapText="1"/>
    </xf>
    <xf numFmtId="0" fontId="0" fillId="0" borderId="33" xfId="0" applyFont="1" applyBorder="1"/>
    <xf numFmtId="0" fontId="0" fillId="0" borderId="37" xfId="0" applyFont="1" applyBorder="1"/>
    <xf numFmtId="10" fontId="4" fillId="0" borderId="30" xfId="1" applyNumberFormat="1" applyFont="1" applyBorder="1"/>
    <xf numFmtId="4" fontId="0" fillId="0" borderId="71" xfId="0" applyNumberFormat="1" applyFont="1" applyBorder="1"/>
    <xf numFmtId="4" fontId="0" fillId="0" borderId="69" xfId="0" applyNumberFormat="1" applyFont="1" applyBorder="1"/>
    <xf numFmtId="0" fontId="0" fillId="0" borderId="69" xfId="0" applyFont="1" applyBorder="1"/>
    <xf numFmtId="10" fontId="0" fillId="0" borderId="32" xfId="0" applyNumberFormat="1" applyFont="1" applyBorder="1"/>
    <xf numFmtId="4" fontId="0" fillId="0" borderId="33" xfId="0" applyNumberFormat="1" applyFont="1" applyBorder="1"/>
    <xf numFmtId="4" fontId="0" fillId="0" borderId="37" xfId="0" applyNumberFormat="1" applyFont="1" applyBorder="1"/>
    <xf numFmtId="10" fontId="4" fillId="0" borderId="30" xfId="1" applyNumberFormat="1" applyFont="1" applyBorder="1" applyAlignment="1">
      <alignment horizontal="right"/>
    </xf>
    <xf numFmtId="0" fontId="0" fillId="0" borderId="67" xfId="0" applyFont="1" applyBorder="1"/>
    <xf numFmtId="4" fontId="0" fillId="0" borderId="67" xfId="0" applyNumberFormat="1" applyFont="1" applyBorder="1"/>
    <xf numFmtId="4" fontId="1" fillId="7" borderId="12" xfId="0" applyNumberFormat="1" applyFont="1" applyFill="1" applyBorder="1" applyAlignment="1">
      <alignment vertical="center"/>
    </xf>
    <xf numFmtId="4" fontId="0" fillId="0" borderId="66" xfId="0" applyNumberFormat="1" applyFont="1" applyBorder="1"/>
    <xf numFmtId="10" fontId="4" fillId="0" borderId="65" xfId="1" applyNumberFormat="1" applyFont="1" applyBorder="1" applyAlignment="1">
      <alignment horizontal="right"/>
    </xf>
    <xf numFmtId="4" fontId="1" fillId="0" borderId="74" xfId="0" applyNumberFormat="1" applyFont="1" applyBorder="1" applyAlignment="1">
      <alignment horizontal="right" vertical="center"/>
    </xf>
    <xf numFmtId="0" fontId="1" fillId="9" borderId="33" xfId="0" applyFont="1" applyFill="1" applyBorder="1" applyAlignment="1">
      <alignment vertical="center" wrapText="1"/>
    </xf>
    <xf numFmtId="0" fontId="1" fillId="9" borderId="33" xfId="0" applyFont="1" applyFill="1" applyBorder="1"/>
    <xf numFmtId="0" fontId="1" fillId="9" borderId="37" xfId="0" applyFont="1" applyFill="1" applyBorder="1" applyAlignment="1"/>
    <xf numFmtId="0" fontId="1" fillId="9" borderId="33" xfId="0" applyFont="1" applyFill="1" applyBorder="1" applyAlignment="1"/>
    <xf numFmtId="0" fontId="0" fillId="9" borderId="37" xfId="0" applyFill="1" applyBorder="1"/>
    <xf numFmtId="0" fontId="0" fillId="9" borderId="64" xfId="0" applyFill="1" applyBorder="1"/>
    <xf numFmtId="0" fontId="1" fillId="0" borderId="4" xfId="0" applyFont="1" applyBorder="1" applyAlignment="1">
      <alignment wrapText="1"/>
    </xf>
    <xf numFmtId="17" fontId="1" fillId="0" borderId="4" xfId="0" applyNumberFormat="1" applyFont="1" applyBorder="1" applyAlignment="1">
      <alignment horizontal="center" vertical="center" wrapText="1"/>
    </xf>
    <xf numFmtId="0" fontId="18" fillId="0" borderId="30" xfId="0" applyFont="1" applyBorder="1"/>
    <xf numFmtId="0" fontId="1" fillId="0" borderId="37" xfId="0" applyFont="1" applyBorder="1" applyAlignment="1">
      <alignment horizontal="center"/>
    </xf>
    <xf numFmtId="4" fontId="0" fillId="7" borderId="30" xfId="0" applyNumberFormat="1" applyFont="1" applyFill="1" applyBorder="1"/>
    <xf numFmtId="4" fontId="0" fillId="7" borderId="37" xfId="0" applyNumberFormat="1" applyFont="1" applyFill="1" applyBorder="1"/>
    <xf numFmtId="4" fontId="0" fillId="7" borderId="33" xfId="0" applyNumberFormat="1" applyFont="1" applyFill="1" applyBorder="1"/>
    <xf numFmtId="0" fontId="19" fillId="0" borderId="33" xfId="0" applyFont="1" applyBorder="1" applyAlignment="1">
      <alignment horizontal="center"/>
    </xf>
    <xf numFmtId="4" fontId="1" fillId="7" borderId="58" xfId="0" applyNumberFormat="1" applyFont="1" applyFill="1" applyBorder="1"/>
    <xf numFmtId="0" fontId="19" fillId="0" borderId="64" xfId="0" applyFont="1" applyBorder="1" applyAlignment="1">
      <alignment horizontal="center"/>
    </xf>
    <xf numFmtId="4" fontId="0" fillId="7" borderId="13" xfId="0" applyNumberFormat="1" applyFont="1" applyFill="1" applyBorder="1"/>
    <xf numFmtId="4" fontId="0" fillId="7" borderId="68" xfId="0" applyNumberFormat="1" applyFont="1" applyFill="1" applyBorder="1"/>
    <xf numFmtId="4" fontId="0" fillId="7" borderId="64" xfId="0" applyNumberFormat="1" applyFont="1" applyFill="1" applyBorder="1"/>
    <xf numFmtId="0" fontId="19" fillId="0" borderId="37" xfId="0" applyFont="1" applyBorder="1" applyAlignment="1">
      <alignment horizontal="center"/>
    </xf>
    <xf numFmtId="0" fontId="19" fillId="0" borderId="30" xfId="0" applyFont="1" applyBorder="1" applyAlignment="1">
      <alignment horizontal="center"/>
    </xf>
    <xf numFmtId="4" fontId="0" fillId="7" borderId="73" xfId="0" applyNumberFormat="1" applyFont="1" applyFill="1" applyBorder="1"/>
    <xf numFmtId="4" fontId="0" fillId="7" borderId="65" xfId="0" applyNumberFormat="1" applyFont="1" applyFill="1" applyBorder="1"/>
    <xf numFmtId="4" fontId="2" fillId="0" borderId="0" xfId="0" applyNumberFormat="1" applyFont="1"/>
    <xf numFmtId="4" fontId="20" fillId="7" borderId="1" xfId="0" applyNumberFormat="1" applyFont="1" applyFill="1" applyBorder="1"/>
    <xf numFmtId="4" fontId="20" fillId="8" borderId="1" xfId="0" applyNumberFormat="1" applyFont="1" applyFill="1" applyBorder="1"/>
    <xf numFmtId="4" fontId="21" fillId="0" borderId="1" xfId="0" applyNumberFormat="1" applyFont="1" applyBorder="1"/>
    <xf numFmtId="4" fontId="20" fillId="6" borderId="1" xfId="0" applyNumberFormat="1" applyFont="1" applyFill="1" applyBorder="1"/>
    <xf numFmtId="4" fontId="20" fillId="0" borderId="1" xfId="0" applyNumberFormat="1" applyFont="1" applyBorder="1"/>
    <xf numFmtId="17" fontId="20" fillId="0" borderId="1" xfId="0" applyNumberFormat="1" applyFont="1" applyBorder="1" applyAlignment="1">
      <alignment horizontal="center"/>
    </xf>
    <xf numFmtId="0" fontId="20" fillId="0" borderId="1" xfId="0" applyFont="1" applyBorder="1"/>
    <xf numFmtId="17" fontId="20" fillId="0" borderId="1" xfId="0" applyNumberFormat="1" applyFont="1" applyBorder="1"/>
    <xf numFmtId="0" fontId="21" fillId="0" borderId="1" xfId="0" applyFont="1" applyBorder="1"/>
    <xf numFmtId="0" fontId="22" fillId="0" borderId="0" xfId="0" applyFont="1"/>
    <xf numFmtId="4" fontId="0" fillId="7" borderId="30" xfId="0" applyNumberFormat="1" applyFont="1" applyFill="1" applyBorder="1" applyAlignment="1"/>
    <xf numFmtId="4" fontId="3" fillId="0" borderId="0" xfId="0" applyNumberFormat="1" applyFont="1"/>
    <xf numFmtId="4" fontId="1" fillId="7" borderId="37" xfId="0" applyNumberFormat="1" applyFont="1" applyFill="1" applyBorder="1" applyAlignment="1">
      <alignment wrapText="1"/>
    </xf>
    <xf numFmtId="4" fontId="1" fillId="7" borderId="71" xfId="0" applyNumberFormat="1" applyFont="1" applyFill="1" applyBorder="1" applyAlignment="1">
      <alignment wrapText="1"/>
    </xf>
    <xf numFmtId="4" fontId="1" fillId="7" borderId="30" xfId="0" applyNumberFormat="1" applyFont="1" applyFill="1" applyBorder="1" applyAlignment="1">
      <alignment wrapText="1"/>
    </xf>
    <xf numFmtId="4" fontId="1" fillId="9" borderId="33" xfId="0" applyNumberFormat="1" applyFont="1" applyFill="1" applyBorder="1" applyAlignment="1">
      <alignment vertical="center"/>
    </xf>
    <xf numFmtId="4" fontId="1" fillId="9" borderId="30" xfId="0" applyNumberFormat="1" applyFont="1" applyFill="1" applyBorder="1" applyAlignment="1">
      <alignment vertical="center"/>
    </xf>
    <xf numFmtId="4" fontId="1" fillId="9" borderId="64" xfId="0" applyNumberFormat="1" applyFont="1" applyFill="1" applyBorder="1" applyAlignment="1">
      <alignment vertical="center"/>
    </xf>
    <xf numFmtId="4" fontId="1" fillId="8" borderId="33" xfId="0" applyNumberFormat="1" applyFont="1" applyFill="1" applyBorder="1" applyAlignment="1">
      <alignment vertical="center" wrapText="1"/>
    </xf>
    <xf numFmtId="4" fontId="1" fillId="8" borderId="69" xfId="0" applyNumberFormat="1" applyFont="1" applyFill="1" applyBorder="1" applyAlignment="1">
      <alignment vertical="center" wrapText="1"/>
    </xf>
    <xf numFmtId="0" fontId="1" fillId="8" borderId="71" xfId="0" applyFont="1" applyFill="1" applyBorder="1" applyAlignment="1">
      <alignment wrapText="1"/>
    </xf>
    <xf numFmtId="0" fontId="0" fillId="8" borderId="69" xfId="0" applyFill="1" applyBorder="1" applyAlignment="1">
      <alignment wrapText="1"/>
    </xf>
    <xf numFmtId="4" fontId="1" fillId="7" borderId="65" xfId="0" applyNumberFormat="1" applyFont="1" applyFill="1" applyBorder="1" applyAlignment="1">
      <alignment wrapText="1"/>
    </xf>
    <xf numFmtId="4" fontId="1" fillId="7" borderId="64" xfId="0" applyNumberFormat="1" applyFont="1" applyFill="1" applyBorder="1" applyAlignment="1">
      <alignment wrapText="1"/>
    </xf>
    <xf numFmtId="4" fontId="1" fillId="7" borderId="33" xfId="0" applyNumberFormat="1" applyFont="1" applyFill="1" applyBorder="1" applyAlignment="1">
      <alignment wrapText="1"/>
    </xf>
    <xf numFmtId="4" fontId="1" fillId="7" borderId="32" xfId="0" applyNumberFormat="1" applyFont="1" applyFill="1" applyBorder="1" applyAlignment="1">
      <alignment wrapText="1"/>
    </xf>
    <xf numFmtId="0" fontId="1" fillId="9" borderId="37" xfId="0" applyFont="1" applyFill="1" applyBorder="1"/>
    <xf numFmtId="4" fontId="1" fillId="9" borderId="33" xfId="0" applyNumberFormat="1" applyFont="1" applyFill="1" applyBorder="1"/>
    <xf numFmtId="4" fontId="1" fillId="9" borderId="30" xfId="0" applyNumberFormat="1" applyFont="1" applyFill="1" applyBorder="1"/>
    <xf numFmtId="0" fontId="1" fillId="0" borderId="4" xfId="0" applyFont="1" applyBorder="1"/>
    <xf numFmtId="4" fontId="1" fillId="0" borderId="4" xfId="0" applyNumberFormat="1" applyFont="1" applyBorder="1"/>
    <xf numFmtId="0" fontId="0" fillId="0" borderId="76" xfId="0" applyFont="1" applyBorder="1"/>
    <xf numFmtId="0" fontId="0" fillId="0" borderId="44" xfId="0" applyBorder="1"/>
    <xf numFmtId="4" fontId="0" fillId="0" borderId="44" xfId="0" applyNumberFormat="1" applyBorder="1"/>
    <xf numFmtId="4" fontId="0" fillId="6" borderId="44" xfId="0" applyNumberFormat="1" applyFont="1" applyFill="1" applyBorder="1" applyAlignment="1">
      <alignment vertical="center"/>
    </xf>
    <xf numFmtId="4" fontId="0" fillId="0" borderId="42" xfId="0" applyNumberFormat="1" applyBorder="1"/>
    <xf numFmtId="0" fontId="0" fillId="6" borderId="77" xfId="0" applyFill="1" applyBorder="1"/>
    <xf numFmtId="0" fontId="0" fillId="6" borderId="78" xfId="0" applyFill="1" applyBorder="1"/>
    <xf numFmtId="4" fontId="0" fillId="6" borderId="78" xfId="0" applyNumberFormat="1" applyFill="1" applyBorder="1"/>
    <xf numFmtId="4" fontId="0" fillId="6" borderId="78" xfId="0" applyNumberFormat="1" applyFont="1" applyFill="1" applyBorder="1" applyAlignment="1">
      <alignment vertical="center"/>
    </xf>
    <xf numFmtId="4" fontId="0" fillId="6" borderId="79" xfId="0" applyNumberFormat="1" applyFill="1" applyBorder="1"/>
    <xf numFmtId="0" fontId="1" fillId="0" borderId="80" xfId="0" applyFont="1" applyBorder="1"/>
    <xf numFmtId="0" fontId="1" fillId="0" borderId="81" xfId="0" applyFont="1" applyBorder="1"/>
    <xf numFmtId="4" fontId="1" fillId="0" borderId="71" xfId="0" applyNumberFormat="1" applyFont="1" applyBorder="1" applyAlignment="1">
      <alignment wrapText="1"/>
    </xf>
    <xf numFmtId="4" fontId="1" fillId="0" borderId="70" xfId="0" applyNumberFormat="1" applyFont="1" applyBorder="1" applyAlignment="1">
      <alignment wrapText="1"/>
    </xf>
    <xf numFmtId="4" fontId="1" fillId="0" borderId="32" xfId="0" applyNumberFormat="1" applyFont="1" applyBorder="1" applyAlignment="1">
      <alignment wrapText="1"/>
    </xf>
    <xf numFmtId="4" fontId="0" fillId="6" borderId="71" xfId="0" applyNumberFormat="1" applyFill="1" applyBorder="1" applyAlignment="1">
      <alignment wrapText="1"/>
    </xf>
    <xf numFmtId="4" fontId="0" fillId="6" borderId="32" xfId="0" applyNumberFormat="1" applyFont="1" applyFill="1" applyBorder="1" applyAlignment="1">
      <alignment wrapText="1"/>
    </xf>
    <xf numFmtId="4" fontId="0" fillId="6" borderId="70" xfId="0" applyNumberFormat="1" applyFill="1" applyBorder="1" applyAlignment="1">
      <alignment wrapText="1"/>
    </xf>
    <xf numFmtId="4" fontId="0" fillId="0" borderId="33" xfId="0" applyNumberFormat="1" applyBorder="1" applyAlignment="1">
      <alignment wrapText="1"/>
    </xf>
    <xf numFmtId="4" fontId="0" fillId="6" borderId="30" xfId="0" applyNumberFormat="1" applyFont="1" applyFill="1" applyBorder="1" applyAlignment="1">
      <alignment wrapText="1"/>
    </xf>
    <xf numFmtId="4" fontId="0" fillId="0" borderId="64" xfId="0" applyNumberFormat="1" applyBorder="1" applyAlignment="1">
      <alignment wrapText="1"/>
    </xf>
    <xf numFmtId="0" fontId="1" fillId="0" borderId="33" xfId="0" applyFont="1" applyBorder="1" applyAlignment="1">
      <alignment horizontal="center"/>
    </xf>
    <xf numFmtId="168" fontId="23" fillId="6" borderId="0" xfId="2" applyNumberFormat="1" applyFont="1" applyFill="1" applyBorder="1" applyAlignment="1">
      <alignment horizontal="right" vertical="center" wrapText="1"/>
    </xf>
    <xf numFmtId="4" fontId="1" fillId="6" borderId="0" xfId="0" applyNumberFormat="1" applyFont="1" applyFill="1"/>
    <xf numFmtId="4" fontId="21" fillId="0" borderId="0" xfId="0" applyNumberFormat="1" applyFont="1"/>
    <xf numFmtId="0" fontId="21" fillId="0" borderId="0" xfId="0" applyFont="1"/>
    <xf numFmtId="4" fontId="24" fillId="6" borderId="1" xfId="0" applyNumberFormat="1" applyFont="1" applyFill="1" applyBorder="1"/>
    <xf numFmtId="4" fontId="25" fillId="0" borderId="1" xfId="0" applyNumberFormat="1" applyFont="1" applyBorder="1"/>
    <xf numFmtId="4" fontId="25" fillId="6" borderId="1" xfId="0" applyNumberFormat="1" applyFont="1" applyFill="1" applyBorder="1"/>
    <xf numFmtId="4" fontId="25" fillId="0" borderId="1" xfId="0" applyNumberFormat="1" applyFont="1" applyBorder="1" applyAlignment="1">
      <alignment horizontal="right"/>
    </xf>
    <xf numFmtId="0" fontId="0" fillId="6" borderId="37" xfId="0" applyFill="1" applyBorder="1"/>
    <xf numFmtId="4" fontId="0" fillId="6" borderId="30" xfId="0" applyNumberFormat="1" applyFont="1" applyFill="1" applyBorder="1"/>
    <xf numFmtId="4" fontId="0" fillId="6" borderId="37" xfId="0" applyNumberFormat="1" applyFont="1" applyFill="1" applyBorder="1"/>
    <xf numFmtId="4" fontId="0" fillId="6" borderId="73" xfId="0" applyNumberFormat="1" applyFont="1" applyFill="1" applyBorder="1"/>
    <xf numFmtId="4" fontId="0" fillId="6" borderId="13" xfId="0" applyNumberFormat="1" applyFont="1" applyFill="1" applyBorder="1"/>
    <xf numFmtId="4" fontId="21" fillId="6" borderId="0" xfId="0" applyNumberFormat="1" applyFont="1" applyFill="1"/>
    <xf numFmtId="4" fontId="0" fillId="6" borderId="65" xfId="0" applyNumberFormat="1" applyFont="1" applyFill="1" applyBorder="1"/>
    <xf numFmtId="4" fontId="0" fillId="6" borderId="68" xfId="0" applyNumberFormat="1" applyFont="1" applyFill="1" applyBorder="1"/>
    <xf numFmtId="4" fontId="0" fillId="6" borderId="64" xfId="0" applyNumberFormat="1" applyFont="1" applyFill="1" applyBorder="1"/>
    <xf numFmtId="4" fontId="0" fillId="6" borderId="33" xfId="0" applyNumberFormat="1" applyFont="1" applyFill="1" applyBorder="1"/>
    <xf numFmtId="0" fontId="1" fillId="6" borderId="71" xfId="0" applyFont="1" applyFill="1" applyBorder="1"/>
    <xf numFmtId="0" fontId="0" fillId="6" borderId="69" xfId="0" applyFill="1" applyBorder="1"/>
    <xf numFmtId="0" fontId="0" fillId="6" borderId="33" xfId="0" applyFill="1" applyBorder="1"/>
    <xf numFmtId="4" fontId="1" fillId="6" borderId="30" xfId="0" applyNumberFormat="1" applyFont="1" applyFill="1" applyBorder="1"/>
    <xf numFmtId="0" fontId="0" fillId="6" borderId="64" xfId="0" applyFill="1" applyBorder="1"/>
    <xf numFmtId="4" fontId="1" fillId="6" borderId="71" xfId="0" applyNumberFormat="1" applyFont="1" applyFill="1" applyBorder="1" applyAlignment="1"/>
    <xf numFmtId="4" fontId="0" fillId="6" borderId="0" xfId="0" applyNumberFormat="1" applyFill="1"/>
    <xf numFmtId="0" fontId="1" fillId="6" borderId="71" xfId="0" applyFont="1" applyFill="1" applyBorder="1" applyAlignment="1">
      <alignment wrapText="1"/>
    </xf>
    <xf numFmtId="0" fontId="0" fillId="6" borderId="69" xfId="0" applyFill="1" applyBorder="1" applyAlignment="1">
      <alignment wrapText="1"/>
    </xf>
    <xf numFmtId="0" fontId="1" fillId="6" borderId="71" xfId="0" applyFont="1" applyFill="1" applyBorder="1" applyAlignment="1">
      <alignment horizontal="center"/>
    </xf>
    <xf numFmtId="0" fontId="1" fillId="6" borderId="32" xfId="0" applyFont="1" applyFill="1" applyBorder="1" applyAlignment="1">
      <alignment horizontal="center"/>
    </xf>
    <xf numFmtId="0" fontId="1" fillId="6" borderId="70" xfId="0" applyFont="1" applyFill="1" applyBorder="1" applyAlignment="1">
      <alignment horizontal="center"/>
    </xf>
    <xf numFmtId="4" fontId="1" fillId="6" borderId="66" xfId="0" applyNumberFormat="1" applyFont="1" applyFill="1" applyBorder="1" applyAlignment="1">
      <alignment vertical="center"/>
    </xf>
    <xf numFmtId="0" fontId="1" fillId="6" borderId="65" xfId="0" applyFont="1" applyFill="1" applyBorder="1" applyAlignment="1">
      <alignment wrapText="1"/>
    </xf>
    <xf numFmtId="4" fontId="1" fillId="6" borderId="68" xfId="0" applyNumberFormat="1" applyFont="1" applyFill="1" applyBorder="1"/>
    <xf numFmtId="4" fontId="1" fillId="6" borderId="0" xfId="0" applyNumberFormat="1" applyFont="1" applyFill="1" applyBorder="1"/>
    <xf numFmtId="0" fontId="1" fillId="6" borderId="33" xfId="0" applyFont="1" applyFill="1" applyBorder="1" applyAlignment="1">
      <alignment vertical="center" wrapText="1"/>
    </xf>
    <xf numFmtId="0" fontId="0" fillId="6" borderId="33" xfId="0" applyFont="1" applyFill="1" applyBorder="1"/>
    <xf numFmtId="0" fontId="0" fillId="6" borderId="37" xfId="0" applyFont="1" applyFill="1" applyBorder="1"/>
    <xf numFmtId="10" fontId="4" fillId="6" borderId="30" xfId="1" applyNumberFormat="1" applyFont="1" applyFill="1" applyBorder="1"/>
    <xf numFmtId="4" fontId="0" fillId="6" borderId="71" xfId="0" applyNumberFormat="1" applyFont="1" applyFill="1" applyBorder="1"/>
    <xf numFmtId="4" fontId="0" fillId="6" borderId="69" xfId="0" applyNumberFormat="1" applyFont="1" applyFill="1" applyBorder="1"/>
    <xf numFmtId="0" fontId="0" fillId="6" borderId="69" xfId="0" applyFont="1" applyFill="1" applyBorder="1"/>
    <xf numFmtId="10" fontId="0" fillId="6" borderId="32" xfId="0" applyNumberFormat="1" applyFont="1" applyFill="1" applyBorder="1"/>
    <xf numFmtId="0" fontId="21" fillId="6" borderId="0" xfId="0" applyFont="1" applyFill="1"/>
    <xf numFmtId="4" fontId="1" fillId="6" borderId="68" xfId="0" applyNumberFormat="1" applyFont="1" applyFill="1" applyBorder="1" applyAlignment="1">
      <alignment vertical="center"/>
    </xf>
    <xf numFmtId="4" fontId="0" fillId="6" borderId="66" xfId="0" applyNumberFormat="1" applyFont="1" applyFill="1" applyBorder="1"/>
    <xf numFmtId="0" fontId="0" fillId="6" borderId="67" xfId="0" applyFont="1" applyFill="1" applyBorder="1"/>
    <xf numFmtId="4" fontId="0" fillId="6" borderId="67" xfId="0" applyNumberFormat="1" applyFont="1" applyFill="1" applyBorder="1"/>
    <xf numFmtId="10" fontId="4" fillId="6" borderId="65" xfId="1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>
      <alignment vertical="center"/>
    </xf>
    <xf numFmtId="4" fontId="1" fillId="6" borderId="71" xfId="0" applyNumberFormat="1" applyFont="1" applyFill="1" applyBorder="1" applyAlignment="1">
      <alignment vertical="center"/>
    </xf>
    <xf numFmtId="4" fontId="1" fillId="6" borderId="12" xfId="0" applyNumberFormat="1" applyFont="1" applyFill="1" applyBorder="1" applyAlignment="1">
      <alignment vertical="center"/>
    </xf>
    <xf numFmtId="0" fontId="1" fillId="6" borderId="0" xfId="0" applyFont="1" applyFill="1" applyBorder="1"/>
    <xf numFmtId="4" fontId="1" fillId="6" borderId="37" xfId="0" applyNumberFormat="1" applyFont="1" applyFill="1" applyBorder="1" applyAlignment="1">
      <alignment horizontal="right" vertical="center"/>
    </xf>
    <xf numFmtId="4" fontId="1" fillId="6" borderId="30" xfId="0" applyNumberFormat="1" applyFont="1" applyFill="1" applyBorder="1" applyAlignment="1">
      <alignment horizontal="right" vertical="center"/>
    </xf>
    <xf numFmtId="4" fontId="1" fillId="6" borderId="74" xfId="0" applyNumberFormat="1" applyFont="1" applyFill="1" applyBorder="1" applyAlignment="1">
      <alignment horizontal="right" vertical="center"/>
    </xf>
    <xf numFmtId="4" fontId="1" fillId="6" borderId="69" xfId="0" applyNumberFormat="1" applyFont="1" applyFill="1" applyBorder="1" applyAlignment="1">
      <alignment horizontal="right" vertical="center"/>
    </xf>
    <xf numFmtId="4" fontId="1" fillId="6" borderId="65" xfId="0" applyNumberFormat="1" applyFont="1" applyFill="1" applyBorder="1" applyAlignment="1">
      <alignment wrapText="1"/>
    </xf>
    <xf numFmtId="4" fontId="1" fillId="6" borderId="30" xfId="0" applyNumberFormat="1" applyFont="1" applyFill="1" applyBorder="1" applyAlignment="1">
      <alignment wrapText="1"/>
    </xf>
    <xf numFmtId="4" fontId="1" fillId="6" borderId="64" xfId="0" applyNumberFormat="1" applyFont="1" applyFill="1" applyBorder="1" applyAlignment="1">
      <alignment wrapText="1"/>
    </xf>
    <xf numFmtId="4" fontId="1" fillId="6" borderId="33" xfId="0" applyNumberFormat="1" applyFont="1" applyFill="1" applyBorder="1" applyAlignment="1">
      <alignment wrapText="1"/>
    </xf>
    <xf numFmtId="4" fontId="1" fillId="6" borderId="32" xfId="0" applyNumberFormat="1" applyFont="1" applyFill="1" applyBorder="1" applyAlignment="1">
      <alignment wrapText="1"/>
    </xf>
    <xf numFmtId="4" fontId="1" fillId="6" borderId="66" xfId="0" applyNumberFormat="1" applyFont="1" applyFill="1" applyBorder="1" applyAlignment="1">
      <alignment vertical="center" wrapText="1"/>
    </xf>
    <xf numFmtId="4" fontId="1" fillId="6" borderId="33" xfId="0" applyNumberFormat="1" applyFont="1" applyFill="1" applyBorder="1" applyAlignment="1">
      <alignment vertical="center" wrapText="1"/>
    </xf>
    <xf numFmtId="4" fontId="1" fillId="6" borderId="69" xfId="0" applyNumberFormat="1" applyFont="1" applyFill="1" applyBorder="1" applyAlignment="1">
      <alignment vertical="center" wrapText="1"/>
    </xf>
    <xf numFmtId="4" fontId="1" fillId="6" borderId="71" xfId="0" applyNumberFormat="1" applyFont="1" applyFill="1" applyBorder="1" applyAlignment="1">
      <alignment vertical="center" wrapText="1"/>
    </xf>
    <xf numFmtId="4" fontId="1" fillId="6" borderId="37" xfId="0" applyNumberFormat="1" applyFont="1" applyFill="1" applyBorder="1" applyAlignment="1">
      <alignment vertical="center" wrapText="1"/>
    </xf>
    <xf numFmtId="4" fontId="1" fillId="6" borderId="71" xfId="0" applyNumberFormat="1" applyFont="1" applyFill="1" applyBorder="1" applyAlignment="1">
      <alignment wrapText="1"/>
    </xf>
    <xf numFmtId="4" fontId="1" fillId="6" borderId="37" xfId="0" applyNumberFormat="1" applyFont="1" applyFill="1" applyBorder="1" applyAlignment="1">
      <alignment wrapText="1"/>
    </xf>
    <xf numFmtId="4" fontId="1" fillId="6" borderId="30" xfId="0" applyNumberFormat="1" applyFont="1" applyFill="1" applyBorder="1" applyAlignment="1"/>
    <xf numFmtId="0" fontId="1" fillId="6" borderId="65" xfId="0" applyFont="1" applyFill="1" applyBorder="1" applyAlignment="1">
      <alignment vertical="top" wrapText="1"/>
    </xf>
    <xf numFmtId="4" fontId="1" fillId="6" borderId="13" xfId="0" applyNumberFormat="1" applyFont="1" applyFill="1" applyBorder="1"/>
    <xf numFmtId="4" fontId="0" fillId="6" borderId="33" xfId="0" applyNumberFormat="1" applyFill="1" applyBorder="1"/>
    <xf numFmtId="4" fontId="0" fillId="6" borderId="30" xfId="0" applyNumberFormat="1" applyFont="1" applyFill="1" applyBorder="1" applyAlignment="1"/>
    <xf numFmtId="4" fontId="1" fillId="6" borderId="37" xfId="0" applyNumberFormat="1" applyFont="1" applyFill="1" applyBorder="1"/>
    <xf numFmtId="4" fontId="2" fillId="6" borderId="0" xfId="0" applyNumberFormat="1" applyFont="1" applyFill="1"/>
    <xf numFmtId="0" fontId="0" fillId="6" borderId="33" xfId="0" applyFill="1" applyBorder="1" applyAlignment="1">
      <alignment vertical="center" wrapText="1"/>
    </xf>
    <xf numFmtId="4" fontId="0" fillId="6" borderId="71" xfId="0" applyNumberFormat="1" applyFill="1" applyBorder="1"/>
    <xf numFmtId="10" fontId="4" fillId="6" borderId="30" xfId="1" applyNumberFormat="1" applyFont="1" applyFill="1" applyBorder="1" applyAlignment="1">
      <alignment horizontal="right"/>
    </xf>
    <xf numFmtId="4" fontId="1" fillId="6" borderId="71" xfId="0" applyNumberFormat="1" applyFont="1" applyFill="1" applyBorder="1"/>
    <xf numFmtId="0" fontId="1" fillId="6" borderId="33" xfId="0" applyFont="1" applyFill="1" applyBorder="1" applyAlignment="1"/>
    <xf numFmtId="0" fontId="1" fillId="6" borderId="37" xfId="0" applyFont="1" applyFill="1" applyBorder="1" applyAlignment="1"/>
    <xf numFmtId="4" fontId="3" fillId="6" borderId="0" xfId="0" applyNumberFormat="1" applyFont="1" applyFill="1"/>
    <xf numFmtId="0" fontId="1" fillId="6" borderId="69" xfId="0" applyFont="1" applyFill="1" applyBorder="1" applyAlignment="1">
      <alignment vertical="center"/>
    </xf>
    <xf numFmtId="0" fontId="0" fillId="6" borderId="76" xfId="0" applyFont="1" applyFill="1" applyBorder="1"/>
    <xf numFmtId="0" fontId="0" fillId="6" borderId="44" xfId="0" applyFill="1" applyBorder="1"/>
    <xf numFmtId="4" fontId="0" fillId="6" borderId="44" xfId="0" applyNumberFormat="1" applyFill="1" applyBorder="1"/>
    <xf numFmtId="4" fontId="0" fillId="6" borderId="42" xfId="0" applyNumberFormat="1" applyFill="1" applyBorder="1"/>
    <xf numFmtId="0" fontId="1" fillId="6" borderId="4" xfId="0" applyFont="1" applyFill="1" applyBorder="1"/>
    <xf numFmtId="4" fontId="1" fillId="6" borderId="4" xfId="0" applyNumberFormat="1" applyFont="1" applyFill="1" applyBorder="1"/>
    <xf numFmtId="0" fontId="0" fillId="6" borderId="4" xfId="0" applyFont="1" applyFill="1" applyBorder="1"/>
    <xf numFmtId="0" fontId="0" fillId="6" borderId="4" xfId="0" applyFill="1" applyBorder="1"/>
    <xf numFmtId="4" fontId="0" fillId="6" borderId="1" xfId="0" applyNumberFormat="1" applyFill="1" applyBorder="1"/>
    <xf numFmtId="0" fontId="1" fillId="6" borderId="1" xfId="0" applyFont="1" applyFill="1" applyBorder="1"/>
    <xf numFmtId="4" fontId="0" fillId="6" borderId="33" xfId="0" applyNumberFormat="1" applyFill="1" applyBorder="1" applyAlignment="1">
      <alignment wrapText="1"/>
    </xf>
    <xf numFmtId="4" fontId="0" fillId="6" borderId="64" xfId="0" applyNumberFormat="1" applyFill="1" applyBorder="1" applyAlignment="1">
      <alignment wrapText="1"/>
    </xf>
    <xf numFmtId="0" fontId="1" fillId="6" borderId="80" xfId="0" applyFont="1" applyFill="1" applyBorder="1"/>
    <xf numFmtId="0" fontId="1" fillId="6" borderId="81" xfId="0" applyFont="1" applyFill="1" applyBorder="1"/>
    <xf numFmtId="4" fontId="1" fillId="6" borderId="70" xfId="0" applyNumberFormat="1" applyFont="1" applyFill="1" applyBorder="1" applyAlignment="1">
      <alignment wrapText="1"/>
    </xf>
    <xf numFmtId="0" fontId="1" fillId="7" borderId="30" xfId="0" applyFont="1" applyFill="1" applyBorder="1" applyAlignment="1">
      <alignment horizontal="center"/>
    </xf>
    <xf numFmtId="0" fontId="19" fillId="8" borderId="30" xfId="0" applyFont="1" applyFill="1" applyBorder="1" applyAlignment="1">
      <alignment horizontal="center"/>
    </xf>
    <xf numFmtId="0" fontId="19" fillId="8" borderId="37" xfId="0" applyFont="1" applyFill="1" applyBorder="1" applyAlignment="1">
      <alignment horizontal="center"/>
    </xf>
    <xf numFmtId="0" fontId="1" fillId="8" borderId="30" xfId="0" applyFont="1" applyFill="1" applyBorder="1" applyAlignment="1">
      <alignment horizontal="center"/>
    </xf>
    <xf numFmtId="0" fontId="19" fillId="7" borderId="64" xfId="0" applyFont="1" applyFill="1" applyBorder="1" applyAlignment="1">
      <alignment horizontal="center"/>
    </xf>
    <xf numFmtId="0" fontId="19" fillId="7" borderId="33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0" fillId="6" borderId="71" xfId="0" applyFill="1" applyBorder="1" applyAlignment="1">
      <alignment horizontal="left" wrapText="1"/>
    </xf>
    <xf numFmtId="0" fontId="0" fillId="6" borderId="69" xfId="0" applyFill="1" applyBorder="1" applyAlignment="1">
      <alignment horizontal="left" wrapText="1"/>
    </xf>
    <xf numFmtId="0" fontId="1" fillId="6" borderId="33" xfId="0" applyFont="1" applyFill="1" applyBorder="1" applyAlignment="1">
      <alignment horizontal="left" vertical="center" wrapText="1"/>
    </xf>
    <xf numFmtId="0" fontId="1" fillId="6" borderId="64" xfId="0" applyFont="1" applyFill="1" applyBorder="1" applyAlignment="1">
      <alignment horizontal="left" vertical="center" wrapText="1"/>
    </xf>
    <xf numFmtId="0" fontId="0" fillId="6" borderId="66" xfId="0" applyFill="1" applyBorder="1" applyAlignment="1">
      <alignment horizontal="left" wrapText="1"/>
    </xf>
    <xf numFmtId="0" fontId="0" fillId="6" borderId="67" xfId="0" applyFill="1" applyBorder="1" applyAlignment="1">
      <alignment horizontal="left" wrapText="1"/>
    </xf>
    <xf numFmtId="0" fontId="1" fillId="6" borderId="66" xfId="0" applyFont="1" applyFill="1" applyBorder="1" applyAlignment="1">
      <alignment horizontal="left" wrapText="1"/>
    </xf>
    <xf numFmtId="0" fontId="1" fillId="6" borderId="67" xfId="0" applyFont="1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37" xfId="0" applyFill="1" applyBorder="1" applyAlignment="1">
      <alignment horizontal="left" wrapText="1"/>
    </xf>
    <xf numFmtId="168" fontId="23" fillId="6" borderId="82" xfId="2" applyNumberFormat="1" applyFont="1" applyFill="1" applyBorder="1" applyAlignment="1">
      <alignment horizontal="center" vertical="center" wrapText="1"/>
    </xf>
    <xf numFmtId="168" fontId="23" fillId="6" borderId="0" xfId="2" applyNumberFormat="1" applyFont="1" applyFill="1" applyBorder="1" applyAlignment="1">
      <alignment horizontal="center" vertical="center" wrapText="1"/>
    </xf>
    <xf numFmtId="0" fontId="0" fillId="6" borderId="33" xfId="0" applyFill="1" applyBorder="1" applyAlignment="1">
      <alignment wrapText="1"/>
    </xf>
    <xf numFmtId="0" fontId="0" fillId="6" borderId="64" xfId="0" applyFont="1" applyFill="1" applyBorder="1" applyAlignment="1">
      <alignment wrapText="1"/>
    </xf>
    <xf numFmtId="0" fontId="0" fillId="6" borderId="64" xfId="0" applyFill="1" applyBorder="1" applyAlignment="1">
      <alignment horizontal="left" wrapText="1"/>
    </xf>
    <xf numFmtId="0" fontId="1" fillId="6" borderId="33" xfId="0" applyFont="1" applyFill="1" applyBorder="1" applyAlignment="1">
      <alignment vertical="center" wrapText="1"/>
    </xf>
    <xf numFmtId="0" fontId="0" fillId="6" borderId="64" xfId="0" applyFill="1" applyBorder="1" applyAlignment="1"/>
    <xf numFmtId="4" fontId="0" fillId="6" borderId="33" xfId="0" applyNumberFormat="1" applyFill="1" applyBorder="1" applyAlignment="1">
      <alignment horizontal="left" vertical="top" wrapText="1"/>
    </xf>
    <xf numFmtId="4" fontId="0" fillId="6" borderId="37" xfId="0" applyNumberFormat="1" applyFill="1" applyBorder="1" applyAlignment="1">
      <alignment horizontal="left" vertical="top" wrapText="1"/>
    </xf>
    <xf numFmtId="4" fontId="0" fillId="6" borderId="64" xfId="0" applyNumberFormat="1" applyFill="1" applyBorder="1" applyAlignment="1">
      <alignment horizontal="left" vertical="top" wrapText="1"/>
    </xf>
    <xf numFmtId="0" fontId="1" fillId="6" borderId="37" xfId="0" applyFont="1" applyFill="1" applyBorder="1" applyAlignment="1">
      <alignment horizontal="left" wrapText="1"/>
    </xf>
    <xf numFmtId="0" fontId="17" fillId="6" borderId="33" xfId="0" applyFont="1" applyFill="1" applyBorder="1" applyAlignment="1">
      <alignment horizontal="left" wrapText="1"/>
    </xf>
    <xf numFmtId="0" fontId="17" fillId="6" borderId="37" xfId="0" applyFont="1" applyFill="1" applyBorder="1" applyAlignment="1">
      <alignment horizontal="left" wrapText="1"/>
    </xf>
    <xf numFmtId="0" fontId="17" fillId="6" borderId="64" xfId="0" applyFont="1" applyFill="1" applyBorder="1" applyAlignment="1">
      <alignment horizontal="left" wrapText="1"/>
    </xf>
    <xf numFmtId="0" fontId="1" fillId="6" borderId="75" xfId="0" applyFont="1" applyFill="1" applyBorder="1" applyAlignment="1">
      <alignment horizontal="left"/>
    </xf>
    <xf numFmtId="0" fontId="1" fillId="6" borderId="33" xfId="0" applyFont="1" applyFill="1" applyBorder="1" applyAlignment="1">
      <alignment horizontal="left" wrapText="1"/>
    </xf>
    <xf numFmtId="0" fontId="1" fillId="6" borderId="64" xfId="0" applyFont="1" applyFill="1" applyBorder="1" applyAlignment="1">
      <alignment horizontal="left" wrapText="1"/>
    </xf>
    <xf numFmtId="0" fontId="1" fillId="6" borderId="71" xfId="0" applyFont="1" applyFill="1" applyBorder="1" applyAlignment="1">
      <alignment horizontal="left" wrapText="1"/>
    </xf>
    <xf numFmtId="0" fontId="1" fillId="6" borderId="70" xfId="0" applyFont="1" applyFill="1" applyBorder="1" applyAlignment="1">
      <alignment horizontal="left" wrapText="1"/>
    </xf>
    <xf numFmtId="0" fontId="0" fillId="6" borderId="33" xfId="0" applyFill="1" applyBorder="1" applyAlignment="1">
      <alignment horizontal="left" vertical="center" wrapText="1"/>
    </xf>
    <xf numFmtId="0" fontId="0" fillId="6" borderId="64" xfId="0" applyFill="1" applyBorder="1" applyAlignment="1">
      <alignment horizontal="left" vertical="center" wrapText="1"/>
    </xf>
    <xf numFmtId="0" fontId="1" fillId="6" borderId="65" xfId="0" applyFont="1" applyFill="1" applyBorder="1" applyAlignment="1">
      <alignment horizontal="left" vertical="center" wrapText="1"/>
    </xf>
    <xf numFmtId="0" fontId="1" fillId="6" borderId="73" xfId="0" applyFont="1" applyFill="1" applyBorder="1" applyAlignment="1">
      <alignment horizontal="left" vertical="center" wrapText="1"/>
    </xf>
    <xf numFmtId="0" fontId="1" fillId="6" borderId="32" xfId="0" applyFont="1" applyFill="1" applyBorder="1" applyAlignment="1">
      <alignment horizontal="left" vertical="center" wrapText="1"/>
    </xf>
    <xf numFmtId="0" fontId="0" fillId="6" borderId="33" xfId="0" applyFill="1" applyBorder="1" applyAlignment="1">
      <alignment horizontal="left" vertical="top" wrapText="1"/>
    </xf>
    <xf numFmtId="0" fontId="0" fillId="6" borderId="64" xfId="0" applyFill="1" applyBorder="1" applyAlignment="1">
      <alignment horizontal="left" vertical="top" wrapText="1"/>
    </xf>
    <xf numFmtId="0" fontId="0" fillId="6" borderId="64" xfId="0" applyFill="1" applyBorder="1" applyAlignment="1">
      <alignment wrapText="1"/>
    </xf>
    <xf numFmtId="0" fontId="1" fillId="6" borderId="33" xfId="0" applyFont="1" applyFill="1" applyBorder="1" applyAlignment="1">
      <alignment wrapText="1"/>
    </xf>
    <xf numFmtId="0" fontId="1" fillId="6" borderId="65" xfId="0" applyFont="1" applyFill="1" applyBorder="1" applyAlignment="1">
      <alignment horizontal="center" vertical="center" wrapText="1"/>
    </xf>
    <xf numFmtId="0" fontId="1" fillId="6" borderId="73" xfId="0" applyFont="1" applyFill="1" applyBorder="1" applyAlignment="1">
      <alignment horizontal="center" vertical="center" wrapText="1"/>
    </xf>
    <xf numFmtId="0" fontId="1" fillId="6" borderId="3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64" xfId="0" applyBorder="1" applyAlignment="1">
      <alignment horizontal="center"/>
    </xf>
    <xf numFmtId="0" fontId="20" fillId="0" borderId="1" xfId="0" applyFont="1" applyBorder="1" applyAlignment="1">
      <alignment horizontal="center"/>
    </xf>
    <xf numFmtId="17" fontId="25" fillId="0" borderId="1" xfId="0" applyNumberFormat="1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64" xfId="0" applyFont="1" applyBorder="1" applyAlignment="1">
      <alignment horizontal="center"/>
    </xf>
    <xf numFmtId="0" fontId="1" fillId="8" borderId="33" xfId="0" applyFont="1" applyFill="1" applyBorder="1" applyAlignment="1">
      <alignment horizontal="left" vertical="center" wrapText="1"/>
    </xf>
    <xf numFmtId="0" fontId="1" fillId="8" borderId="64" xfId="0" applyFont="1" applyFill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  <xf numFmtId="0" fontId="1" fillId="0" borderId="64" xfId="0" applyFont="1" applyBorder="1" applyAlignment="1">
      <alignment horizontal="left" vertical="center" wrapText="1"/>
    </xf>
    <xf numFmtId="0" fontId="1" fillId="8" borderId="33" xfId="0" applyFont="1" applyFill="1" applyBorder="1" applyAlignment="1">
      <alignment vertical="center" wrapText="1"/>
    </xf>
    <xf numFmtId="0" fontId="0" fillId="0" borderId="64" xfId="0" applyBorder="1" applyAlignment="1"/>
    <xf numFmtId="0" fontId="1" fillId="0" borderId="33" xfId="0" applyFont="1" applyFill="1" applyBorder="1" applyAlignment="1">
      <alignment horizontal="left" wrapText="1"/>
    </xf>
    <xf numFmtId="0" fontId="1" fillId="0" borderId="64" xfId="0" applyFont="1" applyFill="1" applyBorder="1" applyAlignment="1">
      <alignment horizontal="left" wrapText="1"/>
    </xf>
    <xf numFmtId="0" fontId="1" fillId="0" borderId="71" xfId="0" applyFont="1" applyFill="1" applyBorder="1" applyAlignment="1">
      <alignment horizontal="left" wrapText="1"/>
    </xf>
    <xf numFmtId="0" fontId="1" fillId="0" borderId="70" xfId="0" applyFont="1" applyFill="1" applyBorder="1" applyAlignment="1">
      <alignment horizontal="left" wrapText="1"/>
    </xf>
    <xf numFmtId="0" fontId="0" fillId="8" borderId="33" xfId="0" applyFill="1" applyBorder="1" applyAlignment="1">
      <alignment horizontal="left" vertical="center" wrapText="1"/>
    </xf>
    <xf numFmtId="0" fontId="0" fillId="8" borderId="64" xfId="0" applyFill="1" applyBorder="1" applyAlignment="1">
      <alignment horizontal="left" vertical="center" wrapText="1"/>
    </xf>
    <xf numFmtId="0" fontId="0" fillId="7" borderId="33" xfId="0" applyFill="1" applyBorder="1" applyAlignment="1">
      <alignment horizontal="left" vertical="center" wrapText="1"/>
    </xf>
    <xf numFmtId="0" fontId="0" fillId="7" borderId="64" xfId="0" applyFill="1" applyBorder="1" applyAlignment="1">
      <alignment horizontal="left" vertical="center" wrapText="1"/>
    </xf>
    <xf numFmtId="0" fontId="1" fillId="0" borderId="33" xfId="0" applyFont="1" applyBorder="1" applyAlignment="1">
      <alignment vertical="center" wrapText="1"/>
    </xf>
    <xf numFmtId="17" fontId="20" fillId="0" borderId="1" xfId="0" applyNumberFormat="1" applyFont="1" applyBorder="1" applyAlignment="1">
      <alignment horizontal="center"/>
    </xf>
    <xf numFmtId="0" fontId="1" fillId="9" borderId="37" xfId="0" applyFont="1" applyFill="1" applyBorder="1" applyAlignment="1">
      <alignment horizontal="left" wrapText="1"/>
    </xf>
    <xf numFmtId="0" fontId="1" fillId="9" borderId="33" xfId="0" applyFont="1" applyFill="1" applyBorder="1" applyAlignment="1">
      <alignment vertical="center" wrapText="1"/>
    </xf>
    <xf numFmtId="0" fontId="0" fillId="9" borderId="64" xfId="0" applyFill="1" applyBorder="1" applyAlignment="1">
      <alignment wrapText="1"/>
    </xf>
    <xf numFmtId="0" fontId="1" fillId="7" borderId="33" xfId="0" applyFont="1" applyFill="1" applyBorder="1" applyAlignment="1">
      <alignment horizontal="left" vertical="center" wrapText="1"/>
    </xf>
    <xf numFmtId="0" fontId="1" fillId="7" borderId="64" xfId="0" applyFont="1" applyFill="1" applyBorder="1" applyAlignment="1">
      <alignment horizontal="left" vertical="center" wrapText="1"/>
    </xf>
    <xf numFmtId="0" fontId="1" fillId="0" borderId="33" xfId="0" applyFont="1" applyBorder="1" applyAlignment="1">
      <alignment wrapText="1"/>
    </xf>
    <xf numFmtId="0" fontId="0" fillId="0" borderId="64" xfId="0" applyBorder="1" applyAlignment="1">
      <alignment wrapText="1"/>
    </xf>
    <xf numFmtId="4" fontId="0" fillId="0" borderId="33" xfId="0" applyNumberFormat="1" applyBorder="1" applyAlignment="1">
      <alignment horizontal="left" vertical="top" wrapText="1"/>
    </xf>
    <xf numFmtId="4" fontId="0" fillId="0" borderId="37" xfId="0" applyNumberFormat="1" applyBorder="1" applyAlignment="1">
      <alignment horizontal="left" vertical="top" wrapText="1"/>
    </xf>
    <xf numFmtId="4" fontId="0" fillId="0" borderId="64" xfId="0" applyNumberFormat="1" applyBorder="1" applyAlignment="1">
      <alignment horizontal="left" vertical="top" wrapText="1"/>
    </xf>
    <xf numFmtId="0" fontId="1" fillId="0" borderId="33" xfId="0" applyFont="1" applyFill="1" applyBorder="1" applyAlignment="1">
      <alignment wrapText="1"/>
    </xf>
    <xf numFmtId="0" fontId="1" fillId="7" borderId="33" xfId="0" applyFont="1" applyFill="1" applyBorder="1" applyAlignment="1">
      <alignment horizontal="left" wrapText="1"/>
    </xf>
    <xf numFmtId="0" fontId="1" fillId="7" borderId="64" xfId="0" applyFont="1" applyFill="1" applyBorder="1" applyAlignment="1">
      <alignment horizontal="left" wrapText="1"/>
    </xf>
    <xf numFmtId="0" fontId="0" fillId="9" borderId="33" xfId="0" applyFill="1" applyBorder="1" applyAlignment="1">
      <alignment horizontal="left" wrapText="1"/>
    </xf>
    <xf numFmtId="0" fontId="0" fillId="9" borderId="64" xfId="0" applyFill="1" applyBorder="1" applyAlignment="1">
      <alignment horizontal="left" wrapText="1"/>
    </xf>
    <xf numFmtId="0" fontId="1" fillId="0" borderId="65" xfId="0" applyFont="1" applyBorder="1" applyAlignment="1">
      <alignment horizontal="center" vertical="center" wrapText="1"/>
    </xf>
    <xf numFmtId="0" fontId="1" fillId="0" borderId="73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65" xfId="0" applyFont="1" applyBorder="1" applyAlignment="1">
      <alignment horizontal="left" vertical="center" wrapText="1"/>
    </xf>
    <xf numFmtId="0" fontId="1" fillId="0" borderId="73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left" vertical="center" wrapText="1"/>
    </xf>
    <xf numFmtId="0" fontId="0" fillId="7" borderId="33" xfId="0" applyFill="1" applyBorder="1" applyAlignment="1">
      <alignment horizontal="left" vertical="top" wrapText="1"/>
    </xf>
    <xf numFmtId="0" fontId="0" fillId="7" borderId="64" xfId="0" applyFill="1" applyBorder="1" applyAlignment="1">
      <alignment horizontal="left" vertical="top" wrapText="1"/>
    </xf>
    <xf numFmtId="0" fontId="1" fillId="8" borderId="33" xfId="0" applyFont="1" applyFill="1" applyBorder="1" applyAlignment="1">
      <alignment horizontal="left" wrapText="1"/>
    </xf>
    <xf numFmtId="0" fontId="1" fillId="8" borderId="64" xfId="0" applyFont="1" applyFill="1" applyBorder="1" applyAlignment="1">
      <alignment horizontal="left" wrapText="1"/>
    </xf>
    <xf numFmtId="0" fontId="0" fillId="7" borderId="33" xfId="0" applyFill="1" applyBorder="1" applyAlignment="1">
      <alignment wrapText="1"/>
    </xf>
    <xf numFmtId="0" fontId="0" fillId="7" borderId="64" xfId="0" applyFont="1" applyFill="1" applyBorder="1" applyAlignment="1">
      <alignment wrapText="1"/>
    </xf>
    <xf numFmtId="0" fontId="1" fillId="7" borderId="37" xfId="0" applyFont="1" applyFill="1" applyBorder="1" applyAlignment="1">
      <alignment horizontal="left" wrapText="1"/>
    </xf>
    <xf numFmtId="0" fontId="1" fillId="9" borderId="66" xfId="0" applyFont="1" applyFill="1" applyBorder="1" applyAlignment="1">
      <alignment horizontal="left" wrapText="1"/>
    </xf>
    <xf numFmtId="0" fontId="1" fillId="9" borderId="67" xfId="0" applyFont="1" applyFill="1" applyBorder="1" applyAlignment="1">
      <alignment horizontal="left" wrapText="1"/>
    </xf>
    <xf numFmtId="0" fontId="0" fillId="0" borderId="33" xfId="0" applyBorder="1" applyAlignment="1">
      <alignment horizontal="left" wrapText="1"/>
    </xf>
    <xf numFmtId="0" fontId="0" fillId="0" borderId="37" xfId="0" applyBorder="1" applyAlignment="1">
      <alignment horizontal="left" wrapText="1"/>
    </xf>
    <xf numFmtId="0" fontId="0" fillId="7" borderId="33" xfId="0" applyFill="1" applyBorder="1" applyAlignment="1">
      <alignment horizontal="left" wrapText="1"/>
    </xf>
    <xf numFmtId="0" fontId="0" fillId="7" borderId="64" xfId="0" applyFill="1" applyBorder="1" applyAlignment="1">
      <alignment horizontal="left" wrapText="1"/>
    </xf>
    <xf numFmtId="0" fontId="1" fillId="9" borderId="75" xfId="0" applyFont="1" applyFill="1" applyBorder="1" applyAlignment="1">
      <alignment horizontal="left"/>
    </xf>
    <xf numFmtId="0" fontId="0" fillId="9" borderId="66" xfId="0" applyFill="1" applyBorder="1" applyAlignment="1">
      <alignment horizontal="left" wrapText="1"/>
    </xf>
    <xf numFmtId="0" fontId="0" fillId="9" borderId="67" xfId="0" applyFill="1" applyBorder="1" applyAlignment="1">
      <alignment horizontal="left" wrapText="1"/>
    </xf>
    <xf numFmtId="0" fontId="17" fillId="9" borderId="33" xfId="0" applyFont="1" applyFill="1" applyBorder="1" applyAlignment="1">
      <alignment horizontal="left" wrapText="1"/>
    </xf>
    <xf numFmtId="0" fontId="17" fillId="9" borderId="37" xfId="0" applyFont="1" applyFill="1" applyBorder="1" applyAlignment="1">
      <alignment horizontal="left" wrapText="1"/>
    </xf>
    <xf numFmtId="0" fontId="17" fillId="9" borderId="64" xfId="0" applyFont="1" applyFill="1" applyBorder="1" applyAlignment="1">
      <alignment horizontal="left" wrapText="1"/>
    </xf>
    <xf numFmtId="0" fontId="0" fillId="0" borderId="33" xfId="0" applyBorder="1" applyAlignment="1">
      <alignment horizontal="left" vertical="center" wrapText="1"/>
    </xf>
    <xf numFmtId="0" fontId="0" fillId="0" borderId="64" xfId="0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17" fontId="1" fillId="0" borderId="2" xfId="0" applyNumberFormat="1" applyFont="1" applyBorder="1" applyAlignment="1">
      <alignment horizontal="center"/>
    </xf>
    <xf numFmtId="17" fontId="1" fillId="0" borderId="0" xfId="0" applyNumberFormat="1" applyFont="1" applyBorder="1" applyAlignment="1">
      <alignment horizontal="center"/>
    </xf>
    <xf numFmtId="0" fontId="1" fillId="8" borderId="33" xfId="0" applyFont="1" applyFill="1" applyBorder="1" applyAlignment="1">
      <alignment horizontal="center" vertical="center" wrapText="1"/>
    </xf>
    <xf numFmtId="0" fontId="1" fillId="8" borderId="3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3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9" fontId="7" fillId="0" borderId="4" xfId="0" applyNumberFormat="1" applyFont="1" applyBorder="1" applyAlignment="1">
      <alignment horizontal="center" vertical="center"/>
    </xf>
    <xf numFmtId="4" fontId="7" fillId="0" borderId="25" xfId="0" applyNumberFormat="1" applyFont="1" applyBorder="1" applyAlignment="1">
      <alignment horizontal="center"/>
    </xf>
    <xf numFmtId="4" fontId="7" fillId="0" borderId="31" xfId="0" applyNumberFormat="1" applyFont="1" applyBorder="1" applyAlignment="1">
      <alignment horizontal="center"/>
    </xf>
    <xf numFmtId="4" fontId="7" fillId="0" borderId="24" xfId="0" applyNumberFormat="1" applyFont="1" applyBorder="1" applyAlignment="1">
      <alignment horizontal="center"/>
    </xf>
    <xf numFmtId="4" fontId="7" fillId="0" borderId="32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40"/>
  <sheetViews>
    <sheetView tabSelected="1" zoomScaleNormal="100" workbookViewId="0">
      <selection activeCell="F245" sqref="F245"/>
    </sheetView>
  </sheetViews>
  <sheetFormatPr defaultRowHeight="14.4"/>
  <cols>
    <col min="1" max="1" width="28" customWidth="1"/>
    <col min="2" max="2" width="10.44140625" customWidth="1"/>
    <col min="3" max="3" width="13.33203125" customWidth="1"/>
    <col min="4" max="4" width="13.44140625" customWidth="1"/>
    <col min="5" max="5" width="14.88671875" customWidth="1"/>
    <col min="6" max="6" width="14.6640625" customWidth="1"/>
    <col min="7" max="7" width="12.5546875" customWidth="1"/>
    <col min="8" max="8" width="14.44140625" customWidth="1"/>
    <col min="9" max="10" width="13.33203125" customWidth="1"/>
    <col min="11" max="11" width="13.109375" customWidth="1"/>
    <col min="12" max="12" width="10.109375" customWidth="1"/>
    <col min="13" max="13" width="10.44140625" customWidth="1"/>
    <col min="14" max="14" width="10.109375" customWidth="1"/>
    <col min="15" max="15" width="10" customWidth="1"/>
    <col min="16" max="16" width="10.44140625" customWidth="1"/>
    <col min="17" max="17" width="10.33203125" customWidth="1"/>
    <col min="18" max="19" width="10" customWidth="1"/>
    <col min="20" max="20" width="10.44140625" customWidth="1"/>
    <col min="21" max="21" width="11.33203125" customWidth="1"/>
    <col min="22" max="22" width="11.44140625" customWidth="1"/>
    <col min="23" max="23" width="10.33203125" customWidth="1"/>
    <col min="24" max="24" width="11" customWidth="1"/>
    <col min="25" max="25" width="12.6640625" bestFit="1" customWidth="1"/>
  </cols>
  <sheetData>
    <row r="1" spans="1:25" ht="18">
      <c r="A1" s="513" t="s">
        <v>301</v>
      </c>
      <c r="Q1" s="396"/>
      <c r="R1" s="396"/>
      <c r="S1" s="442"/>
    </row>
    <row r="2" spans="1:25" ht="18.600000000000001" thickBot="1">
      <c r="A2" s="513" t="s">
        <v>321</v>
      </c>
      <c r="B2" s="1"/>
      <c r="C2" s="1"/>
      <c r="D2" s="1"/>
      <c r="E2" s="1"/>
      <c r="F2" s="1"/>
      <c r="G2" s="1"/>
      <c r="H2" s="1"/>
      <c r="I2" s="1"/>
      <c r="J2" s="1"/>
      <c r="Q2" s="396"/>
      <c r="R2" s="442"/>
      <c r="S2" s="442"/>
    </row>
    <row r="3" spans="1:25" ht="15" thickBot="1">
      <c r="A3" s="344" t="s">
        <v>291</v>
      </c>
      <c r="B3" s="320"/>
      <c r="Q3" s="396"/>
      <c r="R3" s="442"/>
      <c r="S3" s="396"/>
      <c r="U3" s="442"/>
      <c r="V3" s="442"/>
      <c r="W3" s="442"/>
    </row>
    <row r="4" spans="1:25" ht="15" thickBot="1">
      <c r="A4" s="305" t="s">
        <v>8</v>
      </c>
      <c r="B4" s="306">
        <v>135.9</v>
      </c>
      <c r="C4" s="313"/>
      <c r="D4" s="313"/>
      <c r="E4" s="1"/>
      <c r="F4" s="1"/>
      <c r="G4" s="1"/>
      <c r="H4" s="1"/>
      <c r="I4" s="1"/>
      <c r="J4" s="1"/>
      <c r="K4" s="8">
        <v>135.9</v>
      </c>
      <c r="Q4" s="442"/>
      <c r="R4" s="396"/>
      <c r="S4" s="396"/>
      <c r="T4" s="3"/>
      <c r="U4" s="3"/>
      <c r="V4" s="3"/>
      <c r="W4" s="3"/>
      <c r="X4" s="3"/>
    </row>
    <row r="5" spans="1:25" ht="15" thickBot="1">
      <c r="A5" s="488" t="s">
        <v>320</v>
      </c>
      <c r="B5" s="322">
        <v>1</v>
      </c>
      <c r="C5" s="315">
        <f t="shared" ref="C5:S5" si="0">B5+1</f>
        <v>2</v>
      </c>
      <c r="D5" s="315">
        <f t="shared" si="0"/>
        <v>3</v>
      </c>
      <c r="E5" s="315">
        <f t="shared" si="0"/>
        <v>4</v>
      </c>
      <c r="F5" s="315">
        <f t="shared" si="0"/>
        <v>5</v>
      </c>
      <c r="G5" s="315">
        <f t="shared" si="0"/>
        <v>6</v>
      </c>
      <c r="H5" s="315">
        <f t="shared" si="0"/>
        <v>7</v>
      </c>
      <c r="I5" s="315">
        <f t="shared" si="0"/>
        <v>8</v>
      </c>
      <c r="J5" s="315">
        <f t="shared" si="0"/>
        <v>9</v>
      </c>
      <c r="K5" s="315">
        <f t="shared" si="0"/>
        <v>10</v>
      </c>
      <c r="L5" s="315">
        <f t="shared" si="0"/>
        <v>11</v>
      </c>
      <c r="M5" s="315">
        <f t="shared" si="0"/>
        <v>12</v>
      </c>
      <c r="N5" s="315">
        <f t="shared" si="0"/>
        <v>13</v>
      </c>
      <c r="O5" s="315">
        <f t="shared" si="0"/>
        <v>14</v>
      </c>
      <c r="P5" s="315">
        <f t="shared" si="0"/>
        <v>15</v>
      </c>
      <c r="Q5" s="315">
        <f t="shared" si="0"/>
        <v>16</v>
      </c>
      <c r="R5" s="315">
        <f t="shared" si="0"/>
        <v>17</v>
      </c>
      <c r="S5" s="315">
        <f t="shared" si="0"/>
        <v>18</v>
      </c>
      <c r="T5" s="315">
        <v>19</v>
      </c>
      <c r="U5" s="703" t="s">
        <v>318</v>
      </c>
      <c r="V5" s="704"/>
      <c r="W5" s="705"/>
      <c r="X5" s="323"/>
    </row>
    <row r="6" spans="1:25" s="453" customFormat="1" ht="43.2" customHeight="1">
      <c r="A6" s="486" t="s">
        <v>14</v>
      </c>
      <c r="B6" s="454">
        <v>43983</v>
      </c>
      <c r="C6" s="454">
        <v>44013</v>
      </c>
      <c r="D6" s="454">
        <v>44044</v>
      </c>
      <c r="E6" s="454">
        <v>44075</v>
      </c>
      <c r="F6" s="454">
        <v>44105</v>
      </c>
      <c r="G6" s="454">
        <v>44136</v>
      </c>
      <c r="H6" s="454">
        <v>44166</v>
      </c>
      <c r="I6" s="454">
        <v>44287</v>
      </c>
      <c r="J6" s="454">
        <v>44317</v>
      </c>
      <c r="K6" s="454">
        <v>44348</v>
      </c>
      <c r="L6" s="454">
        <v>44378</v>
      </c>
      <c r="M6" s="454">
        <v>44409</v>
      </c>
      <c r="N6" s="454">
        <v>44440</v>
      </c>
      <c r="O6" s="454">
        <v>44470</v>
      </c>
      <c r="P6" s="454">
        <v>44501</v>
      </c>
      <c r="Q6" s="454">
        <v>44531</v>
      </c>
      <c r="R6" s="454">
        <v>44621</v>
      </c>
      <c r="S6" s="454">
        <v>44652</v>
      </c>
      <c r="T6" s="454" t="s">
        <v>232</v>
      </c>
      <c r="U6" s="454" t="s">
        <v>233</v>
      </c>
      <c r="V6" s="454" t="s">
        <v>253</v>
      </c>
      <c r="W6" s="454" t="s">
        <v>234</v>
      </c>
      <c r="X6" s="487" t="s">
        <v>11</v>
      </c>
    </row>
    <row r="7" spans="1:25">
      <c r="A7" s="5" t="s">
        <v>3</v>
      </c>
      <c r="B7" s="506">
        <v>316505.05</v>
      </c>
      <c r="C7" s="506">
        <v>1592445.57</v>
      </c>
      <c r="D7" s="506">
        <v>725240.56</v>
      </c>
      <c r="E7" s="506">
        <v>2006611.43</v>
      </c>
      <c r="F7" s="506">
        <v>4307535.6100000003</v>
      </c>
      <c r="G7" s="506">
        <v>1724521.75</v>
      </c>
      <c r="H7" s="506">
        <v>1370368.17</v>
      </c>
      <c r="I7" s="506">
        <v>1008769</v>
      </c>
      <c r="J7" s="506">
        <v>3191783.3</v>
      </c>
      <c r="K7" s="506">
        <v>4540547.53</v>
      </c>
      <c r="L7" s="506">
        <v>4216146.2300000004</v>
      </c>
      <c r="M7" s="506">
        <v>6464991.5</v>
      </c>
      <c r="N7" s="506">
        <v>2363545.4900000002</v>
      </c>
      <c r="O7" s="506">
        <v>3142377.4</v>
      </c>
      <c r="P7" s="506">
        <v>1592662.85</v>
      </c>
      <c r="Q7" s="506">
        <v>1408708.77</v>
      </c>
      <c r="R7" s="506">
        <v>1522597.03</v>
      </c>
      <c r="S7" s="506">
        <v>5241900.88</v>
      </c>
      <c r="T7" s="506">
        <v>2412513.5040000007</v>
      </c>
      <c r="U7" s="507">
        <f>V7+W7</f>
        <v>18470227.287371706</v>
      </c>
      <c r="V7" s="507">
        <v>16920738.337371707</v>
      </c>
      <c r="W7" s="507">
        <f>1351684.47+197804.48</f>
        <v>1549488.95</v>
      </c>
      <c r="X7" s="507">
        <f>SUM(B7:U7)</f>
        <v>67619998.911371723</v>
      </c>
      <c r="Y7" s="3"/>
    </row>
    <row r="8" spans="1:25">
      <c r="A8" s="5" t="s">
        <v>9</v>
      </c>
      <c r="B8" s="506">
        <v>0</v>
      </c>
      <c r="C8" s="506">
        <v>0</v>
      </c>
      <c r="D8" s="506">
        <v>0</v>
      </c>
      <c r="E8" s="506">
        <v>0</v>
      </c>
      <c r="F8" s="506">
        <v>0</v>
      </c>
      <c r="G8" s="506">
        <v>0</v>
      </c>
      <c r="H8" s="506">
        <v>0</v>
      </c>
      <c r="I8" s="506">
        <v>0</v>
      </c>
      <c r="J8" s="506">
        <v>0</v>
      </c>
      <c r="K8" s="506">
        <f t="shared" ref="K8:W8" si="1">ROUND((K17-1)*K7,2)</f>
        <v>347488.1</v>
      </c>
      <c r="L8" s="506">
        <f t="shared" si="1"/>
        <v>440545.12</v>
      </c>
      <c r="M8" s="506">
        <f t="shared" si="1"/>
        <v>827777.51</v>
      </c>
      <c r="N8" s="506">
        <f t="shared" si="1"/>
        <v>342619.55</v>
      </c>
      <c r="O8" s="506">
        <f t="shared" si="1"/>
        <v>492504.81</v>
      </c>
      <c r="P8" s="506">
        <f t="shared" si="1"/>
        <v>262518.62</v>
      </c>
      <c r="Q8" s="506">
        <f>ROUND((Q17-1)*Q7,2)</f>
        <v>262259.31</v>
      </c>
      <c r="R8" s="562">
        <f>ROUND((R17-1)*R7,2)</f>
        <v>318192.33</v>
      </c>
      <c r="S8" s="562">
        <f t="shared" si="1"/>
        <v>1257427.18</v>
      </c>
      <c r="T8" s="562">
        <f>ROUND((T17-1)*T7,2)</f>
        <v>740255.64</v>
      </c>
      <c r="U8" s="507">
        <f>ROUND((U17-1)*U7,2)</f>
        <v>5667404.54</v>
      </c>
      <c r="V8" s="561">
        <f t="shared" si="1"/>
        <v>5191959.3499999996</v>
      </c>
      <c r="W8" s="561">
        <f t="shared" si="1"/>
        <v>475445.19</v>
      </c>
      <c r="X8" s="507">
        <f>SUM(B8:U8)</f>
        <v>10958992.710000001</v>
      </c>
      <c r="Y8" s="3"/>
    </row>
    <row r="9" spans="1:25">
      <c r="A9" s="5" t="s">
        <v>10</v>
      </c>
      <c r="B9" s="506">
        <f>B7+B8</f>
        <v>316505.05</v>
      </c>
      <c r="C9" s="506">
        <f t="shared" ref="C9:J9" si="2">C7+C8</f>
        <v>1592445.57</v>
      </c>
      <c r="D9" s="506">
        <f t="shared" si="2"/>
        <v>725240.56</v>
      </c>
      <c r="E9" s="506">
        <f t="shared" si="2"/>
        <v>2006611.43</v>
      </c>
      <c r="F9" s="506">
        <f t="shared" si="2"/>
        <v>4307535.6100000003</v>
      </c>
      <c r="G9" s="506">
        <f t="shared" si="2"/>
        <v>1724521.75</v>
      </c>
      <c r="H9" s="506">
        <f t="shared" si="2"/>
        <v>1370368.17</v>
      </c>
      <c r="I9" s="506">
        <f t="shared" si="2"/>
        <v>1008769</v>
      </c>
      <c r="J9" s="506">
        <f t="shared" si="2"/>
        <v>3191783.3</v>
      </c>
      <c r="K9" s="506">
        <f t="shared" ref="K9:T9" si="3">ROUND(K7*K17,2)</f>
        <v>4888035.63</v>
      </c>
      <c r="L9" s="506">
        <f t="shared" si="3"/>
        <v>4656691.3499999996</v>
      </c>
      <c r="M9" s="506">
        <f t="shared" si="3"/>
        <v>7292769.0099999998</v>
      </c>
      <c r="N9" s="506">
        <f t="shared" si="3"/>
        <v>2706165.04</v>
      </c>
      <c r="O9" s="506">
        <f t="shared" si="3"/>
        <v>3634882.21</v>
      </c>
      <c r="P9" s="506">
        <f t="shared" si="3"/>
        <v>1855181.47</v>
      </c>
      <c r="Q9" s="506">
        <f>ROUND(Q7*Q17,2)</f>
        <v>1670968.08</v>
      </c>
      <c r="R9" s="506">
        <f t="shared" si="3"/>
        <v>1840789.36</v>
      </c>
      <c r="S9" s="506">
        <f t="shared" si="3"/>
        <v>6499328.0599999996</v>
      </c>
      <c r="T9" s="506">
        <f t="shared" si="3"/>
        <v>3152769.15</v>
      </c>
      <c r="U9" s="507">
        <f>U7+U8</f>
        <v>24137631.827371705</v>
      </c>
      <c r="V9" s="507">
        <f t="shared" ref="V9:W9" si="4">V7+V8</f>
        <v>22112697.687371708</v>
      </c>
      <c r="W9" s="507">
        <f t="shared" si="4"/>
        <v>2024934.14</v>
      </c>
      <c r="X9" s="507">
        <f t="shared" ref="X9:X10" si="5">SUM(B9:U9)</f>
        <v>78578991.627371699</v>
      </c>
    </row>
    <row r="10" spans="1:25">
      <c r="A10" s="5"/>
      <c r="B10" s="506">
        <v>316505.05</v>
      </c>
      <c r="C10" s="506">
        <v>1592445.57</v>
      </c>
      <c r="D10" s="506">
        <v>725240.56</v>
      </c>
      <c r="E10" s="506">
        <v>2006611.43</v>
      </c>
      <c r="F10" s="506">
        <v>4307535.6100000003</v>
      </c>
      <c r="G10" s="506">
        <v>1724521.75</v>
      </c>
      <c r="H10" s="506">
        <v>1370368.17</v>
      </c>
      <c r="I10" s="506">
        <v>1008769</v>
      </c>
      <c r="J10" s="506">
        <v>3191783.3</v>
      </c>
      <c r="K10" s="506">
        <v>4888035.63</v>
      </c>
      <c r="L10" s="506">
        <v>4656691.3499999996</v>
      </c>
      <c r="M10" s="506">
        <v>7292769.0099999998</v>
      </c>
      <c r="N10" s="506">
        <v>2706165.04</v>
      </c>
      <c r="O10" s="506">
        <v>3634882.21</v>
      </c>
      <c r="P10" s="506">
        <v>1855181.47</v>
      </c>
      <c r="Q10" s="506">
        <v>1660599.99</v>
      </c>
      <c r="R10" s="506">
        <v>1840789.36</v>
      </c>
      <c r="S10" s="506">
        <v>6499328.0599999996</v>
      </c>
      <c r="T10" s="506"/>
      <c r="U10" s="507"/>
      <c r="V10" s="507"/>
      <c r="W10" s="507"/>
      <c r="X10" s="507">
        <f t="shared" si="5"/>
        <v>51278222.560000002</v>
      </c>
    </row>
    <row r="11" spans="1:25" ht="43.2">
      <c r="A11" s="661" t="s">
        <v>317</v>
      </c>
      <c r="B11" s="506">
        <f t="shared" ref="B11:Q11" si="6">B9-B10</f>
        <v>0</v>
      </c>
      <c r="C11" s="506">
        <f t="shared" si="6"/>
        <v>0</v>
      </c>
      <c r="D11" s="506">
        <f t="shared" si="6"/>
        <v>0</v>
      </c>
      <c r="E11" s="506">
        <f t="shared" si="6"/>
        <v>0</v>
      </c>
      <c r="F11" s="506">
        <f t="shared" si="6"/>
        <v>0</v>
      </c>
      <c r="G11" s="506">
        <f t="shared" si="6"/>
        <v>0</v>
      </c>
      <c r="H11" s="506">
        <f t="shared" si="6"/>
        <v>0</v>
      </c>
      <c r="I11" s="506">
        <f t="shared" si="6"/>
        <v>0</v>
      </c>
      <c r="J11" s="506">
        <f t="shared" si="6"/>
        <v>0</v>
      </c>
      <c r="K11" s="506">
        <f t="shared" si="6"/>
        <v>0</v>
      </c>
      <c r="L11" s="506">
        <f t="shared" si="6"/>
        <v>0</v>
      </c>
      <c r="M11" s="506">
        <f t="shared" si="6"/>
        <v>0</v>
      </c>
      <c r="N11" s="506">
        <f t="shared" si="6"/>
        <v>0</v>
      </c>
      <c r="O11" s="506">
        <f t="shared" si="6"/>
        <v>0</v>
      </c>
      <c r="P11" s="506">
        <f t="shared" si="6"/>
        <v>0</v>
      </c>
      <c r="Q11" s="508">
        <f t="shared" si="6"/>
        <v>10368.090000000084</v>
      </c>
      <c r="R11" s="562">
        <v>318192.33</v>
      </c>
      <c r="S11" s="562">
        <v>1257427.18</v>
      </c>
      <c r="T11" s="562">
        <v>740255.64</v>
      </c>
      <c r="U11" s="563">
        <v>5667404.54</v>
      </c>
      <c r="V11" s="563">
        <v>5191959.3499999996</v>
      </c>
      <c r="W11" s="563">
        <v>475445.19</v>
      </c>
      <c r="X11" s="563">
        <f>SUM(Q11:U11)</f>
        <v>7993647.7800000003</v>
      </c>
    </row>
    <row r="12" spans="1:25" hidden="1">
      <c r="A12" s="16" t="s">
        <v>17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506"/>
      <c r="O12" s="506"/>
      <c r="P12" s="506"/>
      <c r="Q12" s="506"/>
      <c r="R12" s="562">
        <f>ROUND(R11*19%,2)</f>
        <v>60456.54</v>
      </c>
      <c r="S12" s="562">
        <f t="shared" ref="S12" si="7">ROUND(S11*19%,2)</f>
        <v>238911.16</v>
      </c>
      <c r="T12" s="562"/>
      <c r="U12" s="562"/>
      <c r="V12" s="562"/>
      <c r="W12" s="562"/>
      <c r="X12" s="562"/>
    </row>
    <row r="13" spans="1:25" hidden="1">
      <c r="A13" s="5" t="s">
        <v>18</v>
      </c>
      <c r="B13" s="506"/>
      <c r="C13" s="506"/>
      <c r="D13" s="506"/>
      <c r="E13" s="506"/>
      <c r="F13" s="506"/>
      <c r="G13" s="506"/>
      <c r="H13" s="506"/>
      <c r="I13" s="506"/>
      <c r="J13" s="506"/>
      <c r="K13" s="506"/>
      <c r="L13" s="506"/>
      <c r="M13" s="506"/>
      <c r="N13" s="506"/>
      <c r="O13" s="506"/>
      <c r="P13" s="506"/>
      <c r="Q13" s="506"/>
      <c r="R13" s="562">
        <f>R11+R12</f>
        <v>378648.87</v>
      </c>
      <c r="S13" s="562">
        <f t="shared" ref="S13:W13" si="8">S11+S12</f>
        <v>1496338.3399999999</v>
      </c>
      <c r="T13" s="562"/>
      <c r="U13" s="562">
        <f t="shared" si="8"/>
        <v>5667404.54</v>
      </c>
      <c r="V13" s="562">
        <f t="shared" si="8"/>
        <v>5191959.3499999996</v>
      </c>
      <c r="W13" s="562">
        <f t="shared" si="8"/>
        <v>475445.19</v>
      </c>
      <c r="X13" s="562"/>
    </row>
    <row r="14" spans="1:25">
      <c r="A14" s="5"/>
      <c r="B14" s="506"/>
      <c r="C14" s="506"/>
      <c r="D14" s="506"/>
      <c r="E14" s="506"/>
      <c r="F14" s="506"/>
      <c r="G14" s="506"/>
      <c r="H14" s="506"/>
      <c r="I14" s="506"/>
      <c r="J14" s="506"/>
      <c r="K14" s="506"/>
      <c r="L14" s="506"/>
      <c r="M14" s="706"/>
      <c r="N14" s="706"/>
      <c r="O14" s="706"/>
      <c r="P14" s="706"/>
      <c r="Q14" s="706"/>
      <c r="R14" s="707"/>
      <c r="S14" s="707"/>
      <c r="T14" s="707"/>
      <c r="U14" s="707"/>
      <c r="V14" s="707"/>
      <c r="W14" s="707"/>
      <c r="X14" s="564">
        <f>ROUND(X11*1.19,2)</f>
        <v>9512440.8599999994</v>
      </c>
    </row>
    <row r="15" spans="1:25">
      <c r="A15" s="2" t="s">
        <v>14</v>
      </c>
      <c r="B15" s="510"/>
      <c r="C15" s="510"/>
      <c r="D15" s="510"/>
      <c r="E15" s="510"/>
      <c r="F15" s="510"/>
      <c r="G15" s="510"/>
      <c r="H15" s="510"/>
      <c r="I15" s="510"/>
      <c r="J15" s="510"/>
      <c r="K15" s="511">
        <v>44287</v>
      </c>
      <c r="L15" s="511">
        <v>44317</v>
      </c>
      <c r="M15" s="511">
        <v>44348</v>
      </c>
      <c r="N15" s="511">
        <v>44378</v>
      </c>
      <c r="O15" s="511">
        <v>44409</v>
      </c>
      <c r="P15" s="511">
        <v>44440</v>
      </c>
      <c r="Q15" s="511">
        <v>44470</v>
      </c>
      <c r="R15" s="511">
        <v>44562</v>
      </c>
      <c r="S15" s="511">
        <v>44593</v>
      </c>
      <c r="T15" s="511">
        <v>44621</v>
      </c>
      <c r="U15" s="511">
        <v>44621</v>
      </c>
      <c r="V15" s="511">
        <v>44621</v>
      </c>
      <c r="W15" s="511">
        <v>44621</v>
      </c>
      <c r="X15" s="511"/>
    </row>
    <row r="16" spans="1:25">
      <c r="A16" s="2" t="s">
        <v>4</v>
      </c>
      <c r="B16" s="512">
        <v>135.9</v>
      </c>
      <c r="C16" s="512">
        <v>135.9</v>
      </c>
      <c r="D16" s="512">
        <v>135.9</v>
      </c>
      <c r="E16" s="512">
        <v>135.9</v>
      </c>
      <c r="F16" s="512">
        <v>135.9</v>
      </c>
      <c r="G16" s="512">
        <v>135.9</v>
      </c>
      <c r="H16" s="512">
        <v>135.9</v>
      </c>
      <c r="I16" s="512">
        <v>135.9</v>
      </c>
      <c r="J16" s="512">
        <v>135.9</v>
      </c>
      <c r="K16" s="506">
        <v>146.30000000000001</v>
      </c>
      <c r="L16" s="506">
        <v>150.1</v>
      </c>
      <c r="M16" s="506">
        <v>153.30000000000001</v>
      </c>
      <c r="N16" s="506">
        <v>155.6</v>
      </c>
      <c r="O16" s="506">
        <v>157.19999999999999</v>
      </c>
      <c r="P16" s="506">
        <v>158.30000000000001</v>
      </c>
      <c r="Q16" s="506">
        <v>161.19999999999999</v>
      </c>
      <c r="R16" s="506">
        <v>164.3</v>
      </c>
      <c r="S16" s="506">
        <v>168.5</v>
      </c>
      <c r="T16" s="506">
        <v>177.6</v>
      </c>
      <c r="U16" s="506">
        <v>177.6</v>
      </c>
      <c r="V16" s="506">
        <v>177.6</v>
      </c>
      <c r="W16" s="506">
        <v>177.6</v>
      </c>
      <c r="X16" s="506"/>
    </row>
    <row r="17" spans="1:24">
      <c r="A17" s="2" t="s">
        <v>5</v>
      </c>
      <c r="B17" s="512">
        <v>1</v>
      </c>
      <c r="C17" s="512">
        <v>1</v>
      </c>
      <c r="D17" s="512">
        <v>1</v>
      </c>
      <c r="E17" s="512">
        <v>1</v>
      </c>
      <c r="F17" s="512">
        <v>1</v>
      </c>
      <c r="G17" s="512">
        <v>1</v>
      </c>
      <c r="H17" s="512">
        <v>1</v>
      </c>
      <c r="I17" s="512">
        <v>1</v>
      </c>
      <c r="J17" s="512">
        <v>1</v>
      </c>
      <c r="K17" s="512">
        <v>1.07653</v>
      </c>
      <c r="L17" s="512">
        <v>1.10449</v>
      </c>
      <c r="M17" s="512">
        <v>1.1280399999999999</v>
      </c>
      <c r="N17" s="512">
        <v>1.14496</v>
      </c>
      <c r="O17" s="512">
        <v>1.15673</v>
      </c>
      <c r="P17" s="512">
        <v>1.16483</v>
      </c>
      <c r="Q17" s="512">
        <f>ROUND(Q16/B4,5)</f>
        <v>1.1861699999999999</v>
      </c>
      <c r="R17" s="512">
        <f>ROUND(R16/$B$4,5)</f>
        <v>1.2089799999999999</v>
      </c>
      <c r="S17" s="512">
        <f>ROUND(S16/$B$4,5)</f>
        <v>1.2398800000000001</v>
      </c>
      <c r="T17" s="512">
        <f>ROUND(T16/$B$4,5)</f>
        <v>1.30684</v>
      </c>
      <c r="U17" s="512">
        <f>ROUND(U16/$B$4,5)</f>
        <v>1.30684</v>
      </c>
      <c r="V17" s="512">
        <f t="shared" ref="V17:W17" si="9">ROUND(V16/$B$4,5)</f>
        <v>1.30684</v>
      </c>
      <c r="W17" s="512">
        <f t="shared" si="9"/>
        <v>1.30684</v>
      </c>
      <c r="X17" s="512"/>
    </row>
    <row r="18" spans="1:24" hidden="1">
      <c r="A18" s="11" t="s">
        <v>15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6">
        <f>L16-K16</f>
        <v>3.7999999999999829</v>
      </c>
      <c r="M18" s="5" t="e">
        <f>M16-#REF!</f>
        <v>#REF!</v>
      </c>
      <c r="N18" s="5">
        <f t="shared" ref="N18:P18" si="10">N16-M16</f>
        <v>2.2999999999999829</v>
      </c>
      <c r="O18" s="5">
        <f t="shared" si="10"/>
        <v>1.5999999999999943</v>
      </c>
      <c r="P18" s="5">
        <f t="shared" si="10"/>
        <v>1.1000000000000227</v>
      </c>
      <c r="Q18" s="6">
        <f>Q16-P16</f>
        <v>2.8999999999999773</v>
      </c>
      <c r="R18" s="6">
        <f>R16-Q16</f>
        <v>3.1000000000000227</v>
      </c>
      <c r="S18" s="6">
        <f t="shared" ref="S18:W19" si="11">S16-R16</f>
        <v>4.1999999999999886</v>
      </c>
      <c r="T18" s="6">
        <f>T16-R16</f>
        <v>13.299999999999983</v>
      </c>
      <c r="U18" s="6">
        <f>U16-S16</f>
        <v>9.0999999999999943</v>
      </c>
      <c r="V18" s="6">
        <f t="shared" si="11"/>
        <v>0</v>
      </c>
      <c r="W18" s="309">
        <f t="shared" si="11"/>
        <v>0</v>
      </c>
      <c r="X18" s="6"/>
    </row>
    <row r="19" spans="1:24" hidden="1">
      <c r="A19" s="11" t="s">
        <v>16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>
        <f>L17-K17</f>
        <v>2.7959999999999985E-2</v>
      </c>
      <c r="M19" s="5" t="e">
        <f>M17-#REF!</f>
        <v>#REF!</v>
      </c>
      <c r="N19" s="5">
        <f>N17-M17</f>
        <v>1.6920000000000046E-2</v>
      </c>
      <c r="O19" s="5">
        <f>O17-N17</f>
        <v>1.1770000000000058E-2</v>
      </c>
      <c r="P19" s="5">
        <f>P17-O17</f>
        <v>8.0999999999999961E-3</v>
      </c>
      <c r="Q19" s="449">
        <f>Q17-P17</f>
        <v>2.1339999999999915E-2</v>
      </c>
      <c r="R19" s="5">
        <f>R17-Q17</f>
        <v>2.2809999999999997E-2</v>
      </c>
      <c r="S19" s="5">
        <f t="shared" si="11"/>
        <v>3.090000000000015E-2</v>
      </c>
      <c r="T19" s="5">
        <f>T17-R17</f>
        <v>9.7860000000000058E-2</v>
      </c>
      <c r="U19" s="5">
        <f>U17-S17</f>
        <v>6.6959999999999908E-2</v>
      </c>
      <c r="V19" s="5">
        <f t="shared" si="11"/>
        <v>0</v>
      </c>
      <c r="W19" s="389">
        <f t="shared" si="11"/>
        <v>0</v>
      </c>
      <c r="X19" s="5"/>
    </row>
    <row r="20" spans="1:24" ht="15" thickBot="1">
      <c r="A20" s="455" t="s">
        <v>255</v>
      </c>
      <c r="Q20" s="442"/>
    </row>
    <row r="21" spans="1:24" ht="15" thickBot="1">
      <c r="A21" s="708" t="s">
        <v>170</v>
      </c>
      <c r="B21" s="709"/>
      <c r="C21" s="556" t="s">
        <v>167</v>
      </c>
      <c r="D21" s="332" t="s">
        <v>168</v>
      </c>
      <c r="E21" s="489" t="s">
        <v>169</v>
      </c>
      <c r="F21" s="656" t="s">
        <v>292</v>
      </c>
      <c r="G21" s="657" t="s">
        <v>168</v>
      </c>
      <c r="H21" s="658" t="s">
        <v>169</v>
      </c>
      <c r="I21" s="659" t="s">
        <v>155</v>
      </c>
      <c r="J21" s="660" t="s">
        <v>168</v>
      </c>
      <c r="K21" s="655" t="s">
        <v>169</v>
      </c>
      <c r="Q21" s="450"/>
    </row>
    <row r="22" spans="1:24" s="441" customFormat="1" ht="15" thickBot="1">
      <c r="A22" s="424" t="s">
        <v>231</v>
      </c>
      <c r="B22" s="565"/>
      <c r="C22" s="566">
        <v>10368.09</v>
      </c>
      <c r="D22" s="566">
        <f>ROUND(C22*0.19,2)</f>
        <v>1969.94</v>
      </c>
      <c r="E22" s="567">
        <f>C22+D22</f>
        <v>12338.03</v>
      </c>
      <c r="F22" s="568">
        <v>8870.09</v>
      </c>
      <c r="G22" s="567">
        <f t="shared" ref="G22:G25" si="12">ROUND(F22*0.19,2)</f>
        <v>1685.32</v>
      </c>
      <c r="H22" s="566">
        <f t="shared" ref="H22:H25" si="13">F22+G22</f>
        <v>10555.41</v>
      </c>
      <c r="I22" s="569">
        <v>1498</v>
      </c>
      <c r="J22" s="567">
        <f t="shared" ref="J22:J25" si="14">ROUND(I22*0.19,2)</f>
        <v>284.62</v>
      </c>
      <c r="K22" s="566">
        <f t="shared" ref="K22:K25" si="15">I22+J22</f>
        <v>1782.62</v>
      </c>
      <c r="Q22" s="450"/>
      <c r="T22" s="570"/>
    </row>
    <row r="23" spans="1:24" s="441" customFormat="1" ht="15" thickBot="1">
      <c r="A23" s="424" t="s">
        <v>212</v>
      </c>
      <c r="B23" s="565"/>
      <c r="C23" s="566">
        <v>318192.33</v>
      </c>
      <c r="D23" s="566">
        <f t="shared" ref="D23:D24" si="16">ROUND(C23*0.19,2)</f>
        <v>60456.54</v>
      </c>
      <c r="E23" s="567">
        <f t="shared" ref="E23:E24" si="17">C23+D23</f>
        <v>378648.87</v>
      </c>
      <c r="F23" s="571">
        <v>164642.10999999999</v>
      </c>
      <c r="G23" s="567">
        <f t="shared" si="12"/>
        <v>31282</v>
      </c>
      <c r="H23" s="566">
        <f t="shared" si="13"/>
        <v>195924.11</v>
      </c>
      <c r="I23" s="572">
        <v>153550.22</v>
      </c>
      <c r="J23" s="567">
        <f t="shared" si="14"/>
        <v>29174.54</v>
      </c>
      <c r="K23" s="566">
        <f t="shared" si="15"/>
        <v>182724.76</v>
      </c>
      <c r="Q23" s="450"/>
    </row>
    <row r="24" spans="1:24" s="441" customFormat="1" ht="15" thickBot="1">
      <c r="A24" s="424" t="s">
        <v>213</v>
      </c>
      <c r="B24" s="565"/>
      <c r="C24" s="566">
        <v>1257427.18</v>
      </c>
      <c r="D24" s="566">
        <f t="shared" si="16"/>
        <v>238911.16</v>
      </c>
      <c r="E24" s="567">
        <f t="shared" si="17"/>
        <v>1496338.3399999999</v>
      </c>
      <c r="F24" s="566">
        <v>1152721.07</v>
      </c>
      <c r="G24" s="567">
        <f t="shared" si="12"/>
        <v>219017</v>
      </c>
      <c r="H24" s="566">
        <f t="shared" si="13"/>
        <v>1371738.07</v>
      </c>
      <c r="I24" s="573">
        <v>104706.11</v>
      </c>
      <c r="J24" s="567">
        <f t="shared" si="14"/>
        <v>19894.16</v>
      </c>
      <c r="K24" s="566">
        <f t="shared" si="15"/>
        <v>124600.27</v>
      </c>
      <c r="Q24" s="450"/>
    </row>
    <row r="25" spans="1:24" s="441" customFormat="1" ht="15" thickBot="1">
      <c r="A25" s="424" t="s">
        <v>230</v>
      </c>
      <c r="B25" s="565"/>
      <c r="C25" s="574">
        <v>740255.64</v>
      </c>
      <c r="D25" s="566">
        <f>ROUND(C25*0.19,2)</f>
        <v>140648.57</v>
      </c>
      <c r="E25" s="567">
        <f>C25+D25</f>
        <v>880904.21</v>
      </c>
      <c r="F25" s="568">
        <v>718528.92</v>
      </c>
      <c r="G25" s="567">
        <f t="shared" si="12"/>
        <v>136520.49</v>
      </c>
      <c r="H25" s="566">
        <f t="shared" si="13"/>
        <v>855049.41</v>
      </c>
      <c r="I25" s="569">
        <v>21726.719999999972</v>
      </c>
      <c r="J25" s="567">
        <f t="shared" si="14"/>
        <v>4128.08</v>
      </c>
      <c r="K25" s="566">
        <f t="shared" si="15"/>
        <v>25854.799999999974</v>
      </c>
    </row>
    <row r="26" spans="1:24" s="441" customFormat="1" ht="15" thickBot="1">
      <c r="A26" s="424" t="s">
        <v>319</v>
      </c>
      <c r="B26" s="565"/>
      <c r="C26" s="574">
        <v>5667404.54</v>
      </c>
      <c r="D26" s="566">
        <f>ROUND(C26*0.19,2)</f>
        <v>1076806.8600000001</v>
      </c>
      <c r="E26" s="567">
        <f>C26+D26</f>
        <v>6744211.4000000004</v>
      </c>
      <c r="F26" s="568">
        <v>5191959.3499999996</v>
      </c>
      <c r="G26" s="567">
        <f t="shared" ref="G26" si="18">ROUND(F26*0.19,2)</f>
        <v>986472.28</v>
      </c>
      <c r="H26" s="566">
        <f t="shared" ref="H26" si="19">F26+G26</f>
        <v>6178431.6299999999</v>
      </c>
      <c r="I26" s="569">
        <v>475445.19</v>
      </c>
      <c r="J26" s="567">
        <f t="shared" ref="J26" si="20">ROUND(I26*0.19,2)</f>
        <v>90334.59</v>
      </c>
      <c r="K26" s="566">
        <f t="shared" ref="K26" si="21">I26+J26</f>
        <v>565779.78</v>
      </c>
    </row>
    <row r="27" spans="1:24" s="441" customFormat="1" ht="15" thickBot="1">
      <c r="A27" s="575" t="s">
        <v>322</v>
      </c>
      <c r="B27" s="576"/>
      <c r="C27" s="426">
        <f>SUM(C22:C26)</f>
        <v>7993647.7800000003</v>
      </c>
      <c r="D27" s="426">
        <f t="shared" ref="D27:K27" si="22">SUM(D22:D26)</f>
        <v>1518793.07</v>
      </c>
      <c r="E27" s="426">
        <f t="shared" si="22"/>
        <v>9512440.8499999996</v>
      </c>
      <c r="F27" s="426">
        <f t="shared" si="22"/>
        <v>7236721.5399999991</v>
      </c>
      <c r="G27" s="426">
        <f t="shared" si="22"/>
        <v>1374977.09</v>
      </c>
      <c r="H27" s="426">
        <f t="shared" si="22"/>
        <v>8611698.629999999</v>
      </c>
      <c r="I27" s="426">
        <f t="shared" si="22"/>
        <v>756926.24</v>
      </c>
      <c r="J27" s="426">
        <f t="shared" si="22"/>
        <v>143815.99</v>
      </c>
      <c r="K27" s="578">
        <f t="shared" si="22"/>
        <v>900742.23</v>
      </c>
    </row>
    <row r="28" spans="1:24" s="441" customFormat="1" ht="36" hidden="1" customHeight="1" thickBot="1">
      <c r="A28" s="677" t="s">
        <v>235</v>
      </c>
      <c r="B28" s="698"/>
      <c r="C28" s="432">
        <v>70585343.849999994</v>
      </c>
      <c r="D28" s="397">
        <f>ROUND(C28*0.19,2)</f>
        <v>13411215.33</v>
      </c>
      <c r="E28" s="430">
        <f>C28+D28</f>
        <v>83996559.179999992</v>
      </c>
    </row>
    <row r="29" spans="1:24" s="441" customFormat="1" ht="15" hidden="1" thickBot="1">
      <c r="A29" s="677" t="s">
        <v>186</v>
      </c>
      <c r="B29" s="678"/>
      <c r="C29" s="432">
        <v>65262378.119999997</v>
      </c>
      <c r="D29" s="397">
        <f t="shared" ref="D29:D48" si="23">ROUND(C29*0.19,2)</f>
        <v>12399851.84</v>
      </c>
      <c r="E29" s="430">
        <f t="shared" ref="E29" si="24">C29+D29</f>
        <v>77662229.959999993</v>
      </c>
      <c r="F29" s="424" t="s">
        <v>204</v>
      </c>
      <c r="G29" s="577"/>
      <c r="H29" s="578">
        <v>65262378.119999997</v>
      </c>
      <c r="I29" s="579"/>
    </row>
    <row r="30" spans="1:24" s="441" customFormat="1" ht="27" hidden="1" customHeight="1" thickBot="1">
      <c r="A30" s="699" t="s">
        <v>305</v>
      </c>
      <c r="B30" s="698"/>
      <c r="C30" s="432">
        <f>C28-C29</f>
        <v>5322965.7299999967</v>
      </c>
      <c r="D30" s="397">
        <f t="shared" si="23"/>
        <v>1011363.49</v>
      </c>
      <c r="E30" s="397">
        <f>C30+D30</f>
        <v>6334329.2199999969</v>
      </c>
      <c r="F30" s="700" t="s">
        <v>270</v>
      </c>
      <c r="G30" s="580">
        <f>G32</f>
        <v>5649870.7400000002</v>
      </c>
      <c r="H30" s="448">
        <f>H29-H32</f>
        <v>61970128.18</v>
      </c>
      <c r="I30" s="385"/>
      <c r="J30" s="581">
        <f>C30*1.19</f>
        <v>6334329.2186999954</v>
      </c>
    </row>
    <row r="31" spans="1:24" s="441" customFormat="1" ht="29.4" hidden="1" thickBot="1">
      <c r="A31" s="582" t="s">
        <v>304</v>
      </c>
      <c r="B31" s="583"/>
      <c r="C31" s="432">
        <v>2467841.2200000002</v>
      </c>
      <c r="D31" s="397">
        <f t="shared" si="23"/>
        <v>468889.83</v>
      </c>
      <c r="E31" s="430">
        <f t="shared" ref="E31:E48" si="25">C31+D31</f>
        <v>2936731.0500000003</v>
      </c>
      <c r="F31" s="701"/>
      <c r="G31" s="584" t="s">
        <v>155</v>
      </c>
      <c r="H31" s="585" t="s">
        <v>197</v>
      </c>
      <c r="I31" s="586" t="s">
        <v>198</v>
      </c>
      <c r="J31" s="581"/>
    </row>
    <row r="32" spans="1:24" s="441" customFormat="1" ht="29.4" hidden="1" customHeight="1" thickBot="1">
      <c r="A32" s="687" t="s">
        <v>303</v>
      </c>
      <c r="B32" s="688"/>
      <c r="C32" s="587">
        <f>C30-C31</f>
        <v>2855124.5099999965</v>
      </c>
      <c r="D32" s="397">
        <f t="shared" si="23"/>
        <v>542473.66</v>
      </c>
      <c r="E32" s="430">
        <f>C32+D32</f>
        <v>3397598.1699999967</v>
      </c>
      <c r="F32" s="702"/>
      <c r="G32" s="580">
        <f>4531008.34+1118862.4</f>
        <v>5649870.7400000002</v>
      </c>
      <c r="H32" s="448">
        <f>2112929.61+258262.18+431421.68+489636.47</f>
        <v>3292249.9400000004</v>
      </c>
      <c r="I32" s="385">
        <f>G32-H32</f>
        <v>2357620.7999999998</v>
      </c>
      <c r="J32" s="581"/>
    </row>
    <row r="33" spans="1:12" s="441" customFormat="1" ht="43.8" hidden="1" thickBot="1">
      <c r="A33" s="424" t="s">
        <v>250</v>
      </c>
      <c r="B33" s="579"/>
      <c r="C33" s="587">
        <f>536048.7-37615.63+1892180.61+27465.05-258262.18+197804.25</f>
        <v>2357620.7999999998</v>
      </c>
      <c r="D33" s="397">
        <f t="shared" si="23"/>
        <v>447947.95</v>
      </c>
      <c r="E33" s="430">
        <f t="shared" si="25"/>
        <v>2805568.75</v>
      </c>
      <c r="F33" s="588" t="s">
        <v>293</v>
      </c>
      <c r="G33" s="589">
        <f>194322.78+I27</f>
        <v>951249.02</v>
      </c>
      <c r="H33" s="590"/>
      <c r="I33" s="578"/>
      <c r="J33" s="581"/>
      <c r="K33" s="581"/>
    </row>
    <row r="34" spans="1:12" s="441" customFormat="1" ht="58.2" hidden="1" thickBot="1">
      <c r="A34" s="424" t="s">
        <v>251</v>
      </c>
      <c r="B34" s="579"/>
      <c r="C34" s="587">
        <v>1112148.329999997</v>
      </c>
      <c r="D34" s="397">
        <f t="shared" si="23"/>
        <v>211308.18</v>
      </c>
      <c r="E34" s="430">
        <f t="shared" si="25"/>
        <v>1323456.509999997</v>
      </c>
      <c r="F34" s="588" t="s">
        <v>294</v>
      </c>
      <c r="G34" s="578"/>
      <c r="H34" s="578">
        <f>2771022.15+F27</f>
        <v>10007743.689999999</v>
      </c>
      <c r="I34" s="397"/>
      <c r="J34" s="557"/>
    </row>
    <row r="35" spans="1:12" s="441" customFormat="1" ht="78.75" hidden="1" customHeight="1" thickBot="1">
      <c r="A35" s="687" t="s">
        <v>307</v>
      </c>
      <c r="B35" s="682"/>
      <c r="C35" s="397">
        <v>194322.78</v>
      </c>
      <c r="D35" s="430">
        <f t="shared" si="23"/>
        <v>36921.33</v>
      </c>
      <c r="E35" s="430">
        <f t="shared" si="25"/>
        <v>231244.11</v>
      </c>
      <c r="F35" s="591" t="s">
        <v>295</v>
      </c>
      <c r="G35" s="578">
        <f>G30+G33</f>
        <v>6601119.7599999998</v>
      </c>
      <c r="H35" s="578">
        <f>H29-H32+H34</f>
        <v>71977871.870000005</v>
      </c>
      <c r="I35" s="578">
        <f>G35+H35</f>
        <v>78578991.63000001</v>
      </c>
      <c r="J35" s="581"/>
    </row>
    <row r="36" spans="1:12" s="441" customFormat="1" ht="29.4" hidden="1" customHeight="1" thickBot="1">
      <c r="A36" s="687" t="s">
        <v>308</v>
      </c>
      <c r="B36" s="688"/>
      <c r="C36" s="397">
        <f>2771022.15-2467841.22</f>
        <v>303180.9299999997</v>
      </c>
      <c r="D36" s="397">
        <f t="shared" si="23"/>
        <v>57604.38</v>
      </c>
      <c r="E36" s="430">
        <f t="shared" si="25"/>
        <v>360785.30999999971</v>
      </c>
      <c r="F36" s="592" t="s">
        <v>277</v>
      </c>
      <c r="G36" s="593"/>
      <c r="H36" s="593"/>
      <c r="I36" s="594">
        <f>ROUND((I32+G33)/I35,4)</f>
        <v>4.2099999999999999E-2</v>
      </c>
      <c r="J36" s="441">
        <v>2259659</v>
      </c>
      <c r="K36" s="570">
        <f>C31+C36</f>
        <v>2771022.15</v>
      </c>
    </row>
    <row r="37" spans="1:12" s="441" customFormat="1" ht="29.4" hidden="1" customHeight="1" thickBot="1">
      <c r="A37" s="687" t="s">
        <v>191</v>
      </c>
      <c r="B37" s="688"/>
      <c r="C37" s="587">
        <f>C33-C34</f>
        <v>1245472.4700000028</v>
      </c>
      <c r="D37" s="397">
        <f t="shared" si="23"/>
        <v>236639.77</v>
      </c>
      <c r="E37" s="430">
        <f t="shared" si="25"/>
        <v>1482112.2400000028</v>
      </c>
      <c r="F37" s="595" t="s">
        <v>269</v>
      </c>
      <c r="G37" s="596"/>
      <c r="H37" s="597"/>
      <c r="I37" s="598">
        <f>ROUND(G32/I35,4)</f>
        <v>7.1900000000000006E-2</v>
      </c>
      <c r="J37" s="581">
        <f>C37+G33+I27</f>
        <v>2953647.7300000032</v>
      </c>
      <c r="K37" s="599">
        <v>2044764.19</v>
      </c>
    </row>
    <row r="38" spans="1:12" s="441" customFormat="1" ht="28.2" hidden="1" customHeight="1" thickBot="1">
      <c r="A38" s="699" t="s">
        <v>302</v>
      </c>
      <c r="B38" s="698"/>
      <c r="C38" s="432">
        <f>SUM(C39:C41)</f>
        <v>2965344.9299999997</v>
      </c>
      <c r="D38" s="432">
        <f>SUM(D39:D41)</f>
        <v>563415.53999999992</v>
      </c>
      <c r="E38" s="600">
        <f t="shared" si="25"/>
        <v>3528760.4699999997</v>
      </c>
      <c r="F38" s="601" t="s">
        <v>278</v>
      </c>
      <c r="G38" s="602"/>
      <c r="H38" s="603"/>
      <c r="I38" s="604">
        <f>ROUND((I32+G35)/I35,4)</f>
        <v>0.114</v>
      </c>
      <c r="J38" s="581">
        <f>J36-J37</f>
        <v>-693988.73000000324</v>
      </c>
      <c r="K38" s="599">
        <v>5191959.3499999996</v>
      </c>
      <c r="L38" s="441">
        <f>SUM(K37:K38)</f>
        <v>7236723.5399999991</v>
      </c>
    </row>
    <row r="39" spans="1:12" s="441" customFormat="1" ht="45.6" hidden="1" customHeight="1" thickBot="1">
      <c r="A39" s="687" t="s">
        <v>247</v>
      </c>
      <c r="B39" s="688"/>
      <c r="C39" s="432">
        <v>2467841.2200000002</v>
      </c>
      <c r="D39" s="432">
        <f t="shared" si="23"/>
        <v>468889.83</v>
      </c>
      <c r="E39" s="605">
        <f t="shared" si="25"/>
        <v>2936731.0500000003</v>
      </c>
      <c r="F39" s="679" t="s">
        <v>297</v>
      </c>
      <c r="G39" s="680"/>
      <c r="H39" s="681"/>
      <c r="I39" s="578">
        <f>I35-H29</f>
        <v>13316613.510000013</v>
      </c>
      <c r="J39" s="581"/>
      <c r="K39" s="570">
        <f>SUM(K36:K38)</f>
        <v>10007745.689999999</v>
      </c>
    </row>
    <row r="40" spans="1:12" s="441" customFormat="1" ht="29.4" hidden="1" customHeight="1" thickBot="1">
      <c r="A40" s="687" t="s">
        <v>248</v>
      </c>
      <c r="B40" s="688"/>
      <c r="C40" s="606">
        <f>2771022.15-2467841.22</f>
        <v>303180.9299999997</v>
      </c>
      <c r="D40" s="432">
        <f t="shared" si="23"/>
        <v>57604.38</v>
      </c>
      <c r="E40" s="607">
        <f t="shared" si="25"/>
        <v>360785.30999999971</v>
      </c>
      <c r="F40" s="679" t="s">
        <v>298</v>
      </c>
      <c r="G40" s="680"/>
      <c r="H40" s="680"/>
      <c r="I40" s="578">
        <f>I39*1.19</f>
        <v>15846770.076900015</v>
      </c>
      <c r="K40" s="599"/>
    </row>
    <row r="41" spans="1:12" s="441" customFormat="1" ht="29.4" hidden="1" customHeight="1" thickBot="1">
      <c r="A41" s="687" t="s">
        <v>306</v>
      </c>
      <c r="B41" s="688"/>
      <c r="C41" s="587">
        <v>194322.78</v>
      </c>
      <c r="D41" s="432">
        <f t="shared" si="23"/>
        <v>36921.33</v>
      </c>
      <c r="E41" s="605">
        <f t="shared" si="25"/>
        <v>231244.11</v>
      </c>
      <c r="F41" s="590"/>
      <c r="G41" s="450"/>
      <c r="H41" s="450"/>
      <c r="K41" s="599"/>
    </row>
    <row r="42" spans="1:12" s="441" customFormat="1" ht="15" hidden="1" thickBot="1">
      <c r="A42" s="424" t="s">
        <v>249</v>
      </c>
      <c r="B42" s="579"/>
      <c r="C42" s="587">
        <v>194322.78</v>
      </c>
      <c r="D42" s="432">
        <f t="shared" si="23"/>
        <v>36921.33</v>
      </c>
      <c r="E42" s="605">
        <f t="shared" si="25"/>
        <v>231244.11</v>
      </c>
      <c r="F42" s="608"/>
    </row>
    <row r="43" spans="1:12" s="441" customFormat="1" ht="31.95" hidden="1" customHeight="1" thickBot="1">
      <c r="A43" s="687" t="s">
        <v>178</v>
      </c>
      <c r="B43" s="688"/>
      <c r="C43" s="609">
        <v>72196423.294117644</v>
      </c>
      <c r="D43" s="610">
        <f t="shared" si="23"/>
        <v>13717320.43</v>
      </c>
      <c r="E43" s="611">
        <f t="shared" si="25"/>
        <v>85913743.724117637</v>
      </c>
      <c r="F43" s="581"/>
      <c r="G43" s="581"/>
    </row>
    <row r="44" spans="1:12" s="441" customFormat="1" ht="28.95" hidden="1" customHeight="1" thickBot="1">
      <c r="A44" s="687" t="s">
        <v>180</v>
      </c>
      <c r="B44" s="688"/>
      <c r="C44" s="609">
        <v>69326807.510000005</v>
      </c>
      <c r="D44" s="397">
        <f t="shared" si="23"/>
        <v>13172093.43</v>
      </c>
      <c r="E44" s="430">
        <f t="shared" si="25"/>
        <v>82498900.939999998</v>
      </c>
      <c r="F44" s="581"/>
      <c r="G44" s="581"/>
      <c r="H44" s="581"/>
    </row>
    <row r="45" spans="1:12" s="441" customFormat="1" ht="28.95" hidden="1" customHeight="1" thickBot="1">
      <c r="A45" s="689" t="s">
        <v>181</v>
      </c>
      <c r="B45" s="690"/>
      <c r="C45" s="612">
        <v>2869615.78</v>
      </c>
      <c r="D45" s="397">
        <f t="shared" si="23"/>
        <v>545227</v>
      </c>
      <c r="E45" s="430">
        <f t="shared" si="25"/>
        <v>3414842.78</v>
      </c>
      <c r="H45" s="581"/>
    </row>
    <row r="46" spans="1:12" s="441" customFormat="1" ht="42.6" hidden="1" customHeight="1" thickBot="1">
      <c r="A46" s="687" t="s">
        <v>309</v>
      </c>
      <c r="B46" s="688"/>
      <c r="C46" s="613">
        <f>C27</f>
        <v>7993647.7800000003</v>
      </c>
      <c r="D46" s="614">
        <f t="shared" si="23"/>
        <v>1518793.08</v>
      </c>
      <c r="E46" s="615">
        <f t="shared" si="25"/>
        <v>9512440.8599999994</v>
      </c>
    </row>
    <row r="47" spans="1:12" s="441" customFormat="1" ht="46.2" hidden="1" customHeight="1" thickBot="1">
      <c r="A47" s="687" t="s">
        <v>310</v>
      </c>
      <c r="B47" s="688"/>
      <c r="C47" s="616">
        <f>F27</f>
        <v>7236721.5399999991</v>
      </c>
      <c r="D47" s="614">
        <f t="shared" si="23"/>
        <v>1374977.09</v>
      </c>
      <c r="E47" s="615">
        <f t="shared" si="25"/>
        <v>8611698.629999999</v>
      </c>
    </row>
    <row r="48" spans="1:12" s="441" customFormat="1" ht="43.2" hidden="1" customHeight="1" thickBot="1">
      <c r="A48" s="687" t="s">
        <v>311</v>
      </c>
      <c r="B48" s="688"/>
      <c r="C48" s="617">
        <f>I27</f>
        <v>756926.24</v>
      </c>
      <c r="D48" s="614">
        <f t="shared" si="23"/>
        <v>143815.99</v>
      </c>
      <c r="E48" s="615">
        <f t="shared" si="25"/>
        <v>900742.23</v>
      </c>
      <c r="F48" s="581">
        <f>C46+C50</f>
        <v>13661052.32</v>
      </c>
    </row>
    <row r="49" spans="1:13" s="441" customFormat="1" ht="15" hidden="1" thickBot="1">
      <c r="C49" s="581"/>
    </row>
    <row r="50" spans="1:13" s="441" customFormat="1" ht="31.5" hidden="1" customHeight="1" thickBot="1">
      <c r="A50" s="670" t="s">
        <v>237</v>
      </c>
      <c r="B50" s="676"/>
      <c r="C50" s="618">
        <f>C51+C54</f>
        <v>5667404.54</v>
      </c>
      <c r="D50" s="618">
        <f t="shared" ref="D50" si="26">D51+D54</f>
        <v>1076806.8700000001</v>
      </c>
      <c r="E50" s="619">
        <f>E51+E54</f>
        <v>6744211.4100000001</v>
      </c>
      <c r="F50" s="424" t="s">
        <v>204</v>
      </c>
      <c r="G50" s="577"/>
      <c r="H50" s="578">
        <v>65262378.119999997</v>
      </c>
      <c r="I50" s="579"/>
    </row>
    <row r="51" spans="1:13" s="441" customFormat="1" ht="29.4" hidden="1" customHeight="1" thickBot="1">
      <c r="A51" s="691" t="s">
        <v>238</v>
      </c>
      <c r="B51" s="692"/>
      <c r="C51" s="619">
        <f>V8</f>
        <v>5191959.3499999996</v>
      </c>
      <c r="D51" s="401">
        <f t="shared" ref="D51:D58" si="27">ROUND(C51*0.19,2)</f>
        <v>986472.28</v>
      </c>
      <c r="E51" s="620">
        <f>C51+D51</f>
        <v>6178431.6299999999</v>
      </c>
      <c r="F51" s="693" t="s">
        <v>270</v>
      </c>
      <c r="G51" s="580">
        <f>G53</f>
        <v>5649870.7400000002</v>
      </c>
      <c r="H51" s="448">
        <f>H50-H53</f>
        <v>61970128.18</v>
      </c>
      <c r="I51" s="385"/>
    </row>
    <row r="52" spans="1:13" s="441" customFormat="1" ht="29.4" hidden="1" customHeight="1" thickBot="1">
      <c r="A52" s="691" t="s">
        <v>266</v>
      </c>
      <c r="B52" s="692"/>
      <c r="C52" s="621">
        <f>ROUND(C51*0.98,2)</f>
        <v>5088120.16</v>
      </c>
      <c r="D52" s="401">
        <f t="shared" si="27"/>
        <v>966742.83</v>
      </c>
      <c r="E52" s="622">
        <f>C52+D52</f>
        <v>6054862.9900000002</v>
      </c>
      <c r="F52" s="694"/>
      <c r="G52" s="584" t="s">
        <v>155</v>
      </c>
      <c r="H52" s="585" t="s">
        <v>197</v>
      </c>
      <c r="I52" s="586" t="s">
        <v>198</v>
      </c>
      <c r="J52" s="441">
        <v>2862831</v>
      </c>
    </row>
    <row r="53" spans="1:13" s="441" customFormat="1" ht="49.5" hidden="1" customHeight="1" thickBot="1">
      <c r="A53" s="691" t="s">
        <v>267</v>
      </c>
      <c r="B53" s="692"/>
      <c r="C53" s="623">
        <f>ROUND(C51*0.02,2)</f>
        <v>103839.19</v>
      </c>
      <c r="D53" s="614">
        <f t="shared" si="27"/>
        <v>19729.45</v>
      </c>
      <c r="E53" s="624">
        <f>C53+D53</f>
        <v>123568.64</v>
      </c>
      <c r="F53" s="695"/>
      <c r="G53" s="580">
        <f>4531008.34+1118862.4</f>
        <v>5649870.7400000002</v>
      </c>
      <c r="H53" s="448">
        <f>2112929.61+258262.18+431421.68+489636.47</f>
        <v>3292249.9400000004</v>
      </c>
      <c r="I53" s="385">
        <f>G53-H53</f>
        <v>2357620.7999999998</v>
      </c>
      <c r="J53" s="581">
        <f>I53+G54</f>
        <v>3784315.01</v>
      </c>
      <c r="K53" s="581">
        <f>J53-280209.53</f>
        <v>3504105.4799999995</v>
      </c>
    </row>
    <row r="54" spans="1:13" s="441" customFormat="1" ht="46.2" hidden="1" customHeight="1" thickBot="1">
      <c r="A54" s="696" t="s">
        <v>268</v>
      </c>
      <c r="B54" s="697"/>
      <c r="C54" s="580">
        <f>W8</f>
        <v>475445.19</v>
      </c>
      <c r="D54" s="625">
        <f t="shared" si="27"/>
        <v>90334.59</v>
      </c>
      <c r="E54" s="624">
        <f>C54+D54</f>
        <v>565779.78</v>
      </c>
      <c r="F54" s="626" t="s">
        <v>272</v>
      </c>
      <c r="G54" s="589">
        <f>194322.78+C54+I27</f>
        <v>1426694.21</v>
      </c>
      <c r="H54" s="590"/>
      <c r="I54" s="627"/>
      <c r="J54" s="581">
        <f>1049210</f>
        <v>1049210</v>
      </c>
      <c r="K54" s="581">
        <f>J54-J53</f>
        <v>-2735105.01</v>
      </c>
    </row>
    <row r="55" spans="1:13" s="441" customFormat="1" ht="64.5" hidden="1" customHeight="1" thickBot="1">
      <c r="A55" s="427"/>
      <c r="C55" s="581"/>
      <c r="F55" s="588" t="s">
        <v>271</v>
      </c>
      <c r="G55" s="578"/>
      <c r="H55" s="578">
        <f>2771022.15+C51+F27</f>
        <v>15199703.039999999</v>
      </c>
      <c r="I55" s="397"/>
      <c r="J55" s="672" t="s">
        <v>316</v>
      </c>
      <c r="K55" s="673"/>
      <c r="L55" s="673"/>
      <c r="M55" s="673"/>
    </row>
    <row r="56" spans="1:13" s="441" customFormat="1" ht="87" hidden="1" thickBot="1">
      <c r="A56" s="674" t="s">
        <v>310</v>
      </c>
      <c r="B56" s="675"/>
      <c r="C56" s="628">
        <v>2044762.19</v>
      </c>
      <c r="D56" s="629">
        <f t="shared" si="27"/>
        <v>388504.82</v>
      </c>
      <c r="E56" s="625">
        <f>C56+D56</f>
        <v>2433267.0099999998</v>
      </c>
      <c r="F56" s="591" t="s">
        <v>273</v>
      </c>
      <c r="G56" s="578">
        <f>G51+G54</f>
        <v>7076564.9500000002</v>
      </c>
      <c r="H56" s="630">
        <f>H50-H53+H55</f>
        <v>77169831.219999999</v>
      </c>
      <c r="I56" s="578">
        <f>G56+H56</f>
        <v>84246396.170000002</v>
      </c>
      <c r="J56" s="581">
        <v>78410857</v>
      </c>
      <c r="K56" s="441">
        <v>2254659</v>
      </c>
      <c r="L56" s="631">
        <f>J56-K56</f>
        <v>76156198</v>
      </c>
      <c r="M56" s="570">
        <f>H55-H53</f>
        <v>11907453.099999998</v>
      </c>
    </row>
    <row r="57" spans="1:13" s="441" customFormat="1" ht="43.8" hidden="1" thickBot="1">
      <c r="A57" s="632" t="s">
        <v>274</v>
      </c>
      <c r="B57" s="565"/>
      <c r="C57" s="628">
        <f>C53</f>
        <v>103839.19</v>
      </c>
      <c r="D57" s="629">
        <f t="shared" si="27"/>
        <v>19729.45</v>
      </c>
      <c r="E57" s="625">
        <f t="shared" ref="E57:E58" si="28">C57+D57</f>
        <v>123568.64</v>
      </c>
      <c r="F57" s="592" t="s">
        <v>276</v>
      </c>
      <c r="G57" s="593"/>
      <c r="H57" s="593"/>
      <c r="I57" s="594">
        <f>ROUND((I53+G54)/I56,4)</f>
        <v>4.4900000000000002E-2</v>
      </c>
      <c r="J57" s="581">
        <f>I56-J56</f>
        <v>5835539.1700000018</v>
      </c>
      <c r="M57" s="441">
        <v>6297123</v>
      </c>
    </row>
    <row r="58" spans="1:13" s="441" customFormat="1" ht="47.4" hidden="1" customHeight="1" thickBot="1">
      <c r="A58" s="670" t="s">
        <v>312</v>
      </c>
      <c r="B58" s="676"/>
      <c r="C58" s="633">
        <f>C54+C48</f>
        <v>1232371.43</v>
      </c>
      <c r="D58" s="629">
        <f t="shared" si="27"/>
        <v>234150.57</v>
      </c>
      <c r="E58" s="625">
        <f t="shared" si="28"/>
        <v>1466522</v>
      </c>
      <c r="F58" s="595" t="s">
        <v>269</v>
      </c>
      <c r="G58" s="596"/>
      <c r="H58" s="597"/>
      <c r="I58" s="598">
        <f>ROUND(G53/I56,4)</f>
        <v>6.7100000000000007E-2</v>
      </c>
      <c r="M58" s="581">
        <f>M56-M57</f>
        <v>5610330.0999999978</v>
      </c>
    </row>
    <row r="59" spans="1:13" s="441" customFormat="1" ht="15" hidden="1" thickBot="1">
      <c r="A59" s="424" t="s">
        <v>220</v>
      </c>
      <c r="B59" s="425"/>
      <c r="C59" s="426">
        <f>SUM(C56:C58)</f>
        <v>3380972.8099999996</v>
      </c>
      <c r="D59" s="426">
        <f t="shared" ref="D59:E59" si="29">SUM(D56:D58)</f>
        <v>642384.84000000008</v>
      </c>
      <c r="E59" s="426">
        <f t="shared" si="29"/>
        <v>4023357.65</v>
      </c>
      <c r="F59" s="574" t="s">
        <v>278</v>
      </c>
      <c r="G59" s="593"/>
      <c r="H59" s="567"/>
      <c r="I59" s="634">
        <f>ROUND((I53+G56)/I56,4)</f>
        <v>0.112</v>
      </c>
      <c r="J59" s="581">
        <f>(I56-747500)*0.19</f>
        <v>15864790.272300001</v>
      </c>
      <c r="M59" s="581">
        <f>C54-M58</f>
        <v>-5134884.9099999974</v>
      </c>
    </row>
    <row r="60" spans="1:13" s="441" customFormat="1" ht="46.95" hidden="1" customHeight="1" thickBot="1">
      <c r="A60" s="677" t="s">
        <v>275</v>
      </c>
      <c r="B60" s="678"/>
      <c r="C60" s="635">
        <f>C52</f>
        <v>5088120.16</v>
      </c>
      <c r="D60" s="635">
        <f>D52</f>
        <v>966742.83</v>
      </c>
      <c r="E60" s="635">
        <f>E52</f>
        <v>6054862.9900000002</v>
      </c>
      <c r="F60" s="679" t="s">
        <v>296</v>
      </c>
      <c r="G60" s="680"/>
      <c r="H60" s="681"/>
      <c r="I60" s="578">
        <f>I56-H50</f>
        <v>18984018.050000004</v>
      </c>
      <c r="J60" s="581">
        <f>I56+J59-13205</f>
        <v>100097981.44230001</v>
      </c>
    </row>
    <row r="61" spans="1:13" s="427" customFormat="1" ht="15" hidden="1" thickBot="1">
      <c r="A61" s="424" t="s">
        <v>313</v>
      </c>
      <c r="B61" s="425"/>
      <c r="C61" s="426">
        <f>C59+C60</f>
        <v>8469092.9699999988</v>
      </c>
      <c r="D61" s="426">
        <f t="shared" ref="D61:E61" si="30">D59+D60</f>
        <v>1609127.67</v>
      </c>
      <c r="E61" s="578">
        <f t="shared" si="30"/>
        <v>10078220.640000001</v>
      </c>
      <c r="F61" s="679" t="s">
        <v>298</v>
      </c>
      <c r="G61" s="680"/>
      <c r="H61" s="680"/>
      <c r="I61" s="578">
        <f>I60*1.19</f>
        <v>22590981.479500003</v>
      </c>
      <c r="J61" s="558">
        <f>C61</f>
        <v>8469092.9699999988</v>
      </c>
    </row>
    <row r="62" spans="1:13" s="441" customFormat="1" ht="36" hidden="1" customHeight="1" thickBot="1">
      <c r="A62" s="682" t="s">
        <v>260</v>
      </c>
      <c r="B62" s="682"/>
      <c r="F62" s="636" t="s">
        <v>279</v>
      </c>
      <c r="G62" s="637"/>
      <c r="H62" s="565"/>
      <c r="I62" s="579"/>
    </row>
    <row r="63" spans="1:13" s="427" customFormat="1" ht="43.95" hidden="1" customHeight="1" thickBot="1">
      <c r="A63" s="664" t="s">
        <v>243</v>
      </c>
      <c r="B63" s="665"/>
      <c r="C63" s="432">
        <f>ROUND(U7*0.23,2)</f>
        <v>4248152.28</v>
      </c>
      <c r="D63" s="397">
        <f>ROUND(C63*0.19,2)</f>
        <v>807148.93</v>
      </c>
      <c r="E63" s="430">
        <f>C63+D63</f>
        <v>5055301.21</v>
      </c>
      <c r="F63" s="664" t="s">
        <v>280</v>
      </c>
      <c r="G63" s="665"/>
      <c r="H63" s="432">
        <v>4248152.28</v>
      </c>
      <c r="I63" s="397">
        <v>807148.93</v>
      </c>
      <c r="J63" s="430">
        <v>5055301.21</v>
      </c>
      <c r="K63" s="638"/>
    </row>
    <row r="64" spans="1:13" s="427" customFormat="1" ht="61.95" hidden="1" customHeight="1" thickBot="1">
      <c r="A64" s="664" t="s">
        <v>258</v>
      </c>
      <c r="B64" s="665"/>
      <c r="C64" s="606">
        <f>ROUND(V7*0.23,2)</f>
        <v>3891769.82</v>
      </c>
      <c r="D64" s="397">
        <f t="shared" ref="D64:D67" si="31">ROUND(C64*0.19,2)</f>
        <v>739436.27</v>
      </c>
      <c r="E64" s="430">
        <f t="shared" ref="E64:E67" si="32">C64+D64</f>
        <v>4631206.09</v>
      </c>
      <c r="F64" s="664" t="s">
        <v>281</v>
      </c>
      <c r="G64" s="665"/>
      <c r="H64" s="606">
        <v>3891769.82</v>
      </c>
      <c r="I64" s="397">
        <v>739436.27</v>
      </c>
      <c r="J64" s="430">
        <v>4631206.09</v>
      </c>
    </row>
    <row r="65" spans="1:12" s="427" customFormat="1" ht="74.400000000000006" hidden="1" customHeight="1" thickBot="1">
      <c r="A65" s="664" t="s">
        <v>252</v>
      </c>
      <c r="B65" s="665"/>
      <c r="C65" s="606">
        <f>ROUND(C64*98%,2)</f>
        <v>3813934.42</v>
      </c>
      <c r="D65" s="397">
        <f t="shared" si="31"/>
        <v>724647.54</v>
      </c>
      <c r="E65" s="430">
        <f t="shared" si="32"/>
        <v>4538581.96</v>
      </c>
      <c r="F65" s="664" t="s">
        <v>282</v>
      </c>
      <c r="G65" s="665"/>
      <c r="H65" s="606">
        <v>3813934.42</v>
      </c>
      <c r="I65" s="397">
        <v>724647.54</v>
      </c>
      <c r="J65" s="430">
        <v>4538581.96</v>
      </c>
    </row>
    <row r="66" spans="1:12" s="427" customFormat="1" ht="75" hidden="1" customHeight="1" thickBot="1">
      <c r="A66" s="664" t="s">
        <v>262</v>
      </c>
      <c r="B66" s="665"/>
      <c r="C66" s="606">
        <f>ROUND(C64*2%,2)</f>
        <v>77835.399999999994</v>
      </c>
      <c r="D66" s="397">
        <f t="shared" si="31"/>
        <v>14788.73</v>
      </c>
      <c r="E66" s="430">
        <f t="shared" si="32"/>
        <v>92624.12999999999</v>
      </c>
      <c r="F66" s="664" t="s">
        <v>283</v>
      </c>
      <c r="G66" s="665"/>
      <c r="H66" s="606">
        <v>77835.399999999994</v>
      </c>
      <c r="I66" s="397">
        <v>14788.73</v>
      </c>
      <c r="J66" s="430">
        <v>92624.12999999999</v>
      </c>
    </row>
    <row r="67" spans="1:12" s="427" customFormat="1" ht="73.2" hidden="1" customHeight="1" thickBot="1">
      <c r="A67" s="591" t="s">
        <v>263</v>
      </c>
      <c r="B67" s="639"/>
      <c r="C67" s="606">
        <f>ROUND(W7*0.23,2)</f>
        <v>356382.46</v>
      </c>
      <c r="D67" s="397">
        <f t="shared" si="31"/>
        <v>67712.67</v>
      </c>
      <c r="E67" s="430">
        <f t="shared" si="32"/>
        <v>424095.13</v>
      </c>
      <c r="F67" s="664" t="s">
        <v>284</v>
      </c>
      <c r="G67" s="665"/>
      <c r="H67" s="606">
        <v>356382.46</v>
      </c>
      <c r="I67" s="397">
        <v>67712.67</v>
      </c>
      <c r="J67" s="430">
        <v>424095.13</v>
      </c>
    </row>
    <row r="68" spans="1:12" s="441" customFormat="1" ht="12.75" hidden="1" customHeight="1" thickBot="1">
      <c r="A68" s="683" t="s">
        <v>299</v>
      </c>
      <c r="B68" s="684"/>
      <c r="C68" s="684"/>
      <c r="D68" s="684"/>
      <c r="E68" s="685"/>
    </row>
    <row r="69" spans="1:12" s="441" customFormat="1" hidden="1">
      <c r="A69" s="640" t="s">
        <v>244</v>
      </c>
      <c r="B69" s="641"/>
      <c r="C69" s="642">
        <f>C63</f>
        <v>4248152.28</v>
      </c>
      <c r="D69" s="538">
        <f>ROUND(C69*0.19,2)</f>
        <v>807148.93</v>
      </c>
      <c r="E69" s="643">
        <f>C69+D69</f>
        <v>5055301.21</v>
      </c>
    </row>
    <row r="70" spans="1:12" s="441" customFormat="1" ht="15" hidden="1" thickBot="1">
      <c r="A70" s="540" t="s">
        <v>245</v>
      </c>
      <c r="B70" s="541"/>
      <c r="C70" s="542">
        <v>2326243.2400000002</v>
      </c>
      <c r="D70" s="543">
        <f>ROUND(C70*0.19,2)</f>
        <v>441986.22</v>
      </c>
      <c r="E70" s="544">
        <f>C70+D70</f>
        <v>2768229.46</v>
      </c>
    </row>
    <row r="71" spans="1:12" s="427" customFormat="1" hidden="1">
      <c r="A71" s="644" t="s">
        <v>11</v>
      </c>
      <c r="B71" s="644"/>
      <c r="C71" s="645">
        <f>C69+C70</f>
        <v>6574395.5200000005</v>
      </c>
      <c r="D71" s="645">
        <f t="shared" ref="D71:E71" si="33">D69+D70</f>
        <v>1249135.1499999999</v>
      </c>
      <c r="E71" s="645">
        <f t="shared" si="33"/>
        <v>7823530.6699999999</v>
      </c>
    </row>
    <row r="72" spans="1:12" s="441" customFormat="1" ht="15" hidden="1" thickBot="1">
      <c r="A72" s="686" t="s">
        <v>261</v>
      </c>
      <c r="B72" s="686"/>
      <c r="C72" s="686"/>
      <c r="F72" s="427" t="s">
        <v>285</v>
      </c>
    </row>
    <row r="73" spans="1:12" s="427" customFormat="1" ht="63.6" hidden="1" customHeight="1" thickBot="1">
      <c r="A73" s="664" t="s">
        <v>256</v>
      </c>
      <c r="B73" s="665"/>
      <c r="C73" s="432">
        <f>C50-C63</f>
        <v>1419252.2599999998</v>
      </c>
      <c r="D73" s="397">
        <f>ROUND(C73*0.19,2)</f>
        <v>269657.93</v>
      </c>
      <c r="E73" s="430">
        <f>C73+D73</f>
        <v>1688910.1899999997</v>
      </c>
      <c r="F73" s="664" t="s">
        <v>286</v>
      </c>
      <c r="G73" s="665"/>
      <c r="H73" s="432">
        <v>1419252.2599999998</v>
      </c>
      <c r="I73" s="397">
        <v>269657.93</v>
      </c>
      <c r="J73" s="430">
        <v>1688910.1899999997</v>
      </c>
      <c r="K73" s="558"/>
      <c r="L73" s="558"/>
    </row>
    <row r="74" spans="1:12" s="427" customFormat="1" ht="72.75" hidden="1" customHeight="1" thickBot="1">
      <c r="A74" s="664" t="s">
        <v>259</v>
      </c>
      <c r="B74" s="665"/>
      <c r="C74" s="606">
        <f>C51-C64</f>
        <v>1300189.5299999998</v>
      </c>
      <c r="D74" s="397">
        <f t="shared" ref="D74:D77" si="34">ROUND(C74*0.19,2)</f>
        <v>247036.01</v>
      </c>
      <c r="E74" s="430">
        <f t="shared" ref="E74:E77" si="35">C74+D74</f>
        <v>1547225.5399999998</v>
      </c>
      <c r="F74" s="664" t="s">
        <v>287</v>
      </c>
      <c r="G74" s="665"/>
      <c r="H74" s="606">
        <v>1300189.5299999998</v>
      </c>
      <c r="I74" s="397">
        <v>247036.01</v>
      </c>
      <c r="J74" s="430">
        <v>1547225.5399999998</v>
      </c>
    </row>
    <row r="75" spans="1:12" s="427" customFormat="1" ht="93" hidden="1" customHeight="1" thickBot="1">
      <c r="A75" s="664" t="s">
        <v>257</v>
      </c>
      <c r="B75" s="665"/>
      <c r="C75" s="606">
        <f>ROUND(C74*98%,2)</f>
        <v>1274185.74</v>
      </c>
      <c r="D75" s="397">
        <f t="shared" si="34"/>
        <v>242095.29</v>
      </c>
      <c r="E75" s="430">
        <f t="shared" si="35"/>
        <v>1516281.03</v>
      </c>
      <c r="F75" s="664" t="s">
        <v>288</v>
      </c>
      <c r="G75" s="665"/>
      <c r="H75" s="606">
        <v>1274185.74</v>
      </c>
      <c r="I75" s="397">
        <v>242095.29</v>
      </c>
      <c r="J75" s="430">
        <v>1516281.03</v>
      </c>
    </row>
    <row r="76" spans="1:12" s="427" customFormat="1" ht="93.6" hidden="1" customHeight="1" thickBot="1">
      <c r="A76" s="664" t="s">
        <v>264</v>
      </c>
      <c r="B76" s="665"/>
      <c r="C76" s="606">
        <f>ROUND(C74*2%,2)</f>
        <v>26003.79</v>
      </c>
      <c r="D76" s="397">
        <f t="shared" si="34"/>
        <v>4940.72</v>
      </c>
      <c r="E76" s="430">
        <f t="shared" si="35"/>
        <v>30944.510000000002</v>
      </c>
      <c r="F76" s="664" t="s">
        <v>289</v>
      </c>
      <c r="G76" s="665"/>
      <c r="H76" s="606">
        <v>26003.79</v>
      </c>
      <c r="I76" s="397">
        <v>4940.72</v>
      </c>
      <c r="J76" s="430">
        <v>30944.510000000002</v>
      </c>
    </row>
    <row r="77" spans="1:12" s="427" customFormat="1" ht="89.4" hidden="1" customHeight="1" thickBot="1">
      <c r="A77" s="664" t="s">
        <v>265</v>
      </c>
      <c r="B77" s="665"/>
      <c r="C77" s="606">
        <f>C54-C67</f>
        <v>119062.72999999998</v>
      </c>
      <c r="D77" s="397">
        <f t="shared" si="34"/>
        <v>22621.919999999998</v>
      </c>
      <c r="E77" s="430">
        <f t="shared" si="35"/>
        <v>141684.64999999997</v>
      </c>
      <c r="F77" s="664" t="s">
        <v>290</v>
      </c>
      <c r="G77" s="665"/>
      <c r="H77" s="606">
        <v>119062.72999999998</v>
      </c>
      <c r="I77" s="397">
        <v>22621.919999999998</v>
      </c>
      <c r="J77" s="430">
        <v>141684.64999999997</v>
      </c>
    </row>
    <row r="78" spans="1:12" s="441" customFormat="1" ht="14.25" hidden="1" customHeight="1">
      <c r="A78" s="666" t="s">
        <v>300</v>
      </c>
      <c r="B78" s="667"/>
      <c r="C78" s="667"/>
      <c r="D78" s="667"/>
    </row>
    <row r="79" spans="1:12" s="441" customFormat="1" hidden="1">
      <c r="A79" s="646" t="s">
        <v>244</v>
      </c>
      <c r="B79" s="647"/>
      <c r="C79" s="648">
        <f>C73</f>
        <v>1419252.2599999998</v>
      </c>
      <c r="D79" s="440">
        <f>ROUND(C79*0.19,2)</f>
        <v>269657.93</v>
      </c>
      <c r="E79" s="648">
        <f>C79+D79</f>
        <v>1688910.1899999997</v>
      </c>
    </row>
    <row r="80" spans="1:12" s="427" customFormat="1" hidden="1">
      <c r="A80" s="649" t="s">
        <v>11</v>
      </c>
      <c r="B80" s="649"/>
      <c r="C80" s="370">
        <f>C79</f>
        <v>1419252.2599999998</v>
      </c>
      <c r="D80" s="370">
        <f t="shared" ref="D80:E80" si="36">D79</f>
        <v>269657.93</v>
      </c>
      <c r="E80" s="370">
        <f t="shared" si="36"/>
        <v>1688910.1899999997</v>
      </c>
      <c r="G80" s="558"/>
    </row>
    <row r="81" spans="1:5" s="441" customFormat="1" ht="15" hidden="1" thickBot="1"/>
    <row r="82" spans="1:5" s="441" customFormat="1" ht="15" hidden="1" thickBot="1">
      <c r="A82" s="668" t="s">
        <v>314</v>
      </c>
      <c r="B82" s="669"/>
      <c r="C82" s="669"/>
      <c r="D82" s="669"/>
    </row>
    <row r="83" spans="1:5" s="441" customFormat="1" ht="27.6" hidden="1" customHeight="1" thickBot="1">
      <c r="A83" s="670" t="s">
        <v>315</v>
      </c>
      <c r="B83" s="671"/>
      <c r="C83" s="650">
        <f>C79+C69</f>
        <v>5667404.54</v>
      </c>
      <c r="D83" s="554">
        <f>ROUND(C83*0.19,2)</f>
        <v>1076806.8600000001</v>
      </c>
      <c r="E83" s="651">
        <f>C83+D83</f>
        <v>6744211.4000000004</v>
      </c>
    </row>
    <row r="84" spans="1:5" s="441" customFormat="1" ht="22.95" hidden="1" customHeight="1" thickBot="1">
      <c r="A84" s="662" t="s">
        <v>245</v>
      </c>
      <c r="B84" s="663"/>
      <c r="C84" s="550">
        <f>C70</f>
        <v>2326243.2400000002</v>
      </c>
      <c r="D84" s="551">
        <f>ROUND(C84*0.19,2)</f>
        <v>441986.22</v>
      </c>
      <c r="E84" s="552">
        <f>C84+D84</f>
        <v>2768229.46</v>
      </c>
    </row>
    <row r="85" spans="1:5" s="427" customFormat="1" ht="15" hidden="1" thickBot="1">
      <c r="A85" s="652" t="s">
        <v>11</v>
      </c>
      <c r="B85" s="653"/>
      <c r="C85" s="623">
        <f>C83+C84</f>
        <v>7993647.7800000003</v>
      </c>
      <c r="D85" s="617">
        <f t="shared" ref="D85:E85" si="37">D83+D84</f>
        <v>1518793.08</v>
      </c>
      <c r="E85" s="654">
        <f t="shared" si="37"/>
        <v>9512440.8599999994</v>
      </c>
    </row>
    <row r="86" spans="1:5" s="441" customFormat="1" hidden="1"/>
    <row r="87" spans="1:5" s="441" customFormat="1" hidden="1"/>
    <row r="88" spans="1:5" s="441" customFormat="1" hidden="1"/>
    <row r="89" spans="1:5" s="441" customFormat="1" hidden="1"/>
    <row r="90" spans="1:5" s="441" customFormat="1" hidden="1"/>
    <row r="91" spans="1:5" s="441" customFormat="1" hidden="1"/>
    <row r="92" spans="1:5" s="441" customFormat="1" hidden="1"/>
    <row r="93" spans="1:5" s="441" customFormat="1" hidden="1"/>
    <row r="94" spans="1:5" s="441" customFormat="1" hidden="1"/>
    <row r="95" spans="1:5" s="441" customFormat="1" hidden="1"/>
    <row r="96" spans="1:5" s="441" customFormat="1" hidden="1"/>
    <row r="97" spans="1:20" s="441" customFormat="1" hidden="1"/>
    <row r="98" spans="1:20" s="441" customFormat="1" hidden="1"/>
    <row r="99" spans="1:20" s="441" customFormat="1" hidden="1"/>
    <row r="100" spans="1:20" s="441" customFormat="1" hidden="1"/>
    <row r="101" spans="1:20" s="441" customFormat="1" hidden="1"/>
    <row r="102" spans="1:20" s="441" customFormat="1" hidden="1"/>
    <row r="103" spans="1:20" s="441" customFormat="1" hidden="1"/>
    <row r="104" spans="1:20" s="441" customFormat="1" hidden="1"/>
    <row r="105" spans="1:20" s="441" customFormat="1" hidden="1"/>
    <row r="106" spans="1:20" s="441" customFormat="1" hidden="1"/>
    <row r="107" spans="1:20" hidden="1">
      <c r="C107">
        <f>1850639.11*1.19</f>
        <v>2202260.5408999999</v>
      </c>
    </row>
    <row r="108" spans="1:20" ht="15" hidden="1" thickBot="1">
      <c r="C108" s="3">
        <f>C22+C23+C24</f>
        <v>1585987.6</v>
      </c>
      <c r="D108" s="3">
        <f>E27-C107-C108</f>
        <v>5724192.7091000006</v>
      </c>
    </row>
    <row r="109" spans="1:20" s="441" customFormat="1" ht="15" hidden="1" thickBot="1">
      <c r="A109" s="424" t="s">
        <v>231</v>
      </c>
      <c r="B109" s="565"/>
      <c r="C109" s="566">
        <v>10368.09</v>
      </c>
      <c r="D109" s="566">
        <f>ROUND(C109*0.19,2)</f>
        <v>1969.94</v>
      </c>
      <c r="E109" s="567">
        <f>C109+D109</f>
        <v>12338.03</v>
      </c>
      <c r="F109" s="568">
        <v>8870.09</v>
      </c>
      <c r="G109" s="567">
        <f t="shared" ref="G109:G113" si="38">ROUND(F109*0.19,2)</f>
        <v>1685.32</v>
      </c>
      <c r="H109" s="566">
        <f t="shared" ref="H109:H113" si="39">F109+G109</f>
        <v>10555.41</v>
      </c>
      <c r="I109" s="569">
        <v>1498</v>
      </c>
      <c r="J109" s="567">
        <f t="shared" ref="J109:J113" si="40">ROUND(I109*0.19,2)</f>
        <v>284.62</v>
      </c>
      <c r="K109" s="566">
        <f t="shared" ref="K109:K113" si="41">I109+J109</f>
        <v>1782.62</v>
      </c>
      <c r="Q109" s="450"/>
      <c r="T109" s="570"/>
    </row>
    <row r="110" spans="1:20" s="441" customFormat="1" ht="15" hidden="1" thickBot="1">
      <c r="A110" s="424" t="s">
        <v>212</v>
      </c>
      <c r="B110" s="565"/>
      <c r="C110" s="566">
        <v>318192.33</v>
      </c>
      <c r="D110" s="566">
        <f t="shared" ref="D110:D111" si="42">ROUND(C110*0.19,2)</f>
        <v>60456.54</v>
      </c>
      <c r="E110" s="567">
        <f t="shared" ref="E110:E111" si="43">C110+D110</f>
        <v>378648.87</v>
      </c>
      <c r="F110" s="571">
        <v>164642.10999999999</v>
      </c>
      <c r="G110" s="567">
        <f t="shared" si="38"/>
        <v>31282</v>
      </c>
      <c r="H110" s="566">
        <f t="shared" si="39"/>
        <v>195924.11</v>
      </c>
      <c r="I110" s="572">
        <v>153550.22</v>
      </c>
      <c r="J110" s="567">
        <f t="shared" si="40"/>
        <v>29174.54</v>
      </c>
      <c r="K110" s="566">
        <f t="shared" si="41"/>
        <v>182724.76</v>
      </c>
      <c r="Q110" s="450"/>
    </row>
    <row r="111" spans="1:20" s="441" customFormat="1" ht="15" hidden="1" thickBot="1">
      <c r="A111" s="424" t="s">
        <v>213</v>
      </c>
      <c r="B111" s="565"/>
      <c r="C111" s="566">
        <v>1257427.18</v>
      </c>
      <c r="D111" s="566">
        <f t="shared" si="42"/>
        <v>238911.16</v>
      </c>
      <c r="E111" s="567">
        <f t="shared" si="43"/>
        <v>1496338.3399999999</v>
      </c>
      <c r="F111" s="566">
        <v>1152721.07</v>
      </c>
      <c r="G111" s="567">
        <f t="shared" si="38"/>
        <v>219017</v>
      </c>
      <c r="H111" s="566">
        <f t="shared" si="39"/>
        <v>1371738.07</v>
      </c>
      <c r="I111" s="573">
        <v>104706.11</v>
      </c>
      <c r="J111" s="567">
        <f t="shared" si="40"/>
        <v>19894.16</v>
      </c>
      <c r="K111" s="566">
        <f t="shared" si="41"/>
        <v>124600.27</v>
      </c>
      <c r="Q111" s="450"/>
    </row>
    <row r="112" spans="1:20" s="441" customFormat="1" ht="15" hidden="1" thickBot="1">
      <c r="A112" s="424" t="s">
        <v>230</v>
      </c>
      <c r="B112" s="565"/>
      <c r="C112" s="574">
        <v>2202260.5408999999</v>
      </c>
      <c r="D112" s="566">
        <f>ROUND(C112*0.19,2)</f>
        <v>418429.5</v>
      </c>
      <c r="E112" s="567">
        <f>C112+D112</f>
        <v>2620690.0408999999</v>
      </c>
      <c r="F112" s="568">
        <v>718528.92</v>
      </c>
      <c r="G112" s="567">
        <f t="shared" si="38"/>
        <v>136520.49</v>
      </c>
      <c r="H112" s="566">
        <f t="shared" si="39"/>
        <v>855049.41</v>
      </c>
      <c r="I112" s="569">
        <v>21726.719999999972</v>
      </c>
      <c r="J112" s="567">
        <f t="shared" si="40"/>
        <v>4128.08</v>
      </c>
      <c r="K112" s="566">
        <f t="shared" si="41"/>
        <v>25854.799999999974</v>
      </c>
    </row>
    <row r="113" spans="1:12" s="441" customFormat="1" ht="15" hidden="1" thickBot="1">
      <c r="A113" s="424" t="s">
        <v>319</v>
      </c>
      <c r="B113" s="565"/>
      <c r="C113" s="574">
        <v>4205399.6391000003</v>
      </c>
      <c r="D113" s="566">
        <f>ROUND(C113*0.19,2)</f>
        <v>799025.93</v>
      </c>
      <c r="E113" s="567">
        <f>C113+D113</f>
        <v>5004425.5691</v>
      </c>
      <c r="F113" s="568">
        <v>5191959.3499999996</v>
      </c>
      <c r="G113" s="567">
        <f t="shared" si="38"/>
        <v>986472.28</v>
      </c>
      <c r="H113" s="566">
        <f t="shared" si="39"/>
        <v>6178431.6299999999</v>
      </c>
      <c r="I113" s="569">
        <v>475445.19</v>
      </c>
      <c r="J113" s="567">
        <f t="shared" si="40"/>
        <v>90334.59</v>
      </c>
      <c r="K113" s="566">
        <f t="shared" si="41"/>
        <v>565779.78</v>
      </c>
    </row>
    <row r="114" spans="1:12" s="441" customFormat="1" ht="15" hidden="1" thickBot="1">
      <c r="A114" s="575" t="s">
        <v>322</v>
      </c>
      <c r="B114" s="576"/>
      <c r="C114" s="426">
        <f>SUM(C109:C113)</f>
        <v>7993647.7800000003</v>
      </c>
      <c r="D114" s="426">
        <f t="shared" ref="D114:K114" si="44">SUM(D109:D113)</f>
        <v>1518793.07</v>
      </c>
      <c r="E114" s="426">
        <f t="shared" si="44"/>
        <v>9512440.8499999996</v>
      </c>
      <c r="F114" s="426">
        <f t="shared" si="44"/>
        <v>7236721.5399999991</v>
      </c>
      <c r="G114" s="426">
        <f t="shared" si="44"/>
        <v>1374977.09</v>
      </c>
      <c r="H114" s="426">
        <f t="shared" si="44"/>
        <v>8611698.629999999</v>
      </c>
      <c r="I114" s="426">
        <f t="shared" si="44"/>
        <v>756926.24</v>
      </c>
      <c r="J114" s="426">
        <f t="shared" si="44"/>
        <v>143815.99</v>
      </c>
      <c r="K114" s="578">
        <f t="shared" si="44"/>
        <v>900742.23</v>
      </c>
    </row>
    <row r="115" spans="1:12" s="441" customFormat="1" ht="36" hidden="1" customHeight="1">
      <c r="A115" s="677" t="s">
        <v>235</v>
      </c>
      <c r="B115" s="698"/>
      <c r="C115" s="432">
        <v>70585343.849999994</v>
      </c>
      <c r="D115" s="397">
        <f>ROUND(C115*0.19,2)</f>
        <v>13411215.33</v>
      </c>
      <c r="E115" s="430">
        <f>C115+D115</f>
        <v>83996559.179999992</v>
      </c>
    </row>
    <row r="116" spans="1:12" s="441" customFormat="1" ht="15" hidden="1" thickBot="1">
      <c r="A116" s="677" t="s">
        <v>186</v>
      </c>
      <c r="B116" s="678"/>
      <c r="C116" s="432">
        <v>65262378.119999997</v>
      </c>
      <c r="D116" s="397">
        <f t="shared" ref="D116:D124" si="45">ROUND(C116*0.19,2)</f>
        <v>12399851.84</v>
      </c>
      <c r="E116" s="430">
        <f t="shared" ref="E116" si="46">C116+D116</f>
        <v>77662229.959999993</v>
      </c>
      <c r="F116" s="424" t="s">
        <v>204</v>
      </c>
      <c r="G116" s="577"/>
      <c r="H116" s="578">
        <v>65262378.119999997</v>
      </c>
      <c r="I116" s="579"/>
    </row>
    <row r="117" spans="1:12" s="441" customFormat="1" ht="27" hidden="1" customHeight="1">
      <c r="A117" s="699" t="s">
        <v>305</v>
      </c>
      <c r="B117" s="698"/>
      <c r="C117" s="432">
        <f>C115-C116</f>
        <v>5322965.7299999967</v>
      </c>
      <c r="D117" s="397">
        <f t="shared" si="45"/>
        <v>1011363.49</v>
      </c>
      <c r="E117" s="397">
        <f>C117+D117</f>
        <v>6334329.2199999969</v>
      </c>
      <c r="F117" s="700" t="s">
        <v>270</v>
      </c>
      <c r="G117" s="580">
        <f>G119</f>
        <v>5649870.7400000002</v>
      </c>
      <c r="H117" s="448">
        <f>H116-H119</f>
        <v>61970128.18</v>
      </c>
      <c r="I117" s="385"/>
      <c r="J117" s="581">
        <f>C117*1.19</f>
        <v>6334329.2186999954</v>
      </c>
    </row>
    <row r="118" spans="1:12" s="441" customFormat="1" ht="29.4" hidden="1" thickBot="1">
      <c r="A118" s="582" t="s">
        <v>304</v>
      </c>
      <c r="B118" s="583"/>
      <c r="C118" s="432">
        <v>2467841.2200000002</v>
      </c>
      <c r="D118" s="397">
        <f t="shared" si="45"/>
        <v>468889.83</v>
      </c>
      <c r="E118" s="430">
        <f t="shared" ref="E118" si="47">C118+D118</f>
        <v>2936731.0500000003</v>
      </c>
      <c r="F118" s="701"/>
      <c r="G118" s="584" t="s">
        <v>155</v>
      </c>
      <c r="H118" s="585" t="s">
        <v>197</v>
      </c>
      <c r="I118" s="586" t="s">
        <v>198</v>
      </c>
      <c r="J118" s="581"/>
    </row>
    <row r="119" spans="1:12" s="441" customFormat="1" ht="29.4" hidden="1" customHeight="1">
      <c r="A119" s="687" t="s">
        <v>303</v>
      </c>
      <c r="B119" s="688"/>
      <c r="C119" s="587">
        <f>C117-C118</f>
        <v>2855124.5099999965</v>
      </c>
      <c r="D119" s="397">
        <f t="shared" si="45"/>
        <v>542473.66</v>
      </c>
      <c r="E119" s="430">
        <f>C119+D119</f>
        <v>3397598.1699999967</v>
      </c>
      <c r="F119" s="702"/>
      <c r="G119" s="580">
        <f>4531008.34+1118862.4</f>
        <v>5649870.7400000002</v>
      </c>
      <c r="H119" s="448">
        <f>2112929.61+258262.18+431421.68+489636.47</f>
        <v>3292249.9400000004</v>
      </c>
      <c r="I119" s="385">
        <f>G119-H119</f>
        <v>2357620.7999999998</v>
      </c>
      <c r="J119" s="581"/>
    </row>
    <row r="120" spans="1:12" s="441" customFormat="1" ht="43.8" hidden="1" thickBot="1">
      <c r="A120" s="424" t="s">
        <v>250</v>
      </c>
      <c r="B120" s="579"/>
      <c r="C120" s="587">
        <f>536048.7-37615.63+1892180.61+27465.05-258262.18+197804.25</f>
        <v>2357620.7999999998</v>
      </c>
      <c r="D120" s="397">
        <f t="shared" si="45"/>
        <v>447947.95</v>
      </c>
      <c r="E120" s="430">
        <f t="shared" ref="E120:E135" si="48">C120+D120</f>
        <v>2805568.75</v>
      </c>
      <c r="F120" s="588" t="s">
        <v>293</v>
      </c>
      <c r="G120" s="589">
        <f>194322.78+I114</f>
        <v>951249.02</v>
      </c>
      <c r="H120" s="590"/>
      <c r="I120" s="578"/>
      <c r="J120" s="581"/>
      <c r="K120" s="581"/>
    </row>
    <row r="121" spans="1:12" s="441" customFormat="1" ht="58.2" hidden="1" thickBot="1">
      <c r="A121" s="424" t="s">
        <v>251</v>
      </c>
      <c r="B121" s="579"/>
      <c r="C121" s="587">
        <v>1112148.329999997</v>
      </c>
      <c r="D121" s="397">
        <f t="shared" si="45"/>
        <v>211308.18</v>
      </c>
      <c r="E121" s="430">
        <f t="shared" si="48"/>
        <v>1323456.509999997</v>
      </c>
      <c r="F121" s="588" t="s">
        <v>294</v>
      </c>
      <c r="G121" s="578"/>
      <c r="H121" s="578">
        <f>2771022.15+F114</f>
        <v>10007743.689999999</v>
      </c>
      <c r="I121" s="397"/>
      <c r="J121" s="557"/>
    </row>
    <row r="122" spans="1:12" s="441" customFormat="1" ht="78.75" hidden="1" customHeight="1">
      <c r="A122" s="687" t="s">
        <v>307</v>
      </c>
      <c r="B122" s="682"/>
      <c r="C122" s="397">
        <v>194322.78</v>
      </c>
      <c r="D122" s="430">
        <f t="shared" si="45"/>
        <v>36921.33</v>
      </c>
      <c r="E122" s="430">
        <f t="shared" si="48"/>
        <v>231244.11</v>
      </c>
      <c r="F122" s="591" t="s">
        <v>295</v>
      </c>
      <c r="G122" s="578">
        <f>G117+G120</f>
        <v>6601119.7599999998</v>
      </c>
      <c r="H122" s="578">
        <f>H116-H119+H121</f>
        <v>71977871.870000005</v>
      </c>
      <c r="I122" s="578">
        <f>G122+H122</f>
        <v>78578991.63000001</v>
      </c>
      <c r="J122" s="581"/>
    </row>
    <row r="123" spans="1:12" s="441" customFormat="1" ht="29.4" hidden="1" customHeight="1">
      <c r="A123" s="687" t="s">
        <v>308</v>
      </c>
      <c r="B123" s="688"/>
      <c r="C123" s="397">
        <f>2771022.15-2467841.22</f>
        <v>303180.9299999997</v>
      </c>
      <c r="D123" s="397">
        <f t="shared" si="45"/>
        <v>57604.38</v>
      </c>
      <c r="E123" s="430">
        <f t="shared" si="48"/>
        <v>360785.30999999971</v>
      </c>
      <c r="F123" s="592" t="s">
        <v>277</v>
      </c>
      <c r="G123" s="593"/>
      <c r="H123" s="593"/>
      <c r="I123" s="594">
        <f>ROUND((I119+G120)/I122,4)</f>
        <v>4.2099999999999999E-2</v>
      </c>
      <c r="J123" s="441">
        <v>2259659</v>
      </c>
      <c r="K123" s="570">
        <f>C118+C123</f>
        <v>2771022.15</v>
      </c>
    </row>
    <row r="124" spans="1:12" s="441" customFormat="1" ht="29.4" hidden="1" customHeight="1">
      <c r="A124" s="687" t="s">
        <v>191</v>
      </c>
      <c r="B124" s="688"/>
      <c r="C124" s="587">
        <f>C120-C121</f>
        <v>1245472.4700000028</v>
      </c>
      <c r="D124" s="397">
        <f t="shared" si="45"/>
        <v>236639.77</v>
      </c>
      <c r="E124" s="430">
        <f t="shared" si="48"/>
        <v>1482112.2400000028</v>
      </c>
      <c r="F124" s="595" t="s">
        <v>269</v>
      </c>
      <c r="G124" s="596"/>
      <c r="H124" s="597"/>
      <c r="I124" s="598">
        <f>ROUND(G119/I122,4)</f>
        <v>7.1900000000000006E-2</v>
      </c>
      <c r="J124" s="581">
        <f>C124+G120+I114</f>
        <v>2953647.7300000032</v>
      </c>
      <c r="K124" s="599">
        <v>2044764.19</v>
      </c>
    </row>
    <row r="125" spans="1:12" s="441" customFormat="1" ht="28.2" hidden="1" customHeight="1">
      <c r="A125" s="699" t="s">
        <v>302</v>
      </c>
      <c r="B125" s="698"/>
      <c r="C125" s="432">
        <f>SUM(C126:C128)</f>
        <v>2965344.9299999997</v>
      </c>
      <c r="D125" s="432">
        <f>SUM(D126:D128)</f>
        <v>563415.53999999992</v>
      </c>
      <c r="E125" s="600">
        <f t="shared" si="48"/>
        <v>3528760.4699999997</v>
      </c>
      <c r="F125" s="601" t="s">
        <v>278</v>
      </c>
      <c r="G125" s="602"/>
      <c r="H125" s="603"/>
      <c r="I125" s="604">
        <f>ROUND((I119+G122)/I122,4)</f>
        <v>0.114</v>
      </c>
      <c r="J125" s="581">
        <f>J123-J124</f>
        <v>-693988.73000000324</v>
      </c>
      <c r="K125" s="599">
        <v>5191959.3499999996</v>
      </c>
      <c r="L125" s="441">
        <f>SUM(K124:K125)</f>
        <v>7236723.5399999991</v>
      </c>
    </row>
    <row r="126" spans="1:12" s="441" customFormat="1" ht="45.6" hidden="1" customHeight="1">
      <c r="A126" s="687" t="s">
        <v>247</v>
      </c>
      <c r="B126" s="688"/>
      <c r="C126" s="432">
        <v>2467841.2200000002</v>
      </c>
      <c r="D126" s="432">
        <f t="shared" ref="D126:D135" si="49">ROUND(C126*0.19,2)</f>
        <v>468889.83</v>
      </c>
      <c r="E126" s="605">
        <f t="shared" si="48"/>
        <v>2936731.0500000003</v>
      </c>
      <c r="F126" s="679" t="s">
        <v>297</v>
      </c>
      <c r="G126" s="680"/>
      <c r="H126" s="681"/>
      <c r="I126" s="578">
        <f>I122-H116</f>
        <v>13316613.510000013</v>
      </c>
      <c r="J126" s="581"/>
      <c r="K126" s="570">
        <f>SUM(K123:K125)</f>
        <v>10007745.689999999</v>
      </c>
    </row>
    <row r="127" spans="1:12" s="441" customFormat="1" ht="29.4" hidden="1" customHeight="1">
      <c r="A127" s="687" t="s">
        <v>248</v>
      </c>
      <c r="B127" s="688"/>
      <c r="C127" s="606">
        <f>2771022.15-2467841.22</f>
        <v>303180.9299999997</v>
      </c>
      <c r="D127" s="432">
        <f t="shared" si="49"/>
        <v>57604.38</v>
      </c>
      <c r="E127" s="607">
        <f t="shared" si="48"/>
        <v>360785.30999999971</v>
      </c>
      <c r="F127" s="679" t="s">
        <v>298</v>
      </c>
      <c r="G127" s="680"/>
      <c r="H127" s="680"/>
      <c r="I127" s="578">
        <f>I126*1.19</f>
        <v>15846770.076900015</v>
      </c>
      <c r="K127" s="599"/>
    </row>
    <row r="128" spans="1:12" s="441" customFormat="1" ht="29.4" hidden="1" customHeight="1">
      <c r="A128" s="687" t="s">
        <v>306</v>
      </c>
      <c r="B128" s="688"/>
      <c r="C128" s="587">
        <v>194322.78</v>
      </c>
      <c r="D128" s="432">
        <f t="shared" si="49"/>
        <v>36921.33</v>
      </c>
      <c r="E128" s="605">
        <f t="shared" si="48"/>
        <v>231244.11</v>
      </c>
      <c r="F128" s="590"/>
      <c r="G128" s="450"/>
      <c r="H128" s="450"/>
      <c r="K128" s="599"/>
    </row>
    <row r="129" spans="1:13" s="441" customFormat="1" ht="15" hidden="1" thickBot="1">
      <c r="A129" s="424" t="s">
        <v>249</v>
      </c>
      <c r="B129" s="579"/>
      <c r="C129" s="587">
        <v>194322.78</v>
      </c>
      <c r="D129" s="432">
        <f t="shared" si="49"/>
        <v>36921.33</v>
      </c>
      <c r="E129" s="605">
        <f t="shared" si="48"/>
        <v>231244.11</v>
      </c>
      <c r="F129" s="608"/>
    </row>
    <row r="130" spans="1:13" s="441" customFormat="1" ht="31.95" hidden="1" customHeight="1">
      <c r="A130" s="687" t="s">
        <v>178</v>
      </c>
      <c r="B130" s="688"/>
      <c r="C130" s="609">
        <v>72196423.294117644</v>
      </c>
      <c r="D130" s="610">
        <f t="shared" si="49"/>
        <v>13717320.43</v>
      </c>
      <c r="E130" s="611">
        <f t="shared" si="48"/>
        <v>85913743.724117637</v>
      </c>
      <c r="F130" s="581"/>
      <c r="G130" s="581"/>
    </row>
    <row r="131" spans="1:13" s="441" customFormat="1" ht="28.95" hidden="1" customHeight="1">
      <c r="A131" s="687" t="s">
        <v>180</v>
      </c>
      <c r="B131" s="688"/>
      <c r="C131" s="609">
        <v>69326807.510000005</v>
      </c>
      <c r="D131" s="397">
        <f t="shared" si="49"/>
        <v>13172093.43</v>
      </c>
      <c r="E131" s="430">
        <f t="shared" si="48"/>
        <v>82498900.939999998</v>
      </c>
      <c r="F131" s="581"/>
      <c r="G131" s="581"/>
      <c r="H131" s="581"/>
    </row>
    <row r="132" spans="1:13" s="441" customFormat="1" ht="28.95" hidden="1" customHeight="1">
      <c r="A132" s="689" t="s">
        <v>181</v>
      </c>
      <c r="B132" s="690"/>
      <c r="C132" s="612">
        <v>2869615.78</v>
      </c>
      <c r="D132" s="397">
        <f t="shared" si="49"/>
        <v>545227</v>
      </c>
      <c r="E132" s="430">
        <f t="shared" si="48"/>
        <v>3414842.78</v>
      </c>
      <c r="H132" s="581"/>
    </row>
    <row r="133" spans="1:13" s="441" customFormat="1" ht="42.6" hidden="1" customHeight="1">
      <c r="A133" s="687" t="s">
        <v>309</v>
      </c>
      <c r="B133" s="688"/>
      <c r="C133" s="613">
        <f>C114</f>
        <v>7993647.7800000003</v>
      </c>
      <c r="D133" s="614">
        <f t="shared" si="49"/>
        <v>1518793.08</v>
      </c>
      <c r="E133" s="615">
        <f t="shared" si="48"/>
        <v>9512440.8599999994</v>
      </c>
    </row>
    <row r="134" spans="1:13" s="441" customFormat="1" ht="46.2" hidden="1" customHeight="1">
      <c r="A134" s="687" t="s">
        <v>310</v>
      </c>
      <c r="B134" s="688"/>
      <c r="C134" s="616">
        <f>F114</f>
        <v>7236721.5399999991</v>
      </c>
      <c r="D134" s="614">
        <f t="shared" si="49"/>
        <v>1374977.09</v>
      </c>
      <c r="E134" s="615">
        <f t="shared" si="48"/>
        <v>8611698.629999999</v>
      </c>
    </row>
    <row r="135" spans="1:13" s="441" customFormat="1" ht="43.2" hidden="1" customHeight="1">
      <c r="A135" s="687" t="s">
        <v>311</v>
      </c>
      <c r="B135" s="688"/>
      <c r="C135" s="617">
        <f>I114</f>
        <v>756926.24</v>
      </c>
      <c r="D135" s="614">
        <f t="shared" si="49"/>
        <v>143815.99</v>
      </c>
      <c r="E135" s="615">
        <f t="shared" si="48"/>
        <v>900742.23</v>
      </c>
      <c r="F135" s="581">
        <f>C133+C137</f>
        <v>7993647.7800000003</v>
      </c>
    </row>
    <row r="136" spans="1:13" s="441" customFormat="1" hidden="1">
      <c r="C136" s="581"/>
    </row>
    <row r="137" spans="1:13" s="441" customFormat="1" ht="31.5" hidden="1" customHeight="1">
      <c r="A137" s="670" t="s">
        <v>237</v>
      </c>
      <c r="B137" s="676"/>
      <c r="C137" s="618">
        <f>C138+C141</f>
        <v>0</v>
      </c>
      <c r="D137" s="618">
        <f t="shared" ref="D137" si="50">D138+D141</f>
        <v>0</v>
      </c>
      <c r="E137" s="619">
        <f>E138+E141</f>
        <v>0</v>
      </c>
      <c r="F137" s="424" t="s">
        <v>204</v>
      </c>
      <c r="G137" s="577"/>
      <c r="H137" s="578">
        <v>65262378.119999997</v>
      </c>
      <c r="I137" s="579"/>
    </row>
    <row r="138" spans="1:13" s="441" customFormat="1" ht="29.4" hidden="1" customHeight="1">
      <c r="A138" s="691" t="s">
        <v>238</v>
      </c>
      <c r="B138" s="692"/>
      <c r="C138" s="619">
        <f>V95</f>
        <v>0</v>
      </c>
      <c r="D138" s="401">
        <f t="shared" ref="D138:D141" si="51">ROUND(C138*0.19,2)</f>
        <v>0</v>
      </c>
      <c r="E138" s="620">
        <f>C138+D138</f>
        <v>0</v>
      </c>
      <c r="F138" s="693" t="s">
        <v>270</v>
      </c>
      <c r="G138" s="580">
        <f>G140</f>
        <v>5649870.7400000002</v>
      </c>
      <c r="H138" s="448">
        <f>H137-H140</f>
        <v>61970128.18</v>
      </c>
      <c r="I138" s="385"/>
    </row>
    <row r="139" spans="1:13" s="441" customFormat="1" ht="29.4" hidden="1" customHeight="1">
      <c r="A139" s="691" t="s">
        <v>266</v>
      </c>
      <c r="B139" s="692"/>
      <c r="C139" s="621">
        <f>ROUND(C138*0.98,2)</f>
        <v>0</v>
      </c>
      <c r="D139" s="401">
        <f t="shared" si="51"/>
        <v>0</v>
      </c>
      <c r="E139" s="622">
        <f>C139+D139</f>
        <v>0</v>
      </c>
      <c r="F139" s="694"/>
      <c r="G139" s="584" t="s">
        <v>155</v>
      </c>
      <c r="H139" s="585" t="s">
        <v>197</v>
      </c>
      <c r="I139" s="586" t="s">
        <v>198</v>
      </c>
      <c r="J139" s="441">
        <v>2862831</v>
      </c>
    </row>
    <row r="140" spans="1:13" s="441" customFormat="1" ht="49.5" hidden="1" customHeight="1">
      <c r="A140" s="691" t="s">
        <v>267</v>
      </c>
      <c r="B140" s="692"/>
      <c r="C140" s="623">
        <f>ROUND(C138*0.02,2)</f>
        <v>0</v>
      </c>
      <c r="D140" s="614">
        <f t="shared" si="51"/>
        <v>0</v>
      </c>
      <c r="E140" s="624">
        <f>C140+D140</f>
        <v>0</v>
      </c>
      <c r="F140" s="695"/>
      <c r="G140" s="580">
        <f>4531008.34+1118862.4</f>
        <v>5649870.7400000002</v>
      </c>
      <c r="H140" s="448">
        <f>2112929.61+258262.18+431421.68+489636.47</f>
        <v>3292249.9400000004</v>
      </c>
      <c r="I140" s="385">
        <f>G140-H140</f>
        <v>2357620.7999999998</v>
      </c>
      <c r="J140" s="581">
        <f>I140+G141</f>
        <v>3308869.82</v>
      </c>
      <c r="K140" s="581">
        <f>J140-280209.53</f>
        <v>3028660.29</v>
      </c>
    </row>
    <row r="141" spans="1:13" s="441" customFormat="1" ht="46.2" hidden="1" customHeight="1">
      <c r="A141" s="696" t="s">
        <v>268</v>
      </c>
      <c r="B141" s="697"/>
      <c r="C141" s="580">
        <f>W95</f>
        <v>0</v>
      </c>
      <c r="D141" s="625">
        <f t="shared" si="51"/>
        <v>0</v>
      </c>
      <c r="E141" s="624">
        <f>C141+D141</f>
        <v>0</v>
      </c>
      <c r="F141" s="626" t="s">
        <v>272</v>
      </c>
      <c r="G141" s="589">
        <f>194322.78+C141+I114</f>
        <v>951249.02</v>
      </c>
      <c r="H141" s="590"/>
      <c r="I141" s="627"/>
      <c r="J141" s="581">
        <f>1049210</f>
        <v>1049210</v>
      </c>
      <c r="K141" s="581">
        <f>J141-J140</f>
        <v>-2259659.8199999998</v>
      </c>
    </row>
    <row r="142" spans="1:13" s="441" customFormat="1" ht="64.5" hidden="1" customHeight="1">
      <c r="A142" s="427"/>
      <c r="C142" s="581"/>
      <c r="F142" s="588" t="s">
        <v>271</v>
      </c>
      <c r="G142" s="578"/>
      <c r="H142" s="578">
        <f>2771022.15+C138+F114</f>
        <v>10007743.689999999</v>
      </c>
      <c r="I142" s="397"/>
      <c r="J142" s="672" t="s">
        <v>316</v>
      </c>
      <c r="K142" s="673"/>
      <c r="L142" s="673"/>
      <c r="M142" s="673"/>
    </row>
    <row r="143" spans="1:13" s="441" customFormat="1" ht="87" hidden="1" thickBot="1">
      <c r="A143" s="674" t="s">
        <v>310</v>
      </c>
      <c r="B143" s="675"/>
      <c r="C143" s="628">
        <v>2044762.19</v>
      </c>
      <c r="D143" s="629">
        <f t="shared" ref="D143:D145" si="52">ROUND(C143*0.19,2)</f>
        <v>388504.82</v>
      </c>
      <c r="E143" s="625">
        <f>C143+D143</f>
        <v>2433267.0099999998</v>
      </c>
      <c r="F143" s="591" t="s">
        <v>273</v>
      </c>
      <c r="G143" s="578">
        <f>G138+G141</f>
        <v>6601119.7599999998</v>
      </c>
      <c r="H143" s="630">
        <f>H137-H140+H142</f>
        <v>71977871.870000005</v>
      </c>
      <c r="I143" s="578">
        <f>G143+H143</f>
        <v>78578991.63000001</v>
      </c>
      <c r="J143" s="581">
        <v>78410857</v>
      </c>
      <c r="K143" s="441">
        <v>2254659</v>
      </c>
      <c r="L143" s="631">
        <f>J143-K143</f>
        <v>76156198</v>
      </c>
      <c r="M143" s="570">
        <f>H142-H140</f>
        <v>6715493.7499999991</v>
      </c>
    </row>
    <row r="144" spans="1:13" s="441" customFormat="1" ht="43.8" hidden="1" thickBot="1">
      <c r="A144" s="632" t="s">
        <v>274</v>
      </c>
      <c r="B144" s="565"/>
      <c r="C144" s="628">
        <f>C140</f>
        <v>0</v>
      </c>
      <c r="D144" s="629">
        <f t="shared" si="52"/>
        <v>0</v>
      </c>
      <c r="E144" s="625">
        <f t="shared" ref="E144:E145" si="53">C144+D144</f>
        <v>0</v>
      </c>
      <c r="F144" s="592" t="s">
        <v>276</v>
      </c>
      <c r="G144" s="593"/>
      <c r="H144" s="593"/>
      <c r="I144" s="594">
        <f>ROUND((I140+G141)/I143,4)</f>
        <v>4.2099999999999999E-2</v>
      </c>
      <c r="J144" s="581">
        <f>I143-J143</f>
        <v>168134.63000001013</v>
      </c>
      <c r="M144" s="441">
        <v>6297123</v>
      </c>
    </row>
    <row r="145" spans="1:13" s="441" customFormat="1" ht="47.4" hidden="1" customHeight="1">
      <c r="A145" s="670" t="s">
        <v>312</v>
      </c>
      <c r="B145" s="676"/>
      <c r="C145" s="633">
        <f>C141+C135</f>
        <v>756926.24</v>
      </c>
      <c r="D145" s="629">
        <f t="shared" si="52"/>
        <v>143815.99</v>
      </c>
      <c r="E145" s="625">
        <f t="shared" si="53"/>
        <v>900742.23</v>
      </c>
      <c r="F145" s="595" t="s">
        <v>269</v>
      </c>
      <c r="G145" s="596"/>
      <c r="H145" s="597"/>
      <c r="I145" s="598">
        <f>ROUND(G140/I143,4)</f>
        <v>7.1900000000000006E-2</v>
      </c>
      <c r="M145" s="581">
        <f>M143-M144</f>
        <v>418370.74999999907</v>
      </c>
    </row>
    <row r="146" spans="1:13" s="441" customFormat="1" ht="15" hidden="1" thickBot="1">
      <c r="A146" s="424" t="s">
        <v>220</v>
      </c>
      <c r="B146" s="425"/>
      <c r="C146" s="426">
        <f>SUM(C143:C145)</f>
        <v>2801688.4299999997</v>
      </c>
      <c r="D146" s="426">
        <f t="shared" ref="D146:E146" si="54">SUM(D143:D145)</f>
        <v>532320.81000000006</v>
      </c>
      <c r="E146" s="426">
        <f t="shared" si="54"/>
        <v>3334009.2399999998</v>
      </c>
      <c r="F146" s="574" t="s">
        <v>278</v>
      </c>
      <c r="G146" s="593"/>
      <c r="H146" s="567"/>
      <c r="I146" s="634">
        <f>ROUND((I140+G143)/I143,4)</f>
        <v>0.114</v>
      </c>
      <c r="J146" s="581">
        <f>(I143-747500)*0.19</f>
        <v>14787983.409700003</v>
      </c>
      <c r="M146" s="581">
        <f>C141-M145</f>
        <v>-418370.74999999907</v>
      </c>
    </row>
    <row r="147" spans="1:13" s="441" customFormat="1" ht="46.95" hidden="1" customHeight="1">
      <c r="A147" s="677" t="s">
        <v>275</v>
      </c>
      <c r="B147" s="678"/>
      <c r="C147" s="635">
        <f>C139</f>
        <v>0</v>
      </c>
      <c r="D147" s="635">
        <f>D139</f>
        <v>0</v>
      </c>
      <c r="E147" s="635">
        <f>E139</f>
        <v>0</v>
      </c>
      <c r="F147" s="679" t="s">
        <v>296</v>
      </c>
      <c r="G147" s="680"/>
      <c r="H147" s="681"/>
      <c r="I147" s="578">
        <f>I143-H137</f>
        <v>13316613.510000013</v>
      </c>
      <c r="J147" s="581">
        <f>I143+J146-13205</f>
        <v>93353770.039700016</v>
      </c>
    </row>
    <row r="148" spans="1:13" s="427" customFormat="1" ht="15" hidden="1" thickBot="1">
      <c r="A148" s="424" t="s">
        <v>313</v>
      </c>
      <c r="B148" s="425"/>
      <c r="C148" s="426">
        <f>C146+C147</f>
        <v>2801688.4299999997</v>
      </c>
      <c r="D148" s="426">
        <f t="shared" ref="D148:E148" si="55">D146+D147</f>
        <v>532320.81000000006</v>
      </c>
      <c r="E148" s="578">
        <f t="shared" si="55"/>
        <v>3334009.2399999998</v>
      </c>
      <c r="F148" s="679" t="s">
        <v>298</v>
      </c>
      <c r="G148" s="680"/>
      <c r="H148" s="680"/>
      <c r="I148" s="578">
        <f>I147*1.19</f>
        <v>15846770.076900015</v>
      </c>
      <c r="J148" s="558">
        <f>C148</f>
        <v>2801688.4299999997</v>
      </c>
    </row>
    <row r="149" spans="1:13" s="441" customFormat="1" ht="36" hidden="1" customHeight="1">
      <c r="A149" s="682" t="s">
        <v>260</v>
      </c>
      <c r="B149" s="682"/>
      <c r="F149" s="636" t="s">
        <v>279</v>
      </c>
      <c r="G149" s="637"/>
      <c r="H149" s="565"/>
      <c r="I149" s="579"/>
    </row>
    <row r="150" spans="1:13" s="427" customFormat="1" ht="43.95" hidden="1" customHeight="1">
      <c r="A150" s="664" t="s">
        <v>243</v>
      </c>
      <c r="B150" s="665"/>
      <c r="C150" s="432">
        <f>ROUND(U94*0.23,2)</f>
        <v>0</v>
      </c>
      <c r="D150" s="397">
        <f>ROUND(C150*0.19,2)</f>
        <v>0</v>
      </c>
      <c r="E150" s="430">
        <f>C150+D150</f>
        <v>0</v>
      </c>
      <c r="F150" s="664" t="s">
        <v>280</v>
      </c>
      <c r="G150" s="665"/>
      <c r="H150" s="432">
        <v>4248152.28</v>
      </c>
      <c r="I150" s="397">
        <v>807148.93</v>
      </c>
      <c r="J150" s="430">
        <v>5055301.21</v>
      </c>
      <c r="K150" s="638"/>
    </row>
    <row r="151" spans="1:13" s="427" customFormat="1" ht="61.95" hidden="1" customHeight="1">
      <c r="A151" s="664" t="s">
        <v>258</v>
      </c>
      <c r="B151" s="665"/>
      <c r="C151" s="606">
        <f>ROUND(V94*0.23,2)</f>
        <v>0</v>
      </c>
      <c r="D151" s="397">
        <f t="shared" ref="D151:D154" si="56">ROUND(C151*0.19,2)</f>
        <v>0</v>
      </c>
      <c r="E151" s="430">
        <f t="shared" ref="E151:E154" si="57">C151+D151</f>
        <v>0</v>
      </c>
      <c r="F151" s="664" t="s">
        <v>281</v>
      </c>
      <c r="G151" s="665"/>
      <c r="H151" s="606">
        <v>3891769.82</v>
      </c>
      <c r="I151" s="397">
        <v>739436.27</v>
      </c>
      <c r="J151" s="430">
        <v>4631206.09</v>
      </c>
    </row>
    <row r="152" spans="1:13" s="427" customFormat="1" ht="74.400000000000006" hidden="1" customHeight="1">
      <c r="A152" s="664" t="s">
        <v>252</v>
      </c>
      <c r="B152" s="665"/>
      <c r="C152" s="606">
        <f>ROUND(C151*98%,2)</f>
        <v>0</v>
      </c>
      <c r="D152" s="397">
        <f t="shared" si="56"/>
        <v>0</v>
      </c>
      <c r="E152" s="430">
        <f t="shared" si="57"/>
        <v>0</v>
      </c>
      <c r="F152" s="664" t="s">
        <v>282</v>
      </c>
      <c r="G152" s="665"/>
      <c r="H152" s="606">
        <v>3813934.42</v>
      </c>
      <c r="I152" s="397">
        <v>724647.54</v>
      </c>
      <c r="J152" s="430">
        <v>4538581.96</v>
      </c>
    </row>
    <row r="153" spans="1:13" s="427" customFormat="1" ht="75" hidden="1" customHeight="1">
      <c r="A153" s="664" t="s">
        <v>262</v>
      </c>
      <c r="B153" s="665"/>
      <c r="C153" s="606">
        <f>ROUND(C151*2%,2)</f>
        <v>0</v>
      </c>
      <c r="D153" s="397">
        <f t="shared" si="56"/>
        <v>0</v>
      </c>
      <c r="E153" s="430">
        <f t="shared" si="57"/>
        <v>0</v>
      </c>
      <c r="F153" s="664" t="s">
        <v>283</v>
      </c>
      <c r="G153" s="665"/>
      <c r="H153" s="606">
        <v>77835.399999999994</v>
      </c>
      <c r="I153" s="397">
        <v>14788.73</v>
      </c>
      <c r="J153" s="430">
        <v>92624.12999999999</v>
      </c>
    </row>
    <row r="154" spans="1:13" s="427" customFormat="1" ht="73.2" hidden="1" customHeight="1">
      <c r="A154" s="591" t="s">
        <v>263</v>
      </c>
      <c r="B154" s="639"/>
      <c r="C154" s="606">
        <f>ROUND(W94*0.23,2)</f>
        <v>0</v>
      </c>
      <c r="D154" s="397">
        <f t="shared" si="56"/>
        <v>0</v>
      </c>
      <c r="E154" s="430">
        <f t="shared" si="57"/>
        <v>0</v>
      </c>
      <c r="F154" s="664" t="s">
        <v>284</v>
      </c>
      <c r="G154" s="665"/>
      <c r="H154" s="606">
        <v>356382.46</v>
      </c>
      <c r="I154" s="397">
        <v>67712.67</v>
      </c>
      <c r="J154" s="430">
        <v>424095.13</v>
      </c>
    </row>
    <row r="155" spans="1:13" s="441" customFormat="1" ht="12.75" hidden="1" customHeight="1">
      <c r="A155" s="683" t="s">
        <v>299</v>
      </c>
      <c r="B155" s="684"/>
      <c r="C155" s="684"/>
      <c r="D155" s="684"/>
      <c r="E155" s="685"/>
    </row>
    <row r="156" spans="1:13" s="441" customFormat="1" hidden="1">
      <c r="A156" s="640" t="s">
        <v>244</v>
      </c>
      <c r="B156" s="641"/>
      <c r="C156" s="642">
        <f>C150</f>
        <v>0</v>
      </c>
      <c r="D156" s="538">
        <f>ROUND(C156*0.19,2)</f>
        <v>0</v>
      </c>
      <c r="E156" s="643">
        <f>C156+D156</f>
        <v>0</v>
      </c>
    </row>
    <row r="157" spans="1:13" s="441" customFormat="1" ht="15" hidden="1" thickBot="1">
      <c r="A157" s="540" t="s">
        <v>245</v>
      </c>
      <c r="B157" s="541"/>
      <c r="C157" s="542">
        <v>2326243.2400000002</v>
      </c>
      <c r="D157" s="543">
        <f>ROUND(C157*0.19,2)</f>
        <v>441986.22</v>
      </c>
      <c r="E157" s="544">
        <f>C157+D157</f>
        <v>2768229.46</v>
      </c>
    </row>
    <row r="158" spans="1:13" s="427" customFormat="1" hidden="1">
      <c r="A158" s="644" t="s">
        <v>11</v>
      </c>
      <c r="B158" s="644"/>
      <c r="C158" s="645">
        <f>C156+C157</f>
        <v>2326243.2400000002</v>
      </c>
      <c r="D158" s="645">
        <f t="shared" ref="D158:E158" si="58">D156+D157</f>
        <v>441986.22</v>
      </c>
      <c r="E158" s="645">
        <f t="shared" si="58"/>
        <v>2768229.46</v>
      </c>
    </row>
    <row r="159" spans="1:13" s="441" customFormat="1" ht="15" hidden="1" thickBot="1">
      <c r="A159" s="686" t="s">
        <v>261</v>
      </c>
      <c r="B159" s="686"/>
      <c r="C159" s="686"/>
      <c r="F159" s="427" t="s">
        <v>285</v>
      </c>
    </row>
    <row r="160" spans="1:13" s="427" customFormat="1" ht="63.6" hidden="1" customHeight="1">
      <c r="A160" s="664" t="s">
        <v>256</v>
      </c>
      <c r="B160" s="665"/>
      <c r="C160" s="432">
        <f>C137-C150</f>
        <v>0</v>
      </c>
      <c r="D160" s="397">
        <f>ROUND(C160*0.19,2)</f>
        <v>0</v>
      </c>
      <c r="E160" s="430">
        <f>C160+D160</f>
        <v>0</v>
      </c>
      <c r="F160" s="664" t="s">
        <v>286</v>
      </c>
      <c r="G160" s="665"/>
      <c r="H160" s="432">
        <v>1419252.2599999998</v>
      </c>
      <c r="I160" s="397">
        <v>269657.93</v>
      </c>
      <c r="J160" s="430">
        <v>1688910.1899999997</v>
      </c>
      <c r="K160" s="558"/>
      <c r="L160" s="558"/>
    </row>
    <row r="161" spans="1:10" s="427" customFormat="1" ht="72.75" hidden="1" customHeight="1">
      <c r="A161" s="664" t="s">
        <v>259</v>
      </c>
      <c r="B161" s="665"/>
      <c r="C161" s="606">
        <f>C138-C151</f>
        <v>0</v>
      </c>
      <c r="D161" s="397">
        <f t="shared" ref="D161:D164" si="59">ROUND(C161*0.19,2)</f>
        <v>0</v>
      </c>
      <c r="E161" s="430">
        <f t="shared" ref="E161:E164" si="60">C161+D161</f>
        <v>0</v>
      </c>
      <c r="F161" s="664" t="s">
        <v>287</v>
      </c>
      <c r="G161" s="665"/>
      <c r="H161" s="606">
        <v>1300189.5299999998</v>
      </c>
      <c r="I161" s="397">
        <v>247036.01</v>
      </c>
      <c r="J161" s="430">
        <v>1547225.5399999998</v>
      </c>
    </row>
    <row r="162" spans="1:10" s="427" customFormat="1" ht="93" hidden="1" customHeight="1">
      <c r="A162" s="664" t="s">
        <v>257</v>
      </c>
      <c r="B162" s="665"/>
      <c r="C162" s="606">
        <f>ROUND(C161*98%,2)</f>
        <v>0</v>
      </c>
      <c r="D162" s="397">
        <f t="shared" si="59"/>
        <v>0</v>
      </c>
      <c r="E162" s="430">
        <f t="shared" si="60"/>
        <v>0</v>
      </c>
      <c r="F162" s="664" t="s">
        <v>288</v>
      </c>
      <c r="G162" s="665"/>
      <c r="H162" s="606">
        <v>1274185.74</v>
      </c>
      <c r="I162" s="397">
        <v>242095.29</v>
      </c>
      <c r="J162" s="430">
        <v>1516281.03</v>
      </c>
    </row>
    <row r="163" spans="1:10" s="427" customFormat="1" ht="93.6" hidden="1" customHeight="1">
      <c r="A163" s="664" t="s">
        <v>264</v>
      </c>
      <c r="B163" s="665"/>
      <c r="C163" s="606">
        <f>ROUND(C161*2%,2)</f>
        <v>0</v>
      </c>
      <c r="D163" s="397">
        <f t="shared" si="59"/>
        <v>0</v>
      </c>
      <c r="E163" s="430">
        <f t="shared" si="60"/>
        <v>0</v>
      </c>
      <c r="F163" s="664" t="s">
        <v>289</v>
      </c>
      <c r="G163" s="665"/>
      <c r="H163" s="606">
        <v>26003.79</v>
      </c>
      <c r="I163" s="397">
        <v>4940.72</v>
      </c>
      <c r="J163" s="430">
        <v>30944.510000000002</v>
      </c>
    </row>
    <row r="164" spans="1:10" s="427" customFormat="1" ht="89.4" hidden="1" customHeight="1">
      <c r="A164" s="664" t="s">
        <v>265</v>
      </c>
      <c r="B164" s="665"/>
      <c r="C164" s="606">
        <f>C141-C154</f>
        <v>0</v>
      </c>
      <c r="D164" s="397">
        <f t="shared" si="59"/>
        <v>0</v>
      </c>
      <c r="E164" s="430">
        <f t="shared" si="60"/>
        <v>0</v>
      </c>
      <c r="F164" s="664" t="s">
        <v>290</v>
      </c>
      <c r="G164" s="665"/>
      <c r="H164" s="606">
        <v>119062.72999999998</v>
      </c>
      <c r="I164" s="397">
        <v>22621.919999999998</v>
      </c>
      <c r="J164" s="430">
        <v>141684.64999999997</v>
      </c>
    </row>
    <row r="165" spans="1:10" s="441" customFormat="1" ht="14.25" hidden="1" customHeight="1">
      <c r="A165" s="666" t="s">
        <v>300</v>
      </c>
      <c r="B165" s="667"/>
      <c r="C165" s="667"/>
      <c r="D165" s="667"/>
    </row>
    <row r="166" spans="1:10" s="441" customFormat="1" hidden="1">
      <c r="A166" s="646" t="s">
        <v>244</v>
      </c>
      <c r="B166" s="647"/>
      <c r="C166" s="648">
        <f>C160</f>
        <v>0</v>
      </c>
      <c r="D166" s="440">
        <f>ROUND(C166*0.19,2)</f>
        <v>0</v>
      </c>
      <c r="E166" s="648">
        <f>C166+D166</f>
        <v>0</v>
      </c>
    </row>
    <row r="167" spans="1:10" s="427" customFormat="1" hidden="1">
      <c r="A167" s="649" t="s">
        <v>11</v>
      </c>
      <c r="B167" s="649"/>
      <c r="C167" s="370">
        <f>C166</f>
        <v>0</v>
      </c>
      <c r="D167" s="370">
        <f t="shared" ref="D167:E167" si="61">D166</f>
        <v>0</v>
      </c>
      <c r="E167" s="370">
        <f t="shared" si="61"/>
        <v>0</v>
      </c>
      <c r="G167" s="558"/>
    </row>
    <row r="168" spans="1:10" s="441" customFormat="1" hidden="1"/>
    <row r="169" spans="1:10" s="441" customFormat="1" hidden="1">
      <c r="A169" s="668" t="s">
        <v>314</v>
      </c>
      <c r="B169" s="669"/>
      <c r="C169" s="669"/>
      <c r="D169" s="669"/>
    </row>
    <row r="170" spans="1:10" s="441" customFormat="1" ht="27.6" hidden="1" customHeight="1">
      <c r="A170" s="670" t="s">
        <v>315</v>
      </c>
      <c r="B170" s="671"/>
      <c r="C170" s="650">
        <f>C166+C156</f>
        <v>0</v>
      </c>
      <c r="D170" s="554">
        <f>ROUND(C170*0.19,2)</f>
        <v>0</v>
      </c>
      <c r="E170" s="651">
        <f>C170+D170</f>
        <v>0</v>
      </c>
    </row>
    <row r="171" spans="1:10" s="441" customFormat="1" ht="22.95" hidden="1" customHeight="1">
      <c r="A171" s="662" t="s">
        <v>245</v>
      </c>
      <c r="B171" s="663"/>
      <c r="C171" s="550">
        <f>C157</f>
        <v>2326243.2400000002</v>
      </c>
      <c r="D171" s="551">
        <f>ROUND(C171*0.19,2)</f>
        <v>441986.22</v>
      </c>
      <c r="E171" s="552">
        <f>C171+D171</f>
        <v>2768229.46</v>
      </c>
    </row>
    <row r="172" spans="1:10" s="427" customFormat="1" ht="15" hidden="1" thickBot="1">
      <c r="A172" s="652" t="s">
        <v>11</v>
      </c>
      <c r="B172" s="653"/>
      <c r="C172" s="623">
        <f>C170+C171</f>
        <v>2326243.2400000002</v>
      </c>
      <c r="D172" s="617">
        <f t="shared" ref="D172:E172" si="62">D170+D171</f>
        <v>441986.22</v>
      </c>
      <c r="E172" s="654">
        <f t="shared" si="62"/>
        <v>2768229.46</v>
      </c>
    </row>
    <row r="173" spans="1:10" s="441" customFormat="1" hidden="1"/>
    <row r="174" spans="1:10" s="441" customFormat="1" hidden="1"/>
    <row r="175" spans="1:10" s="441" customFormat="1" hidden="1"/>
    <row r="176" spans="1:10" s="441" customFormat="1" hidden="1"/>
    <row r="177" s="441" customFormat="1" hidden="1"/>
    <row r="178" s="441" customFormat="1" hidden="1"/>
    <row r="179" s="441" customFormat="1" hidden="1"/>
    <row r="180" s="441" customFormat="1" hidden="1"/>
    <row r="181" s="441" customFormat="1" hidden="1"/>
    <row r="182" s="441" customFormat="1" hidden="1"/>
    <row r="183" s="441" customFormat="1" hidden="1"/>
    <row r="184" s="441" customFormat="1" hidden="1"/>
    <row r="185" s="441" customFormat="1" hidden="1"/>
    <row r="186" s="441" customFormat="1" hidden="1"/>
    <row r="187" s="441" customFormat="1" hidden="1"/>
    <row r="188" s="441" customFormat="1" hidden="1"/>
    <row r="189" s="441" customFormat="1" hidden="1"/>
    <row r="190" s="441" customFormat="1" hidden="1"/>
    <row r="191" s="441" customFormat="1" hidden="1"/>
    <row r="192" s="441" customFormat="1" hidden="1"/>
    <row r="193" spans="3:3" hidden="1">
      <c r="C193" s="3"/>
    </row>
    <row r="194" spans="3:3" hidden="1"/>
    <row r="195" spans="3:3" hidden="1"/>
    <row r="196" spans="3:3" hidden="1"/>
    <row r="197" spans="3:3" hidden="1"/>
    <row r="198" spans="3:3" hidden="1"/>
    <row r="199" spans="3:3" hidden="1"/>
    <row r="200" spans="3:3" hidden="1"/>
    <row r="201" spans="3:3" hidden="1"/>
    <row r="202" spans="3:3" hidden="1"/>
    <row r="203" spans="3:3" hidden="1"/>
    <row r="204" spans="3:3" hidden="1"/>
    <row r="205" spans="3:3" hidden="1"/>
    <row r="206" spans="3:3" hidden="1"/>
    <row r="207" spans="3:3" hidden="1"/>
    <row r="208" spans="3:3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</sheetData>
  <mergeCells count="120">
    <mergeCell ref="A165:D165"/>
    <mergeCell ref="A169:D169"/>
    <mergeCell ref="A170:B170"/>
    <mergeCell ref="A171:B171"/>
    <mergeCell ref="A162:B162"/>
    <mergeCell ref="F162:G162"/>
    <mergeCell ref="A163:B163"/>
    <mergeCell ref="F163:G163"/>
    <mergeCell ref="A164:B164"/>
    <mergeCell ref="F164:G164"/>
    <mergeCell ref="A155:E155"/>
    <mergeCell ref="A159:C159"/>
    <mergeCell ref="A160:B160"/>
    <mergeCell ref="F160:G160"/>
    <mergeCell ref="A161:B161"/>
    <mergeCell ref="F161:G161"/>
    <mergeCell ref="A152:B152"/>
    <mergeCell ref="F152:G152"/>
    <mergeCell ref="A153:B153"/>
    <mergeCell ref="F153:G153"/>
    <mergeCell ref="F154:G154"/>
    <mergeCell ref="F148:H148"/>
    <mergeCell ref="A149:B149"/>
    <mergeCell ref="A150:B150"/>
    <mergeCell ref="F150:G150"/>
    <mergeCell ref="A151:B151"/>
    <mergeCell ref="F151:G151"/>
    <mergeCell ref="A141:B141"/>
    <mergeCell ref="J142:M142"/>
    <mergeCell ref="A143:B143"/>
    <mergeCell ref="A145:B145"/>
    <mergeCell ref="A147:B147"/>
    <mergeCell ref="F147:H147"/>
    <mergeCell ref="A137:B137"/>
    <mergeCell ref="A138:B138"/>
    <mergeCell ref="F138:F140"/>
    <mergeCell ref="A139:B139"/>
    <mergeCell ref="A140:B140"/>
    <mergeCell ref="A131:B131"/>
    <mergeCell ref="A132:B132"/>
    <mergeCell ref="A133:B133"/>
    <mergeCell ref="A134:B134"/>
    <mergeCell ref="A135:B135"/>
    <mergeCell ref="F126:H126"/>
    <mergeCell ref="A127:B127"/>
    <mergeCell ref="F127:H127"/>
    <mergeCell ref="A128:B128"/>
    <mergeCell ref="A130:B130"/>
    <mergeCell ref="A122:B122"/>
    <mergeCell ref="A123:B123"/>
    <mergeCell ref="A124:B124"/>
    <mergeCell ref="A125:B125"/>
    <mergeCell ref="A126:B126"/>
    <mergeCell ref="A115:B115"/>
    <mergeCell ref="A116:B116"/>
    <mergeCell ref="A117:B117"/>
    <mergeCell ref="F117:F119"/>
    <mergeCell ref="A119:B119"/>
    <mergeCell ref="A37:B37"/>
    <mergeCell ref="U5:W5"/>
    <mergeCell ref="M14:Q14"/>
    <mergeCell ref="R14:W14"/>
    <mergeCell ref="A21:B21"/>
    <mergeCell ref="A28:B28"/>
    <mergeCell ref="A29:B29"/>
    <mergeCell ref="A30:B30"/>
    <mergeCell ref="F30:F32"/>
    <mergeCell ref="A32:B32"/>
    <mergeCell ref="A35:B35"/>
    <mergeCell ref="A36:B36"/>
    <mergeCell ref="A48:B48"/>
    <mergeCell ref="A38:B38"/>
    <mergeCell ref="A39:B39"/>
    <mergeCell ref="F39:H39"/>
    <mergeCell ref="A40:B40"/>
    <mergeCell ref="F40:H40"/>
    <mergeCell ref="A41:B41"/>
    <mergeCell ref="A43:B43"/>
    <mergeCell ref="A44:B44"/>
    <mergeCell ref="A45:B45"/>
    <mergeCell ref="A46:B46"/>
    <mergeCell ref="A47:B47"/>
    <mergeCell ref="F61:H61"/>
    <mergeCell ref="A50:B50"/>
    <mergeCell ref="A51:B51"/>
    <mergeCell ref="F51:F53"/>
    <mergeCell ref="A52:B52"/>
    <mergeCell ref="A53:B53"/>
    <mergeCell ref="A54:B54"/>
    <mergeCell ref="J55:M55"/>
    <mergeCell ref="A56:B56"/>
    <mergeCell ref="A58:B58"/>
    <mergeCell ref="A60:B60"/>
    <mergeCell ref="F60:H60"/>
    <mergeCell ref="A73:B73"/>
    <mergeCell ref="F73:G73"/>
    <mergeCell ref="A62:B62"/>
    <mergeCell ref="A63:B63"/>
    <mergeCell ref="F63:G63"/>
    <mergeCell ref="A64:B64"/>
    <mergeCell ref="F64:G64"/>
    <mergeCell ref="A65:B65"/>
    <mergeCell ref="F65:G65"/>
    <mergeCell ref="A66:B66"/>
    <mergeCell ref="F66:G66"/>
    <mergeCell ref="F67:G67"/>
    <mergeCell ref="A68:E68"/>
    <mergeCell ref="A72:C72"/>
    <mergeCell ref="A84:B84"/>
    <mergeCell ref="A74:B74"/>
    <mergeCell ref="F74:G74"/>
    <mergeCell ref="A75:B75"/>
    <mergeCell ref="F75:G75"/>
    <mergeCell ref="A76:B76"/>
    <mergeCell ref="F76:G76"/>
    <mergeCell ref="A77:B77"/>
    <mergeCell ref="F77:G77"/>
    <mergeCell ref="A78:D78"/>
    <mergeCell ref="A82:D82"/>
    <mergeCell ref="A83:B83"/>
  </mergeCells>
  <pageMargins left="0" right="0" top="0" bottom="0" header="0.31496062992125984" footer="0.31496062992125984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Y84"/>
  <sheetViews>
    <sheetView topLeftCell="C54" zoomScaleNormal="100" workbookViewId="0">
      <selection activeCell="N53" sqref="N53"/>
    </sheetView>
  </sheetViews>
  <sheetFormatPr defaultRowHeight="14.4"/>
  <cols>
    <col min="1" max="1" width="28" customWidth="1"/>
    <col min="2" max="2" width="9.109375" customWidth="1"/>
    <col min="3" max="3" width="13.33203125" customWidth="1"/>
    <col min="4" max="4" width="13.44140625" customWidth="1"/>
    <col min="5" max="5" width="14.88671875" customWidth="1"/>
    <col min="6" max="6" width="14.6640625" customWidth="1"/>
    <col min="7" max="7" width="12.5546875" customWidth="1"/>
    <col min="8" max="8" width="14.44140625" customWidth="1"/>
    <col min="9" max="10" width="13.33203125" customWidth="1"/>
    <col min="11" max="11" width="13.109375" customWidth="1"/>
    <col min="12" max="12" width="10.109375" customWidth="1"/>
    <col min="13" max="13" width="10.44140625" customWidth="1"/>
    <col min="14" max="14" width="10.109375" customWidth="1"/>
    <col min="15" max="15" width="10" customWidth="1"/>
    <col min="16" max="16" width="10.44140625" customWidth="1"/>
    <col min="17" max="17" width="10.33203125" customWidth="1"/>
    <col min="18" max="19" width="10" customWidth="1"/>
    <col min="20" max="20" width="10.44140625" customWidth="1"/>
    <col min="21" max="21" width="11.33203125" customWidth="1"/>
    <col min="22" max="22" width="11.44140625" customWidth="1"/>
    <col min="23" max="23" width="10.33203125" customWidth="1"/>
    <col min="24" max="24" width="11" customWidth="1"/>
    <col min="25" max="25" width="12.6640625" bestFit="1" customWidth="1"/>
  </cols>
  <sheetData>
    <row r="1" spans="1:25" ht="18">
      <c r="A1" s="513" t="s">
        <v>301</v>
      </c>
      <c r="M1">
        <f>M3-M2</f>
        <v>31901.301784799987</v>
      </c>
      <c r="O1">
        <v>174921.58</v>
      </c>
      <c r="P1">
        <f>R3-O1</f>
        <v>195179.42</v>
      </c>
      <c r="Q1" s="396"/>
      <c r="R1" s="396"/>
      <c r="S1" s="442"/>
    </row>
    <row r="2" spans="1:25" ht="18.600000000000001" thickBot="1">
      <c r="A2" s="513" t="s">
        <v>0</v>
      </c>
      <c r="B2" s="1"/>
      <c r="C2" s="1"/>
      <c r="D2" s="1"/>
      <c r="E2" s="1"/>
      <c r="F2" s="1"/>
      <c r="G2" s="1"/>
      <c r="H2" s="1"/>
      <c r="I2" s="1"/>
      <c r="J2" s="1"/>
      <c r="M2">
        <v>103967.22</v>
      </c>
      <c r="Q2" s="396"/>
      <c r="R2" s="442"/>
      <c r="S2" s="442"/>
    </row>
    <row r="3" spans="1:25" ht="15" thickBot="1">
      <c r="A3" s="344" t="s">
        <v>291</v>
      </c>
      <c r="B3" s="320"/>
      <c r="M3">
        <f>M2*T17</f>
        <v>135868.52178479999</v>
      </c>
      <c r="N3">
        <v>90045.36</v>
      </c>
      <c r="O3">
        <v>74480</v>
      </c>
      <c r="P3">
        <v>15564.92</v>
      </c>
      <c r="Q3" s="396">
        <f>N3+M3</f>
        <v>225913.88178479997</v>
      </c>
      <c r="R3" s="442">
        <v>370101</v>
      </c>
      <c r="S3" s="396">
        <f>R3-Q3</f>
        <v>144187.11821520003</v>
      </c>
      <c r="U3" s="442"/>
      <c r="V3" s="442"/>
      <c r="W3" s="442"/>
    </row>
    <row r="4" spans="1:25" ht="15" thickBot="1">
      <c r="A4" s="305" t="s">
        <v>8</v>
      </c>
      <c r="B4" s="306">
        <v>135.9</v>
      </c>
      <c r="C4" s="313"/>
      <c r="D4" s="313"/>
      <c r="E4" s="1"/>
      <c r="F4" s="1"/>
      <c r="G4" s="1"/>
      <c r="H4" s="1"/>
      <c r="I4" s="1"/>
      <c r="J4" s="1"/>
      <c r="K4" s="8">
        <v>135.9</v>
      </c>
      <c r="Q4" s="442"/>
      <c r="R4" s="396"/>
      <c r="S4" s="396"/>
      <c r="T4" s="3"/>
      <c r="U4" s="3"/>
      <c r="V4" s="3"/>
      <c r="W4" s="3"/>
      <c r="X4" s="3"/>
    </row>
    <row r="5" spans="1:25" ht="15" thickBot="1">
      <c r="A5" s="488" t="s">
        <v>246</v>
      </c>
      <c r="B5" s="322">
        <v>1</v>
      </c>
      <c r="C5" s="315">
        <f t="shared" ref="C5:S5" si="0">B5+1</f>
        <v>2</v>
      </c>
      <c r="D5" s="315">
        <f t="shared" si="0"/>
        <v>3</v>
      </c>
      <c r="E5" s="315">
        <f t="shared" si="0"/>
        <v>4</v>
      </c>
      <c r="F5" s="315">
        <f t="shared" si="0"/>
        <v>5</v>
      </c>
      <c r="G5" s="315">
        <f t="shared" si="0"/>
        <v>6</v>
      </c>
      <c r="H5" s="315">
        <f t="shared" si="0"/>
        <v>7</v>
      </c>
      <c r="I5" s="315">
        <f t="shared" si="0"/>
        <v>8</v>
      </c>
      <c r="J5" s="315">
        <f t="shared" si="0"/>
        <v>9</v>
      </c>
      <c r="K5" s="315">
        <f t="shared" si="0"/>
        <v>10</v>
      </c>
      <c r="L5" s="315">
        <f t="shared" si="0"/>
        <v>11</v>
      </c>
      <c r="M5" s="315">
        <f t="shared" si="0"/>
        <v>12</v>
      </c>
      <c r="N5" s="315">
        <f t="shared" si="0"/>
        <v>13</v>
      </c>
      <c r="O5" s="315">
        <f t="shared" si="0"/>
        <v>14</v>
      </c>
      <c r="P5" s="315">
        <f t="shared" si="0"/>
        <v>15</v>
      </c>
      <c r="Q5" s="315">
        <f t="shared" si="0"/>
        <v>16</v>
      </c>
      <c r="R5" s="315">
        <f t="shared" si="0"/>
        <v>17</v>
      </c>
      <c r="S5" s="315">
        <f t="shared" si="0"/>
        <v>18</v>
      </c>
      <c r="T5" s="315">
        <v>19</v>
      </c>
      <c r="U5" s="703" t="s">
        <v>254</v>
      </c>
      <c r="V5" s="704"/>
      <c r="W5" s="705"/>
      <c r="X5" s="323"/>
    </row>
    <row r="6" spans="1:25" s="453" customFormat="1" ht="43.2" customHeight="1">
      <c r="A6" s="486" t="s">
        <v>14</v>
      </c>
      <c r="B6" s="454">
        <v>43983</v>
      </c>
      <c r="C6" s="454">
        <v>44013</v>
      </c>
      <c r="D6" s="454">
        <v>44044</v>
      </c>
      <c r="E6" s="454">
        <v>44075</v>
      </c>
      <c r="F6" s="454">
        <v>44105</v>
      </c>
      <c r="G6" s="454">
        <v>44136</v>
      </c>
      <c r="H6" s="454">
        <v>44166</v>
      </c>
      <c r="I6" s="454">
        <v>44287</v>
      </c>
      <c r="J6" s="454">
        <v>44317</v>
      </c>
      <c r="K6" s="454">
        <v>44348</v>
      </c>
      <c r="L6" s="454">
        <v>44378</v>
      </c>
      <c r="M6" s="454">
        <v>44409</v>
      </c>
      <c r="N6" s="454">
        <v>44440</v>
      </c>
      <c r="O6" s="454">
        <v>44470</v>
      </c>
      <c r="P6" s="454">
        <v>44501</v>
      </c>
      <c r="Q6" s="454">
        <v>44531</v>
      </c>
      <c r="R6" s="454">
        <v>44621</v>
      </c>
      <c r="S6" s="454">
        <v>44652</v>
      </c>
      <c r="T6" s="454" t="s">
        <v>232</v>
      </c>
      <c r="U6" s="454" t="s">
        <v>233</v>
      </c>
      <c r="V6" s="454" t="s">
        <v>253</v>
      </c>
      <c r="W6" s="454" t="s">
        <v>234</v>
      </c>
      <c r="X6" s="487" t="s">
        <v>11</v>
      </c>
    </row>
    <row r="7" spans="1:25">
      <c r="A7" s="5" t="s">
        <v>3</v>
      </c>
      <c r="B7" s="506">
        <v>316505.05</v>
      </c>
      <c r="C7" s="506">
        <v>1592445.57</v>
      </c>
      <c r="D7" s="506">
        <v>725240.56</v>
      </c>
      <c r="E7" s="506">
        <v>2006611.43</v>
      </c>
      <c r="F7" s="506">
        <v>4307535.6100000003</v>
      </c>
      <c r="G7" s="506">
        <v>1724521.75</v>
      </c>
      <c r="H7" s="506">
        <v>1370368.17</v>
      </c>
      <c r="I7" s="506">
        <v>1008769</v>
      </c>
      <c r="J7" s="506">
        <v>3191783.3</v>
      </c>
      <c r="K7" s="506">
        <v>4540547.53</v>
      </c>
      <c r="L7" s="506">
        <v>4216146.2300000004</v>
      </c>
      <c r="M7" s="506">
        <v>6464991.5</v>
      </c>
      <c r="N7" s="506">
        <v>2363545.4900000002</v>
      </c>
      <c r="O7" s="506">
        <v>3142377.4</v>
      </c>
      <c r="P7" s="506">
        <v>1592662.85</v>
      </c>
      <c r="Q7" s="506">
        <v>1408708.77</v>
      </c>
      <c r="R7" s="506">
        <v>1522597.03</v>
      </c>
      <c r="S7" s="506">
        <v>5241900.88</v>
      </c>
      <c r="T7" s="506">
        <v>2412513.5040000007</v>
      </c>
      <c r="U7" s="504">
        <f>V7+W7</f>
        <v>18470227.287371706</v>
      </c>
      <c r="V7" s="504">
        <v>16920738.337371707</v>
      </c>
      <c r="W7" s="504">
        <f>1351684.47+197804.48</f>
        <v>1549488.95</v>
      </c>
      <c r="X7" s="504">
        <f>SUM(B7:U7)</f>
        <v>67619998.911371723</v>
      </c>
      <c r="Y7" s="3"/>
    </row>
    <row r="8" spans="1:25">
      <c r="A8" s="5" t="s">
        <v>9</v>
      </c>
      <c r="B8" s="506">
        <v>0</v>
      </c>
      <c r="C8" s="506">
        <v>0</v>
      </c>
      <c r="D8" s="506">
        <v>0</v>
      </c>
      <c r="E8" s="506">
        <v>0</v>
      </c>
      <c r="F8" s="506">
        <v>0</v>
      </c>
      <c r="G8" s="506">
        <v>0</v>
      </c>
      <c r="H8" s="506">
        <v>0</v>
      </c>
      <c r="I8" s="506">
        <v>0</v>
      </c>
      <c r="J8" s="506">
        <v>0</v>
      </c>
      <c r="K8" s="506">
        <f t="shared" ref="K8:W8" si="1">ROUND((K17-1)*K7,2)</f>
        <v>347488.1</v>
      </c>
      <c r="L8" s="506">
        <f t="shared" si="1"/>
        <v>440545.12</v>
      </c>
      <c r="M8" s="506">
        <f t="shared" si="1"/>
        <v>827777.51</v>
      </c>
      <c r="N8" s="506">
        <f t="shared" si="1"/>
        <v>342619.55</v>
      </c>
      <c r="O8" s="506">
        <f t="shared" si="1"/>
        <v>492504.81</v>
      </c>
      <c r="P8" s="506">
        <f t="shared" si="1"/>
        <v>262518.62</v>
      </c>
      <c r="Q8" s="506">
        <f>ROUND((Q17-1)*Q7,2)</f>
        <v>262259.31</v>
      </c>
      <c r="R8" s="506">
        <f>ROUND((R17-1)*R7,2)</f>
        <v>318192.33</v>
      </c>
      <c r="S8" s="506">
        <f t="shared" si="1"/>
        <v>1257427.18</v>
      </c>
      <c r="T8" s="506">
        <f>ROUND((T17-1)*T7,2)</f>
        <v>740255.64</v>
      </c>
      <c r="U8" s="504">
        <f>ROUND((U17-1)*U7,2)</f>
        <v>5667404.54</v>
      </c>
      <c r="V8" s="505">
        <f t="shared" si="1"/>
        <v>5191959.3499999996</v>
      </c>
      <c r="W8" s="504">
        <f t="shared" si="1"/>
        <v>475445.19</v>
      </c>
      <c r="X8" s="504">
        <f>SUM(B8:U8)</f>
        <v>10958992.710000001</v>
      </c>
      <c r="Y8" s="3"/>
    </row>
    <row r="9" spans="1:25">
      <c r="A9" s="5" t="s">
        <v>10</v>
      </c>
      <c r="B9" s="506">
        <f>B7+B8</f>
        <v>316505.05</v>
      </c>
      <c r="C9" s="506">
        <f t="shared" ref="C9:J9" si="2">C7+C8</f>
        <v>1592445.57</v>
      </c>
      <c r="D9" s="506">
        <f t="shared" si="2"/>
        <v>725240.56</v>
      </c>
      <c r="E9" s="506">
        <f t="shared" si="2"/>
        <v>2006611.43</v>
      </c>
      <c r="F9" s="506">
        <f t="shared" si="2"/>
        <v>4307535.6100000003</v>
      </c>
      <c r="G9" s="506">
        <f t="shared" si="2"/>
        <v>1724521.75</v>
      </c>
      <c r="H9" s="506">
        <f t="shared" si="2"/>
        <v>1370368.17</v>
      </c>
      <c r="I9" s="506">
        <f t="shared" si="2"/>
        <v>1008769</v>
      </c>
      <c r="J9" s="506">
        <f t="shared" si="2"/>
        <v>3191783.3</v>
      </c>
      <c r="K9" s="506">
        <f t="shared" ref="K9:S9" si="3">ROUND(K7*K17,2)</f>
        <v>4888035.63</v>
      </c>
      <c r="L9" s="506">
        <f t="shared" si="3"/>
        <v>4656691.3499999996</v>
      </c>
      <c r="M9" s="506">
        <f t="shared" si="3"/>
        <v>7292769.0099999998</v>
      </c>
      <c r="N9" s="506">
        <f t="shared" si="3"/>
        <v>2706165.04</v>
      </c>
      <c r="O9" s="506">
        <f t="shared" si="3"/>
        <v>3634882.21</v>
      </c>
      <c r="P9" s="506">
        <f t="shared" si="3"/>
        <v>1855181.47</v>
      </c>
      <c r="Q9" s="506">
        <f>ROUND(Q7*Q17,2)</f>
        <v>1670968.08</v>
      </c>
      <c r="R9" s="506">
        <f t="shared" si="3"/>
        <v>1840789.36</v>
      </c>
      <c r="S9" s="506">
        <f t="shared" si="3"/>
        <v>6499328.0599999996</v>
      </c>
      <c r="T9" s="506">
        <f t="shared" ref="T9" si="4">ROUND(T7*T17,2)</f>
        <v>3152769.15</v>
      </c>
      <c r="U9" s="504">
        <f>U7+U8</f>
        <v>24137631.827371705</v>
      </c>
      <c r="V9" s="504">
        <f t="shared" ref="V9:W9" si="5">V7+V8</f>
        <v>22112697.687371708</v>
      </c>
      <c r="W9" s="504">
        <f t="shared" si="5"/>
        <v>2024934.14</v>
      </c>
      <c r="X9" s="504">
        <f t="shared" ref="X9:X11" si="6">SUM(B9:U9)</f>
        <v>78578991.627371699</v>
      </c>
    </row>
    <row r="10" spans="1:25">
      <c r="A10" s="5" t="s">
        <v>12</v>
      </c>
      <c r="B10" s="506">
        <v>316505.05</v>
      </c>
      <c r="C10" s="506">
        <v>1592445.57</v>
      </c>
      <c r="D10" s="506">
        <v>725240.56</v>
      </c>
      <c r="E10" s="506">
        <v>2006611.43</v>
      </c>
      <c r="F10" s="506">
        <v>4307535.6100000003</v>
      </c>
      <c r="G10" s="506">
        <v>1724521.75</v>
      </c>
      <c r="H10" s="506">
        <v>1370368.17</v>
      </c>
      <c r="I10" s="506">
        <v>1008769</v>
      </c>
      <c r="J10" s="506">
        <v>3191783.3</v>
      </c>
      <c r="K10" s="506">
        <v>4888035.63</v>
      </c>
      <c r="L10" s="506">
        <v>4656691.3499999996</v>
      </c>
      <c r="M10" s="506">
        <v>7292769.0099999998</v>
      </c>
      <c r="N10" s="506">
        <v>2706165.04</v>
      </c>
      <c r="O10" s="506">
        <v>3634882.21</v>
      </c>
      <c r="P10" s="506">
        <v>1855181.47</v>
      </c>
      <c r="Q10" s="506">
        <v>1660599.99</v>
      </c>
      <c r="R10" s="506">
        <v>1840789.36</v>
      </c>
      <c r="S10" s="506">
        <v>6499328.0599999996</v>
      </c>
      <c r="T10" s="506"/>
      <c r="U10" s="507"/>
      <c r="V10" s="507"/>
      <c r="W10" s="507"/>
      <c r="X10" s="504">
        <f t="shared" si="6"/>
        <v>51278222.560000002</v>
      </c>
    </row>
    <row r="11" spans="1:25">
      <c r="A11" s="5" t="s">
        <v>13</v>
      </c>
      <c r="B11" s="506">
        <f t="shared" ref="B11:S11" si="7">B9-B10</f>
        <v>0</v>
      </c>
      <c r="C11" s="506">
        <f t="shared" si="7"/>
        <v>0</v>
      </c>
      <c r="D11" s="506">
        <f t="shared" si="7"/>
        <v>0</v>
      </c>
      <c r="E11" s="506">
        <f t="shared" si="7"/>
        <v>0</v>
      </c>
      <c r="F11" s="506">
        <f t="shared" si="7"/>
        <v>0</v>
      </c>
      <c r="G11" s="506">
        <f t="shared" si="7"/>
        <v>0</v>
      </c>
      <c r="H11" s="506">
        <f t="shared" si="7"/>
        <v>0</v>
      </c>
      <c r="I11" s="506">
        <f t="shared" si="7"/>
        <v>0</v>
      </c>
      <c r="J11" s="506">
        <f t="shared" si="7"/>
        <v>0</v>
      </c>
      <c r="K11" s="506">
        <f t="shared" si="7"/>
        <v>0</v>
      </c>
      <c r="L11" s="506">
        <f t="shared" si="7"/>
        <v>0</v>
      </c>
      <c r="M11" s="506">
        <f t="shared" si="7"/>
        <v>0</v>
      </c>
      <c r="N11" s="506">
        <f t="shared" si="7"/>
        <v>0</v>
      </c>
      <c r="O11" s="506">
        <f t="shared" si="7"/>
        <v>0</v>
      </c>
      <c r="P11" s="506">
        <f t="shared" si="7"/>
        <v>0</v>
      </c>
      <c r="Q11" s="508">
        <f t="shared" si="7"/>
        <v>10368.090000000084</v>
      </c>
      <c r="R11" s="506">
        <f t="shared" si="7"/>
        <v>0</v>
      </c>
      <c r="S11" s="506">
        <f t="shared" si="7"/>
        <v>0</v>
      </c>
      <c r="T11" s="506"/>
      <c r="U11" s="506"/>
      <c r="V11" s="506"/>
      <c r="W11" s="506"/>
      <c r="X11" s="504">
        <f t="shared" si="6"/>
        <v>10368.090000000084</v>
      </c>
    </row>
    <row r="12" spans="1:25" hidden="1">
      <c r="A12" s="16" t="s">
        <v>17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506"/>
      <c r="O12" s="506"/>
      <c r="P12" s="506"/>
      <c r="Q12" s="506"/>
      <c r="R12" s="506">
        <f>ROUND(R11*19%,2)</f>
        <v>0</v>
      </c>
      <c r="S12" s="506">
        <f t="shared" ref="S12" si="8">ROUND(S11*19%,2)</f>
        <v>0</v>
      </c>
      <c r="T12" s="506"/>
      <c r="U12" s="506"/>
      <c r="V12" s="506"/>
      <c r="W12" s="506"/>
      <c r="X12" s="506"/>
    </row>
    <row r="13" spans="1:25" hidden="1">
      <c r="A13" s="5" t="s">
        <v>18</v>
      </c>
      <c r="B13" s="506"/>
      <c r="C13" s="506"/>
      <c r="D13" s="506"/>
      <c r="E13" s="506"/>
      <c r="F13" s="506"/>
      <c r="G13" s="506"/>
      <c r="H13" s="506"/>
      <c r="I13" s="506"/>
      <c r="J13" s="506"/>
      <c r="K13" s="506"/>
      <c r="L13" s="506"/>
      <c r="M13" s="506"/>
      <c r="N13" s="506"/>
      <c r="O13" s="506"/>
      <c r="P13" s="506"/>
      <c r="Q13" s="506"/>
      <c r="R13" s="508">
        <f>R11+R12</f>
        <v>0</v>
      </c>
      <c r="S13" s="508">
        <f t="shared" ref="S13:W13" si="9">S11+S12</f>
        <v>0</v>
      </c>
      <c r="T13" s="508"/>
      <c r="U13" s="508">
        <f t="shared" si="9"/>
        <v>0</v>
      </c>
      <c r="V13" s="508">
        <f t="shared" si="9"/>
        <v>0</v>
      </c>
      <c r="W13" s="508">
        <f t="shared" si="9"/>
        <v>0</v>
      </c>
      <c r="X13" s="508"/>
    </row>
    <row r="14" spans="1:25">
      <c r="A14" s="5"/>
      <c r="B14" s="506"/>
      <c r="C14" s="506"/>
      <c r="D14" s="506"/>
      <c r="E14" s="506"/>
      <c r="F14" s="506"/>
      <c r="G14" s="506"/>
      <c r="H14" s="506"/>
      <c r="I14" s="506"/>
      <c r="J14" s="506"/>
      <c r="K14" s="506"/>
      <c r="L14" s="506"/>
      <c r="M14" s="706"/>
      <c r="N14" s="706"/>
      <c r="O14" s="706"/>
      <c r="P14" s="706"/>
      <c r="Q14" s="706"/>
      <c r="R14" s="725"/>
      <c r="S14" s="725"/>
      <c r="T14" s="725"/>
      <c r="U14" s="725"/>
      <c r="V14" s="725"/>
      <c r="W14" s="725"/>
      <c r="X14" s="509"/>
    </row>
    <row r="15" spans="1:25">
      <c r="A15" s="2" t="s">
        <v>14</v>
      </c>
      <c r="B15" s="510"/>
      <c r="C15" s="510"/>
      <c r="D15" s="510"/>
      <c r="E15" s="510"/>
      <c r="F15" s="510"/>
      <c r="G15" s="510"/>
      <c r="H15" s="510"/>
      <c r="I15" s="510"/>
      <c r="J15" s="510"/>
      <c r="K15" s="511">
        <v>44287</v>
      </c>
      <c r="L15" s="511">
        <v>44317</v>
      </c>
      <c r="M15" s="511">
        <v>44348</v>
      </c>
      <c r="N15" s="511">
        <v>44378</v>
      </c>
      <c r="O15" s="511">
        <v>44409</v>
      </c>
      <c r="P15" s="511">
        <v>44440</v>
      </c>
      <c r="Q15" s="511">
        <v>44470</v>
      </c>
      <c r="R15" s="511">
        <v>44562</v>
      </c>
      <c r="S15" s="511">
        <v>44593</v>
      </c>
      <c r="T15" s="511">
        <v>44621</v>
      </c>
      <c r="U15" s="511">
        <v>44621</v>
      </c>
      <c r="V15" s="511">
        <v>44621</v>
      </c>
      <c r="W15" s="511">
        <v>44621</v>
      </c>
      <c r="X15" s="511"/>
    </row>
    <row r="16" spans="1:25">
      <c r="A16" s="2" t="s">
        <v>4</v>
      </c>
      <c r="B16" s="512">
        <v>135.9</v>
      </c>
      <c r="C16" s="512">
        <v>135.9</v>
      </c>
      <c r="D16" s="512">
        <v>135.9</v>
      </c>
      <c r="E16" s="512">
        <v>135.9</v>
      </c>
      <c r="F16" s="512">
        <v>135.9</v>
      </c>
      <c r="G16" s="512">
        <v>135.9</v>
      </c>
      <c r="H16" s="512">
        <v>135.9</v>
      </c>
      <c r="I16" s="512">
        <v>135.9</v>
      </c>
      <c r="J16" s="512">
        <v>135.9</v>
      </c>
      <c r="K16" s="506">
        <v>146.30000000000001</v>
      </c>
      <c r="L16" s="506">
        <v>150.1</v>
      </c>
      <c r="M16" s="506">
        <v>153.30000000000001</v>
      </c>
      <c r="N16" s="506">
        <v>155.6</v>
      </c>
      <c r="O16" s="506">
        <v>157.19999999999999</v>
      </c>
      <c r="P16" s="506">
        <v>158.30000000000001</v>
      </c>
      <c r="Q16" s="506">
        <v>161.19999999999999</v>
      </c>
      <c r="R16" s="506">
        <v>164.3</v>
      </c>
      <c r="S16" s="506">
        <v>168.5</v>
      </c>
      <c r="T16" s="506">
        <v>177.6</v>
      </c>
      <c r="U16" s="506">
        <v>177.6</v>
      </c>
      <c r="V16" s="506">
        <v>177.6</v>
      </c>
      <c r="W16" s="506">
        <v>177.6</v>
      </c>
      <c r="X16" s="506"/>
    </row>
    <row r="17" spans="1:24">
      <c r="A17" s="2" t="s">
        <v>5</v>
      </c>
      <c r="B17" s="512">
        <v>1</v>
      </c>
      <c r="C17" s="512">
        <v>1</v>
      </c>
      <c r="D17" s="512">
        <v>1</v>
      </c>
      <c r="E17" s="512">
        <v>1</v>
      </c>
      <c r="F17" s="512">
        <v>1</v>
      </c>
      <c r="G17" s="512">
        <v>1</v>
      </c>
      <c r="H17" s="512">
        <v>1</v>
      </c>
      <c r="I17" s="512">
        <v>1</v>
      </c>
      <c r="J17" s="512">
        <v>1</v>
      </c>
      <c r="K17" s="512">
        <v>1.07653</v>
      </c>
      <c r="L17" s="512">
        <v>1.10449</v>
      </c>
      <c r="M17" s="512">
        <v>1.1280399999999999</v>
      </c>
      <c r="N17" s="512">
        <v>1.14496</v>
      </c>
      <c r="O17" s="512">
        <v>1.15673</v>
      </c>
      <c r="P17" s="512">
        <v>1.16483</v>
      </c>
      <c r="Q17" s="512">
        <f>ROUND(Q16/B4,5)</f>
        <v>1.1861699999999999</v>
      </c>
      <c r="R17" s="512">
        <f>ROUND(R16/$B$4,5)</f>
        <v>1.2089799999999999</v>
      </c>
      <c r="S17" s="512">
        <f>ROUND(S16/$B$4,5)</f>
        <v>1.2398800000000001</v>
      </c>
      <c r="T17" s="512">
        <f>ROUND(T16/$B$4,5)</f>
        <v>1.30684</v>
      </c>
      <c r="U17" s="512">
        <f>ROUND(U16/$B$4,5)</f>
        <v>1.30684</v>
      </c>
      <c r="V17" s="512">
        <f t="shared" ref="V17:W17" si="10">ROUND(V16/$B$4,5)</f>
        <v>1.30684</v>
      </c>
      <c r="W17" s="512">
        <f t="shared" si="10"/>
        <v>1.30684</v>
      </c>
      <c r="X17" s="512"/>
    </row>
    <row r="18" spans="1:24" hidden="1">
      <c r="A18" s="11" t="s">
        <v>15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6">
        <f>L16-K16</f>
        <v>3.7999999999999829</v>
      </c>
      <c r="M18" s="5" t="e">
        <f>M16-#REF!</f>
        <v>#REF!</v>
      </c>
      <c r="N18" s="5">
        <f t="shared" ref="N18:P18" si="11">N16-M16</f>
        <v>2.2999999999999829</v>
      </c>
      <c r="O18" s="5">
        <f t="shared" si="11"/>
        <v>1.5999999999999943</v>
      </c>
      <c r="P18" s="5">
        <f t="shared" si="11"/>
        <v>1.1000000000000227</v>
      </c>
      <c r="Q18" s="6">
        <f>Q16-P16</f>
        <v>2.8999999999999773</v>
      </c>
      <c r="R18" s="6">
        <f>R16-Q16</f>
        <v>3.1000000000000227</v>
      </c>
      <c r="S18" s="6">
        <f t="shared" ref="S18:W19" si="12">S16-R16</f>
        <v>4.1999999999999886</v>
      </c>
      <c r="T18" s="6">
        <f>T16-R16</f>
        <v>13.299999999999983</v>
      </c>
      <c r="U18" s="6">
        <f>U16-S16</f>
        <v>9.0999999999999943</v>
      </c>
      <c r="V18" s="6">
        <f t="shared" si="12"/>
        <v>0</v>
      </c>
      <c r="W18" s="309">
        <f t="shared" si="12"/>
        <v>0</v>
      </c>
      <c r="X18" s="6"/>
    </row>
    <row r="19" spans="1:24" hidden="1">
      <c r="A19" s="11" t="s">
        <v>16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>
        <f>L17-K17</f>
        <v>2.7959999999999985E-2</v>
      </c>
      <c r="M19" s="5" t="e">
        <f>M17-#REF!</f>
        <v>#REF!</v>
      </c>
      <c r="N19" s="5">
        <f>N17-M17</f>
        <v>1.6920000000000046E-2</v>
      </c>
      <c r="O19" s="5">
        <f>O17-N17</f>
        <v>1.1770000000000058E-2</v>
      </c>
      <c r="P19" s="5">
        <f>P17-O17</f>
        <v>8.0999999999999961E-3</v>
      </c>
      <c r="Q19" s="449">
        <f>Q17-P17</f>
        <v>2.1339999999999915E-2</v>
      </c>
      <c r="R19" s="5">
        <f>R17-Q17</f>
        <v>2.2809999999999997E-2</v>
      </c>
      <c r="S19" s="5">
        <f t="shared" si="12"/>
        <v>3.090000000000015E-2</v>
      </c>
      <c r="T19" s="5">
        <f>T17-R17</f>
        <v>9.7860000000000058E-2</v>
      </c>
      <c r="U19" s="5">
        <f>U17-S17</f>
        <v>6.6959999999999908E-2</v>
      </c>
      <c r="V19" s="5">
        <f t="shared" si="12"/>
        <v>0</v>
      </c>
      <c r="W19" s="389">
        <f t="shared" si="12"/>
        <v>0</v>
      </c>
      <c r="X19" s="5"/>
    </row>
    <row r="20" spans="1:24" ht="15" thickBot="1">
      <c r="A20" s="455" t="s">
        <v>255</v>
      </c>
      <c r="Q20" s="442"/>
    </row>
    <row r="21" spans="1:24" ht="15" thickBot="1">
      <c r="A21" s="708" t="s">
        <v>170</v>
      </c>
      <c r="B21" s="709"/>
      <c r="C21" s="452" t="s">
        <v>167</v>
      </c>
      <c r="D21" s="332" t="s">
        <v>168</v>
      </c>
      <c r="E21" s="489" t="s">
        <v>169</v>
      </c>
      <c r="F21" s="500" t="s">
        <v>292</v>
      </c>
      <c r="G21" s="499" t="s">
        <v>168</v>
      </c>
      <c r="H21" s="332" t="s">
        <v>169</v>
      </c>
      <c r="I21" s="495" t="s">
        <v>155</v>
      </c>
      <c r="J21" s="493" t="s">
        <v>168</v>
      </c>
      <c r="K21" s="332" t="s">
        <v>169</v>
      </c>
      <c r="Q21" s="450"/>
    </row>
    <row r="22" spans="1:24" ht="15" thickBot="1">
      <c r="A22" s="356" t="s">
        <v>231</v>
      </c>
      <c r="B22" s="409"/>
      <c r="C22" s="490">
        <v>10368.09</v>
      </c>
      <c r="D22" s="490">
        <f>ROUND(C22*0.19,2)</f>
        <v>1969.94</v>
      </c>
      <c r="E22" s="491">
        <f>C22+D22</f>
        <v>12338.03</v>
      </c>
      <c r="F22" s="501">
        <v>8870.09</v>
      </c>
      <c r="G22" s="491">
        <f t="shared" ref="G22:G25" si="13">ROUND(F22*0.19,2)</f>
        <v>1685.32</v>
      </c>
      <c r="H22" s="490">
        <f t="shared" ref="H22:H25" si="14">F22+G22</f>
        <v>10555.41</v>
      </c>
      <c r="I22" s="496">
        <v>1498</v>
      </c>
      <c r="J22" s="491">
        <f t="shared" ref="J22:J25" si="15">ROUND(I22*0.19,2)</f>
        <v>284.62</v>
      </c>
      <c r="K22" s="490">
        <f t="shared" ref="K22:K25" si="16">I22+J22</f>
        <v>1782.62</v>
      </c>
      <c r="Q22" s="450"/>
    </row>
    <row r="23" spans="1:24" ht="15" thickBot="1">
      <c r="A23" s="356" t="s">
        <v>212</v>
      </c>
      <c r="B23" s="409"/>
      <c r="C23" s="490">
        <v>318192.33</v>
      </c>
      <c r="D23" s="490">
        <f t="shared" ref="D23:D24" si="17">ROUND(C23*0.19,2)</f>
        <v>60456.54</v>
      </c>
      <c r="E23" s="491">
        <f t="shared" ref="E23:E24" si="18">C23+D23</f>
        <v>378648.87</v>
      </c>
      <c r="F23" s="502">
        <v>164642.10999999999</v>
      </c>
      <c r="G23" s="491">
        <f t="shared" si="13"/>
        <v>31282</v>
      </c>
      <c r="H23" s="490">
        <f t="shared" si="14"/>
        <v>195924.11</v>
      </c>
      <c r="I23" s="497">
        <v>153550.22</v>
      </c>
      <c r="J23" s="491">
        <f t="shared" si="15"/>
        <v>29174.54</v>
      </c>
      <c r="K23" s="490">
        <f t="shared" si="16"/>
        <v>182724.76</v>
      </c>
      <c r="Q23" s="396"/>
    </row>
    <row r="24" spans="1:24" ht="15" thickBot="1">
      <c r="A24" s="356" t="s">
        <v>213</v>
      </c>
      <c r="B24" s="409"/>
      <c r="C24" s="490">
        <v>1257427.18</v>
      </c>
      <c r="D24" s="490">
        <f t="shared" si="17"/>
        <v>238911.16</v>
      </c>
      <c r="E24" s="491">
        <f t="shared" si="18"/>
        <v>1496338.3399999999</v>
      </c>
      <c r="F24" s="490">
        <v>1152721.07</v>
      </c>
      <c r="G24" s="491">
        <f t="shared" si="13"/>
        <v>219017</v>
      </c>
      <c r="H24" s="490">
        <f t="shared" si="14"/>
        <v>1371738.07</v>
      </c>
      <c r="I24" s="498">
        <v>104706.11</v>
      </c>
      <c r="J24" s="491">
        <f t="shared" si="15"/>
        <v>19894.16</v>
      </c>
      <c r="K24" s="490">
        <f t="shared" si="16"/>
        <v>124600.27</v>
      </c>
      <c r="Q24" s="396"/>
    </row>
    <row r="25" spans="1:24" ht="15" thickBot="1">
      <c r="A25" s="356" t="s">
        <v>230</v>
      </c>
      <c r="B25" s="409"/>
      <c r="C25" s="492">
        <v>740255.64</v>
      </c>
      <c r="D25" s="490">
        <f>ROUND(C25*0.19,2)</f>
        <v>140648.57</v>
      </c>
      <c r="E25" s="491">
        <f>C25+D25</f>
        <v>880904.21</v>
      </c>
      <c r="F25" s="501">
        <v>718528.92</v>
      </c>
      <c r="G25" s="491">
        <f t="shared" si="13"/>
        <v>136520.49</v>
      </c>
      <c r="H25" s="490">
        <f t="shared" si="14"/>
        <v>855049.41</v>
      </c>
      <c r="I25" s="496">
        <v>21726.719999999972</v>
      </c>
      <c r="J25" s="491">
        <f t="shared" si="15"/>
        <v>4128.08</v>
      </c>
      <c r="K25" s="490">
        <f t="shared" si="16"/>
        <v>25854.799999999974</v>
      </c>
    </row>
    <row r="26" spans="1:24" ht="15" thickBot="1">
      <c r="A26" s="358" t="s">
        <v>11</v>
      </c>
      <c r="B26" s="359"/>
      <c r="C26" s="413">
        <f>SUM(C22:C25)</f>
        <v>2326243.2400000002</v>
      </c>
      <c r="D26" s="410">
        <f>SUM(D22:D25)</f>
        <v>441986.21</v>
      </c>
      <c r="E26" s="411">
        <f>SUM(E22:E25)</f>
        <v>2768229.4499999997</v>
      </c>
      <c r="F26" s="410">
        <f t="shared" ref="F26:G26" si="19">SUM(F22:F25)</f>
        <v>2044762.19</v>
      </c>
      <c r="G26" s="411">
        <f t="shared" si="19"/>
        <v>388504.81</v>
      </c>
      <c r="H26" s="410">
        <f t="shared" ref="H26" si="20">SUM(H22:H25)</f>
        <v>2433267</v>
      </c>
      <c r="I26" s="412">
        <f t="shared" ref="I26" si="21">SUM(I22:I25)</f>
        <v>281481.05</v>
      </c>
      <c r="J26" s="494">
        <f t="shared" ref="J26" si="22">SUM(J22:J25)</f>
        <v>53481.4</v>
      </c>
      <c r="K26" s="410">
        <f t="shared" ref="K26" si="23">SUM(K22:K25)</f>
        <v>334962.45</v>
      </c>
    </row>
    <row r="27" spans="1:24" ht="36" customHeight="1" thickBot="1">
      <c r="A27" s="727" t="s">
        <v>235</v>
      </c>
      <c r="B27" s="728"/>
      <c r="C27" s="519">
        <v>70585343.849999994</v>
      </c>
      <c r="D27" s="520">
        <f>ROUND(C27*0.19,2)</f>
        <v>13411215.33</v>
      </c>
      <c r="E27" s="521">
        <f>C27+D27</f>
        <v>83996559.179999992</v>
      </c>
    </row>
    <row r="28" spans="1:24" ht="15" thickBot="1">
      <c r="A28" s="724" t="s">
        <v>186</v>
      </c>
      <c r="B28" s="715"/>
      <c r="C28" s="343">
        <v>65262378.119999997</v>
      </c>
      <c r="D28" s="334">
        <f t="shared" ref="D28:D47" si="24">ROUND(C28*0.19,2)</f>
        <v>12399851.84</v>
      </c>
      <c r="E28" s="335">
        <f t="shared" ref="E28" si="25">C28+D28</f>
        <v>77662229.959999993</v>
      </c>
      <c r="F28" s="305" t="s">
        <v>204</v>
      </c>
      <c r="G28" s="322"/>
      <c r="H28" s="376">
        <v>65262378.119999997</v>
      </c>
      <c r="I28" s="323"/>
    </row>
    <row r="29" spans="1:24" ht="27" customHeight="1" thickBot="1">
      <c r="A29" s="731" t="s">
        <v>305</v>
      </c>
      <c r="B29" s="732"/>
      <c r="C29" s="343">
        <f>C27-C28</f>
        <v>5322965.7299999967</v>
      </c>
      <c r="D29" s="334">
        <f t="shared" si="24"/>
        <v>1011363.49</v>
      </c>
      <c r="E29" s="334">
        <f>C29+D29</f>
        <v>6334329.2199999969</v>
      </c>
      <c r="F29" s="741" t="s">
        <v>270</v>
      </c>
      <c r="G29" s="371">
        <f>G31</f>
        <v>5649870.7400000002</v>
      </c>
      <c r="H29" s="448">
        <f>H28-H31</f>
        <v>61970128.18</v>
      </c>
      <c r="I29" s="385"/>
      <c r="J29" s="3">
        <f>C29*1.19</f>
        <v>6334329.2186999954</v>
      </c>
    </row>
    <row r="30" spans="1:24" ht="29.4" thickBot="1">
      <c r="A30" s="524" t="s">
        <v>304</v>
      </c>
      <c r="B30" s="525"/>
      <c r="C30" s="349">
        <v>2467841.2200000002</v>
      </c>
      <c r="D30" s="354">
        <f t="shared" si="24"/>
        <v>468889.83</v>
      </c>
      <c r="E30" s="355">
        <f t="shared" ref="E30:E47" si="26">C30+D30</f>
        <v>2936731.0500000003</v>
      </c>
      <c r="F30" s="742"/>
      <c r="G30" s="378" t="s">
        <v>155</v>
      </c>
      <c r="H30" s="439" t="s">
        <v>197</v>
      </c>
      <c r="I30" s="380" t="s">
        <v>198</v>
      </c>
      <c r="J30" s="3"/>
    </row>
    <row r="31" spans="1:24" ht="29.4" customHeight="1" thickBot="1">
      <c r="A31" s="737" t="s">
        <v>303</v>
      </c>
      <c r="B31" s="738"/>
      <c r="C31" s="351">
        <f>C29-C30</f>
        <v>2855124.5099999965</v>
      </c>
      <c r="D31" s="352">
        <f t="shared" si="24"/>
        <v>542473.66</v>
      </c>
      <c r="E31" s="353">
        <f>C31+D31</f>
        <v>3397598.1699999967</v>
      </c>
      <c r="F31" s="743"/>
      <c r="G31" s="371">
        <f>4531008.34+1118862.4</f>
        <v>5649870.7400000002</v>
      </c>
      <c r="H31" s="377">
        <f>2112929.61+258262.18+431421.68+489636.47</f>
        <v>3292249.9400000004</v>
      </c>
      <c r="I31" s="372">
        <f>G31-H31</f>
        <v>2357620.7999999998</v>
      </c>
      <c r="J31" s="3"/>
    </row>
    <row r="32" spans="1:24" ht="43.8" thickBot="1">
      <c r="A32" s="356" t="s">
        <v>250</v>
      </c>
      <c r="B32" s="357"/>
      <c r="C32" s="351">
        <f>536048.7-37615.63+1892180.61+27465.05-258262.18+197804.25</f>
        <v>2357620.7999999998</v>
      </c>
      <c r="D32" s="352">
        <f t="shared" si="24"/>
        <v>447947.95</v>
      </c>
      <c r="E32" s="353">
        <f t="shared" si="26"/>
        <v>2805568.75</v>
      </c>
      <c r="F32" s="460" t="s">
        <v>293</v>
      </c>
      <c r="G32" s="383">
        <f>194322.78+I26</f>
        <v>475803.82999999996</v>
      </c>
      <c r="H32" s="447"/>
      <c r="I32" s="317"/>
      <c r="J32" s="3"/>
      <c r="K32" s="3"/>
    </row>
    <row r="33" spans="1:12" ht="58.2" thickBot="1">
      <c r="A33" s="356" t="s">
        <v>251</v>
      </c>
      <c r="B33" s="357"/>
      <c r="C33" s="351">
        <v>1112148.329999997</v>
      </c>
      <c r="D33" s="352">
        <f t="shared" si="24"/>
        <v>211308.18</v>
      </c>
      <c r="E33" s="353">
        <f t="shared" si="26"/>
        <v>1323456.509999997</v>
      </c>
      <c r="F33" s="460" t="s">
        <v>294</v>
      </c>
      <c r="G33" s="317"/>
      <c r="H33" s="317">
        <f>2771022.15+F26</f>
        <v>4815784.34</v>
      </c>
      <c r="I33" s="397"/>
      <c r="J33" s="557"/>
    </row>
    <row r="34" spans="1:12" ht="78.75" customHeight="1" thickBot="1">
      <c r="A34" s="737" t="s">
        <v>307</v>
      </c>
      <c r="B34" s="753"/>
      <c r="C34" s="352">
        <v>194322.78</v>
      </c>
      <c r="D34" s="353">
        <f t="shared" si="24"/>
        <v>36921.33</v>
      </c>
      <c r="E34" s="353">
        <f t="shared" si="26"/>
        <v>231244.11</v>
      </c>
      <c r="F34" s="451" t="s">
        <v>295</v>
      </c>
      <c r="G34" s="317">
        <f>G29+G32</f>
        <v>6125674.5700000003</v>
      </c>
      <c r="H34" s="317">
        <f>H28-H31+H33</f>
        <v>66785912.519999996</v>
      </c>
      <c r="I34" s="317">
        <f>G34+H34</f>
        <v>72911587.090000004</v>
      </c>
      <c r="J34" s="3"/>
    </row>
    <row r="35" spans="1:12" ht="29.4" customHeight="1" thickBot="1">
      <c r="A35" s="737" t="s">
        <v>308</v>
      </c>
      <c r="B35" s="738"/>
      <c r="C35" s="352">
        <f>2771022.15-2467841.22</f>
        <v>303180.9299999997</v>
      </c>
      <c r="D35" s="352">
        <f t="shared" si="24"/>
        <v>57604.38</v>
      </c>
      <c r="E35" s="353">
        <f t="shared" si="26"/>
        <v>360785.30999999971</v>
      </c>
      <c r="F35" s="464" t="s">
        <v>277</v>
      </c>
      <c r="G35" s="465"/>
      <c r="H35" s="465"/>
      <c r="I35" s="466">
        <f>ROUND((I31+G32)/I34,4)</f>
        <v>3.8899999999999997E-2</v>
      </c>
      <c r="J35">
        <v>2259659</v>
      </c>
      <c r="K35" s="559">
        <f>C30+C35</f>
        <v>2771022.15</v>
      </c>
    </row>
    <row r="36" spans="1:12" ht="29.4" customHeight="1" thickBot="1">
      <c r="A36" s="737" t="s">
        <v>191</v>
      </c>
      <c r="B36" s="738"/>
      <c r="C36" s="351">
        <f>C32-C33</f>
        <v>1245472.4700000028</v>
      </c>
      <c r="D36" s="352">
        <f t="shared" si="24"/>
        <v>236639.77</v>
      </c>
      <c r="E36" s="353">
        <f t="shared" si="26"/>
        <v>1482112.2400000028</v>
      </c>
      <c r="F36" s="467" t="s">
        <v>269</v>
      </c>
      <c r="G36" s="468"/>
      <c r="H36" s="469"/>
      <c r="I36" s="470">
        <f>ROUND(G31/I34,4)</f>
        <v>7.7499999999999999E-2</v>
      </c>
      <c r="J36" s="3">
        <f>C36+G32+I26</f>
        <v>2002757.3500000027</v>
      </c>
      <c r="K36" s="560">
        <v>2044764.19</v>
      </c>
    </row>
    <row r="37" spans="1:12" ht="28.2" customHeight="1" thickBot="1">
      <c r="A37" s="736" t="s">
        <v>302</v>
      </c>
      <c r="B37" s="732"/>
      <c r="C37" s="343">
        <f>SUM(C38:C40)</f>
        <v>2965344.9299999997</v>
      </c>
      <c r="D37" s="343">
        <f>SUM(D38:D40)</f>
        <v>563415.53999999992</v>
      </c>
      <c r="E37" s="444">
        <f t="shared" si="26"/>
        <v>3528760.4699999997</v>
      </c>
      <c r="F37" s="477" t="s">
        <v>278</v>
      </c>
      <c r="G37" s="474"/>
      <c r="H37" s="475"/>
      <c r="I37" s="478">
        <f>ROUND((I31+G34)/I34,4)</f>
        <v>0.1164</v>
      </c>
      <c r="J37" s="3">
        <f>J35-J36</f>
        <v>256901.64999999735</v>
      </c>
      <c r="K37" s="560">
        <v>5191959.3499999996</v>
      </c>
      <c r="L37">
        <f>SUM(K36:K37)</f>
        <v>7236723.5399999991</v>
      </c>
    </row>
    <row r="38" spans="1:12" ht="45.6" customHeight="1" thickBot="1">
      <c r="A38" s="749" t="s">
        <v>247</v>
      </c>
      <c r="B38" s="750"/>
      <c r="C38" s="349">
        <v>2467841.2200000002</v>
      </c>
      <c r="D38" s="349">
        <f t="shared" si="24"/>
        <v>468889.83</v>
      </c>
      <c r="E38" s="445">
        <f t="shared" si="26"/>
        <v>2936731.0500000003</v>
      </c>
      <c r="F38" s="733" t="s">
        <v>297</v>
      </c>
      <c r="G38" s="734"/>
      <c r="H38" s="735"/>
      <c r="I38" s="317">
        <f>I34-H28</f>
        <v>7649208.9700000063</v>
      </c>
      <c r="J38" s="3"/>
      <c r="K38" s="559">
        <f>SUM(K35:K37)</f>
        <v>10007745.689999999</v>
      </c>
    </row>
    <row r="39" spans="1:12" ht="29.4" customHeight="1" thickBot="1">
      <c r="A39" s="737" t="s">
        <v>248</v>
      </c>
      <c r="B39" s="738"/>
      <c r="C39" s="350">
        <f>2771022.15-2467841.22</f>
        <v>303180.9299999997</v>
      </c>
      <c r="D39" s="443">
        <f t="shared" si="24"/>
        <v>57604.38</v>
      </c>
      <c r="E39" s="476">
        <f t="shared" si="26"/>
        <v>360785.30999999971</v>
      </c>
      <c r="F39" s="733" t="s">
        <v>298</v>
      </c>
      <c r="G39" s="734"/>
      <c r="H39" s="734"/>
      <c r="I39" s="317">
        <f>I38*1.19</f>
        <v>9102558.6743000075</v>
      </c>
      <c r="K39" s="560"/>
    </row>
    <row r="40" spans="1:12" ht="29.4" customHeight="1" thickBot="1">
      <c r="A40" s="737" t="s">
        <v>306</v>
      </c>
      <c r="B40" s="738"/>
      <c r="C40" s="351">
        <v>194322.78</v>
      </c>
      <c r="D40" s="443">
        <f t="shared" si="24"/>
        <v>36921.33</v>
      </c>
      <c r="E40" s="446">
        <f t="shared" si="26"/>
        <v>231244.11</v>
      </c>
      <c r="F40" s="447"/>
      <c r="G40" s="396"/>
      <c r="H40" s="396"/>
      <c r="K40" s="560"/>
    </row>
    <row r="41" spans="1:12" ht="15" hidden="1" thickBot="1">
      <c r="A41" s="356" t="s">
        <v>249</v>
      </c>
      <c r="B41" s="357"/>
      <c r="C41" s="351">
        <v>194322.78</v>
      </c>
      <c r="D41" s="443">
        <f t="shared" si="24"/>
        <v>36921.33</v>
      </c>
      <c r="E41" s="446">
        <f t="shared" si="26"/>
        <v>231244.11</v>
      </c>
      <c r="F41" s="337"/>
    </row>
    <row r="42" spans="1:12" ht="31.95" customHeight="1" thickBot="1">
      <c r="A42" s="716" t="s">
        <v>178</v>
      </c>
      <c r="B42" s="717"/>
      <c r="C42" s="340">
        <v>72196423.294117644</v>
      </c>
      <c r="D42" s="339">
        <f t="shared" si="24"/>
        <v>13717320.43</v>
      </c>
      <c r="E42" s="479">
        <f t="shared" si="26"/>
        <v>85913743.724117637</v>
      </c>
      <c r="F42" s="3"/>
      <c r="G42" s="3"/>
    </row>
    <row r="43" spans="1:12" ht="28.95" customHeight="1" thickBot="1">
      <c r="A43" s="716" t="s">
        <v>180</v>
      </c>
      <c r="B43" s="717"/>
      <c r="C43" s="340">
        <v>69326807.510000005</v>
      </c>
      <c r="D43" s="334">
        <f t="shared" si="24"/>
        <v>13172093.43</v>
      </c>
      <c r="E43" s="335">
        <f t="shared" si="26"/>
        <v>82498900.939999998</v>
      </c>
      <c r="F43" s="3"/>
      <c r="G43" s="3"/>
      <c r="H43" s="3"/>
    </row>
    <row r="44" spans="1:12" ht="28.95" customHeight="1" thickBot="1">
      <c r="A44" s="718" t="s">
        <v>181</v>
      </c>
      <c r="B44" s="719"/>
      <c r="C44" s="341">
        <v>2869615.78</v>
      </c>
      <c r="D44" s="334">
        <f t="shared" si="24"/>
        <v>545227</v>
      </c>
      <c r="E44" s="335">
        <f t="shared" si="26"/>
        <v>3414842.78</v>
      </c>
      <c r="H44" s="3"/>
    </row>
    <row r="45" spans="1:12" ht="42.6" customHeight="1" thickBot="1">
      <c r="A45" s="737" t="s">
        <v>309</v>
      </c>
      <c r="B45" s="738"/>
      <c r="C45" s="526">
        <f>C26</f>
        <v>2326243.2400000002</v>
      </c>
      <c r="D45" s="518">
        <f t="shared" si="24"/>
        <v>441986.22</v>
      </c>
      <c r="E45" s="527">
        <f t="shared" si="26"/>
        <v>2768229.46</v>
      </c>
    </row>
    <row r="46" spans="1:12" ht="46.2" customHeight="1" thickBot="1">
      <c r="A46" s="737" t="s">
        <v>310</v>
      </c>
      <c r="B46" s="738"/>
      <c r="C46" s="528">
        <f>F26</f>
        <v>2044762.19</v>
      </c>
      <c r="D46" s="518">
        <f t="shared" si="24"/>
        <v>388504.82</v>
      </c>
      <c r="E46" s="527">
        <f t="shared" si="26"/>
        <v>2433267.0099999998</v>
      </c>
    </row>
    <row r="47" spans="1:12" ht="43.2" customHeight="1" thickBot="1">
      <c r="A47" s="737" t="s">
        <v>311</v>
      </c>
      <c r="B47" s="738"/>
      <c r="C47" s="529">
        <f>I26</f>
        <v>281481.05</v>
      </c>
      <c r="D47" s="518">
        <f t="shared" si="24"/>
        <v>53481.4</v>
      </c>
      <c r="E47" s="527">
        <f t="shared" si="26"/>
        <v>334962.45</v>
      </c>
      <c r="F47" s="3">
        <f>C45+C49</f>
        <v>7993647.7800000003</v>
      </c>
    </row>
    <row r="48" spans="1:12" ht="15" thickBot="1">
      <c r="C48" s="3"/>
    </row>
    <row r="49" spans="1:13" ht="31.5" customHeight="1" thickBot="1">
      <c r="A49" s="739" t="s">
        <v>237</v>
      </c>
      <c r="B49" s="740"/>
      <c r="C49" s="399">
        <f>C50+C53</f>
        <v>5667404.54</v>
      </c>
      <c r="D49" s="399">
        <f t="shared" ref="D49" si="27">D50+D53</f>
        <v>1076806.8700000001</v>
      </c>
      <c r="E49" s="400">
        <f>E50+E53</f>
        <v>6744211.4100000001</v>
      </c>
      <c r="F49" s="481" t="s">
        <v>204</v>
      </c>
      <c r="G49" s="322"/>
      <c r="H49" s="376">
        <v>65262378.119999997</v>
      </c>
      <c r="I49" s="323"/>
    </row>
    <row r="50" spans="1:13" ht="29.4" customHeight="1" thickBot="1">
      <c r="A50" s="720" t="s">
        <v>238</v>
      </c>
      <c r="B50" s="721"/>
      <c r="C50" s="522">
        <f>V8</f>
        <v>5191959.3499999996</v>
      </c>
      <c r="D50" s="407">
        <f t="shared" ref="D50:D57" si="28">ROUND(C50*0.19,2)</f>
        <v>986472.28</v>
      </c>
      <c r="E50" s="523">
        <f>C50+D50</f>
        <v>6178431.6299999999</v>
      </c>
      <c r="F50" s="744" t="s">
        <v>270</v>
      </c>
      <c r="G50" s="371">
        <f>G52</f>
        <v>5649870.7400000002</v>
      </c>
      <c r="H50" s="448">
        <f>H49-H52</f>
        <v>61970128.18</v>
      </c>
      <c r="I50" s="385"/>
    </row>
    <row r="51" spans="1:13" ht="29.4" customHeight="1" thickBot="1">
      <c r="A51" s="720" t="s">
        <v>266</v>
      </c>
      <c r="B51" s="721"/>
      <c r="C51" s="406">
        <f>ROUND(C50*0.98,2)</f>
        <v>5088120.16</v>
      </c>
      <c r="D51" s="407">
        <f t="shared" si="28"/>
        <v>966742.83</v>
      </c>
      <c r="E51" s="459">
        <f>C51+D51</f>
        <v>6054862.9900000002</v>
      </c>
      <c r="F51" s="745"/>
      <c r="G51" s="378" t="s">
        <v>155</v>
      </c>
      <c r="H51" s="439" t="s">
        <v>197</v>
      </c>
      <c r="I51" s="380" t="s">
        <v>198</v>
      </c>
      <c r="J51">
        <v>2862831</v>
      </c>
    </row>
    <row r="52" spans="1:13" ht="49.5" customHeight="1" thickBot="1">
      <c r="A52" s="722" t="s">
        <v>267</v>
      </c>
      <c r="B52" s="723"/>
      <c r="C52" s="517">
        <f>ROUND(C50*0.02,2)</f>
        <v>103839.19</v>
      </c>
      <c r="D52" s="518">
        <f t="shared" si="28"/>
        <v>19729.45</v>
      </c>
      <c r="E52" s="516">
        <f>C52+D52</f>
        <v>123568.64</v>
      </c>
      <c r="F52" s="746"/>
      <c r="G52" s="371">
        <f>4531008.34+1118862.4</f>
        <v>5649870.7400000002</v>
      </c>
      <c r="H52" s="377">
        <f>2112929.61+258262.18+431421.68+489636.47</f>
        <v>3292249.9400000004</v>
      </c>
      <c r="I52" s="372">
        <f>G52-H52</f>
        <v>2357620.7999999998</v>
      </c>
      <c r="J52" s="3">
        <f>I52+G53</f>
        <v>3308869.82</v>
      </c>
      <c r="K52" s="3">
        <f>J52-280209.53</f>
        <v>3028660.29</v>
      </c>
    </row>
    <row r="53" spans="1:13" ht="46.2" customHeight="1" thickBot="1">
      <c r="A53" s="747" t="s">
        <v>268</v>
      </c>
      <c r="B53" s="748"/>
      <c r="C53" s="371">
        <f>W8</f>
        <v>475445.19</v>
      </c>
      <c r="D53" s="462">
        <f t="shared" si="28"/>
        <v>90334.59</v>
      </c>
      <c r="E53" s="516">
        <f>C53+D53</f>
        <v>565779.78</v>
      </c>
      <c r="F53" s="463" t="s">
        <v>272</v>
      </c>
      <c r="G53" s="383">
        <f>194322.78+C53+I26</f>
        <v>951249.02</v>
      </c>
      <c r="H53" s="447"/>
      <c r="I53" s="461"/>
      <c r="J53" s="3">
        <f>1049210</f>
        <v>1049210</v>
      </c>
      <c r="K53" s="3">
        <f>J53-J52</f>
        <v>-2259659.8199999998</v>
      </c>
    </row>
    <row r="54" spans="1:13" ht="64.5" customHeight="1" thickBot="1">
      <c r="A54" s="1"/>
      <c r="C54" s="3"/>
      <c r="F54" s="460" t="s">
        <v>271</v>
      </c>
      <c r="G54" s="317"/>
      <c r="H54" s="317">
        <f>2771022.15+C50+F26</f>
        <v>10007743.689999999</v>
      </c>
      <c r="I54" s="397"/>
      <c r="J54" s="672" t="s">
        <v>316</v>
      </c>
      <c r="K54" s="673"/>
      <c r="L54" s="673"/>
      <c r="M54" s="673"/>
    </row>
    <row r="55" spans="1:13" ht="87" thickBot="1">
      <c r="A55" s="751" t="s">
        <v>310</v>
      </c>
      <c r="B55" s="752"/>
      <c r="C55" s="421">
        <v>2044762.19</v>
      </c>
      <c r="D55" s="514">
        <f t="shared" si="28"/>
        <v>388504.82</v>
      </c>
      <c r="E55" s="462">
        <f>C55+D55</f>
        <v>2433267.0099999998</v>
      </c>
      <c r="F55" s="480" t="s">
        <v>273</v>
      </c>
      <c r="G55" s="317">
        <f>G50+G53</f>
        <v>6601119.7599999998</v>
      </c>
      <c r="H55" s="326">
        <f>H49-H52+H54</f>
        <v>71977871.870000005</v>
      </c>
      <c r="I55" s="317">
        <f>G55+H55</f>
        <v>78578991.63000001</v>
      </c>
      <c r="J55" s="3">
        <v>78410857</v>
      </c>
      <c r="K55">
        <v>2254659</v>
      </c>
      <c r="L55" s="503">
        <f>J55-K55</f>
        <v>76156198</v>
      </c>
      <c r="M55" s="559">
        <f>H54-H52</f>
        <v>6715493.7499999991</v>
      </c>
    </row>
    <row r="56" spans="1:13" ht="43.8" thickBot="1">
      <c r="A56" s="422" t="s">
        <v>274</v>
      </c>
      <c r="B56" s="409"/>
      <c r="C56" s="421">
        <f>C52</f>
        <v>103839.19</v>
      </c>
      <c r="D56" s="514">
        <f t="shared" si="28"/>
        <v>19729.45</v>
      </c>
      <c r="E56" s="462">
        <f t="shared" ref="E56:E57" si="29">C56+D56</f>
        <v>123568.64</v>
      </c>
      <c r="F56" s="464" t="s">
        <v>276</v>
      </c>
      <c r="G56" s="465"/>
      <c r="H56" s="465"/>
      <c r="I56" s="466">
        <f>ROUND((I52+G53)/I55,4)</f>
        <v>4.2099999999999999E-2</v>
      </c>
      <c r="J56" s="3">
        <f>I55-J55</f>
        <v>168134.63000001013</v>
      </c>
      <c r="M56">
        <v>6297123</v>
      </c>
    </row>
    <row r="57" spans="1:13" ht="47.4" customHeight="1" thickBot="1">
      <c r="A57" s="758" t="s">
        <v>312</v>
      </c>
      <c r="B57" s="759"/>
      <c r="C57" s="423">
        <f>C53+C47</f>
        <v>756926.24</v>
      </c>
      <c r="D57" s="514">
        <f t="shared" si="28"/>
        <v>143815.99</v>
      </c>
      <c r="E57" s="462">
        <f t="shared" si="29"/>
        <v>900742.23</v>
      </c>
      <c r="F57" s="467" t="s">
        <v>269</v>
      </c>
      <c r="G57" s="468"/>
      <c r="H57" s="469"/>
      <c r="I57" s="470">
        <f>ROUND(G52/I55,4)</f>
        <v>7.1900000000000006E-2</v>
      </c>
      <c r="M57" s="3">
        <f>M55-M56</f>
        <v>418370.74999999907</v>
      </c>
    </row>
    <row r="58" spans="1:13" ht="15" thickBot="1">
      <c r="A58" s="356" t="s">
        <v>220</v>
      </c>
      <c r="B58" s="362"/>
      <c r="C58" s="413">
        <f>SUM(C55:C57)</f>
        <v>2905527.62</v>
      </c>
      <c r="D58" s="413">
        <f t="shared" ref="D58:E58" si="30">SUM(D55:D57)</f>
        <v>552050.26</v>
      </c>
      <c r="E58" s="413">
        <f t="shared" si="30"/>
        <v>3457577.88</v>
      </c>
      <c r="F58" s="471" t="s">
        <v>278</v>
      </c>
      <c r="G58" s="465"/>
      <c r="H58" s="472"/>
      <c r="I58" s="473">
        <f>ROUND((I52+G55)/I55,4)</f>
        <v>0.114</v>
      </c>
      <c r="J58" s="3">
        <f>(I55-747500)*0.19</f>
        <v>14787983.409700003</v>
      </c>
      <c r="M58" s="3">
        <f>C53-M57</f>
        <v>57074.440000000934</v>
      </c>
    </row>
    <row r="59" spans="1:13" ht="46.95" customHeight="1" thickBot="1">
      <c r="A59" s="714" t="s">
        <v>275</v>
      </c>
      <c r="B59" s="715"/>
      <c r="C59" s="417">
        <f>C51</f>
        <v>5088120.16</v>
      </c>
      <c r="D59" s="417">
        <f>D51</f>
        <v>966742.83</v>
      </c>
      <c r="E59" s="417">
        <f>E51</f>
        <v>6054862.9900000002</v>
      </c>
      <c r="F59" s="733" t="s">
        <v>296</v>
      </c>
      <c r="G59" s="734"/>
      <c r="H59" s="735"/>
      <c r="I59" s="317">
        <f>I55-H49</f>
        <v>13316613.510000013</v>
      </c>
      <c r="J59" s="3">
        <f>I55+J58-13205</f>
        <v>93353770.039700016</v>
      </c>
    </row>
    <row r="60" spans="1:13" s="427" customFormat="1" ht="15" thickBot="1">
      <c r="A60" s="481" t="s">
        <v>313</v>
      </c>
      <c r="B60" s="530"/>
      <c r="C60" s="531">
        <f>C58+C59</f>
        <v>7993647.7800000003</v>
      </c>
      <c r="D60" s="531">
        <f t="shared" ref="D60:E60" si="31">D58+D59</f>
        <v>1518793.0899999999</v>
      </c>
      <c r="E60" s="532">
        <f t="shared" si="31"/>
        <v>9512440.870000001</v>
      </c>
      <c r="F60" s="733" t="s">
        <v>298</v>
      </c>
      <c r="G60" s="734"/>
      <c r="H60" s="734"/>
      <c r="I60" s="317">
        <f>I59*1.19</f>
        <v>15846770.076900015</v>
      </c>
      <c r="J60" s="558">
        <f>C60</f>
        <v>7993647.7800000003</v>
      </c>
    </row>
    <row r="61" spans="1:13" ht="36" customHeight="1" thickBot="1">
      <c r="A61" s="726" t="s">
        <v>260</v>
      </c>
      <c r="B61" s="726"/>
      <c r="F61" s="483" t="s">
        <v>279</v>
      </c>
      <c r="G61" s="482"/>
      <c r="H61" s="484"/>
      <c r="I61" s="485"/>
    </row>
    <row r="62" spans="1:13" s="1" customFormat="1" ht="43.95" customHeight="1" thickBot="1">
      <c r="A62" s="712" t="s">
        <v>243</v>
      </c>
      <c r="B62" s="713"/>
      <c r="C62" s="432">
        <f>ROUND(U7*0.23,2)</f>
        <v>4248152.28</v>
      </c>
      <c r="D62" s="397">
        <f>ROUND(C62*0.19,2)</f>
        <v>807148.93</v>
      </c>
      <c r="E62" s="430">
        <f>C62+D62</f>
        <v>5055301.21</v>
      </c>
      <c r="F62" s="712" t="s">
        <v>280</v>
      </c>
      <c r="G62" s="713"/>
      <c r="H62" s="432">
        <v>4248152.28</v>
      </c>
      <c r="I62" s="397">
        <v>807148.93</v>
      </c>
      <c r="J62" s="430">
        <v>5055301.21</v>
      </c>
      <c r="K62" s="515"/>
    </row>
    <row r="63" spans="1:13" s="1" customFormat="1" ht="61.95" customHeight="1" thickBot="1">
      <c r="A63" s="710" t="s">
        <v>258</v>
      </c>
      <c r="B63" s="711"/>
      <c r="C63" s="434">
        <f>ROUND(V7*0.23,2)</f>
        <v>3891769.82</v>
      </c>
      <c r="D63" s="354">
        <f t="shared" ref="D63:D66" si="32">ROUND(C63*0.19,2)</f>
        <v>739436.27</v>
      </c>
      <c r="E63" s="355">
        <f t="shared" ref="E63:E66" si="33">C63+D63</f>
        <v>4631206.09</v>
      </c>
      <c r="F63" s="710" t="s">
        <v>281</v>
      </c>
      <c r="G63" s="711"/>
      <c r="H63" s="434">
        <v>3891769.82</v>
      </c>
      <c r="I63" s="354">
        <v>739436.27</v>
      </c>
      <c r="J63" s="355">
        <v>4631206.09</v>
      </c>
    </row>
    <row r="64" spans="1:13" s="1" customFormat="1" ht="74.400000000000006" customHeight="1" thickBot="1">
      <c r="A64" s="710" t="s">
        <v>252</v>
      </c>
      <c r="B64" s="711"/>
      <c r="C64" s="434">
        <f>ROUND(C63*98%,2)</f>
        <v>3813934.42</v>
      </c>
      <c r="D64" s="354">
        <f t="shared" ref="D64:D65" si="34">ROUND(C64*0.19,2)</f>
        <v>724647.54</v>
      </c>
      <c r="E64" s="355">
        <f t="shared" ref="E64:E65" si="35">C64+D64</f>
        <v>4538581.96</v>
      </c>
      <c r="F64" s="710" t="s">
        <v>282</v>
      </c>
      <c r="G64" s="711"/>
      <c r="H64" s="434">
        <v>3813934.42</v>
      </c>
      <c r="I64" s="354">
        <v>724647.54</v>
      </c>
      <c r="J64" s="355">
        <v>4538581.96</v>
      </c>
    </row>
    <row r="65" spans="1:12" s="1" customFormat="1" ht="75" customHeight="1" thickBot="1">
      <c r="A65" s="710" t="s">
        <v>262</v>
      </c>
      <c r="B65" s="711"/>
      <c r="C65" s="434">
        <f>ROUND(C63*2%,2)</f>
        <v>77835.399999999994</v>
      </c>
      <c r="D65" s="354">
        <f t="shared" si="34"/>
        <v>14788.73</v>
      </c>
      <c r="E65" s="355">
        <f t="shared" si="35"/>
        <v>92624.12999999999</v>
      </c>
      <c r="F65" s="710" t="s">
        <v>283</v>
      </c>
      <c r="G65" s="711"/>
      <c r="H65" s="434">
        <v>77835.399999999994</v>
      </c>
      <c r="I65" s="354">
        <v>14788.73</v>
      </c>
      <c r="J65" s="355">
        <v>92624.12999999999</v>
      </c>
    </row>
    <row r="66" spans="1:12" s="1" customFormat="1" ht="73.2" customHeight="1" thickBot="1">
      <c r="A66" s="435" t="s">
        <v>263</v>
      </c>
      <c r="B66" s="436"/>
      <c r="C66" s="350">
        <f>ROUND(W7*0.23,2)</f>
        <v>356382.46</v>
      </c>
      <c r="D66" s="352">
        <f t="shared" si="32"/>
        <v>67712.67</v>
      </c>
      <c r="E66" s="353">
        <f t="shared" si="33"/>
        <v>424095.13</v>
      </c>
      <c r="F66" s="729" t="s">
        <v>284</v>
      </c>
      <c r="G66" s="730"/>
      <c r="H66" s="350">
        <v>356382.46</v>
      </c>
      <c r="I66" s="352">
        <v>67712.67</v>
      </c>
      <c r="J66" s="353">
        <v>424095.13</v>
      </c>
    </row>
    <row r="67" spans="1:12" ht="12.75" customHeight="1" thickBot="1">
      <c r="A67" s="763" t="s">
        <v>299</v>
      </c>
      <c r="B67" s="764"/>
      <c r="C67" s="764"/>
      <c r="D67" s="764"/>
      <c r="E67" s="765"/>
    </row>
    <row r="68" spans="1:12">
      <c r="A68" s="535" t="s">
        <v>244</v>
      </c>
      <c r="B68" s="536"/>
      <c r="C68" s="537">
        <f>C62</f>
        <v>4248152.28</v>
      </c>
      <c r="D68" s="538">
        <f>ROUND(C68*0.19,2)</f>
        <v>807148.93</v>
      </c>
      <c r="E68" s="539">
        <f>C68+D68</f>
        <v>5055301.21</v>
      </c>
    </row>
    <row r="69" spans="1:12" s="441" customFormat="1" ht="15" thickBot="1">
      <c r="A69" s="540" t="s">
        <v>245</v>
      </c>
      <c r="B69" s="541"/>
      <c r="C69" s="542">
        <v>2326243.2400000002</v>
      </c>
      <c r="D69" s="543">
        <f>ROUND(C69*0.19,2)</f>
        <v>441986.22</v>
      </c>
      <c r="E69" s="544">
        <f>C69+D69</f>
        <v>2768229.46</v>
      </c>
    </row>
    <row r="70" spans="1:12" s="1" customFormat="1">
      <c r="A70" s="533" t="s">
        <v>11</v>
      </c>
      <c r="B70" s="533"/>
      <c r="C70" s="534">
        <f>C68+C69</f>
        <v>6574395.5200000005</v>
      </c>
      <c r="D70" s="534">
        <f t="shared" ref="D70:E70" si="36">D68+D69</f>
        <v>1249135.1499999999</v>
      </c>
      <c r="E70" s="534">
        <f t="shared" si="36"/>
        <v>7823530.6699999999</v>
      </c>
    </row>
    <row r="71" spans="1:12" ht="15" thickBot="1">
      <c r="A71" s="760" t="s">
        <v>261</v>
      </c>
      <c r="B71" s="760"/>
      <c r="C71" s="760"/>
      <c r="F71" s="457" t="s">
        <v>285</v>
      </c>
      <c r="G71" s="458"/>
      <c r="H71" s="458"/>
      <c r="I71" s="458"/>
    </row>
    <row r="72" spans="1:12" s="1" customFormat="1" ht="63.6" customHeight="1" thickBot="1">
      <c r="A72" s="712" t="s">
        <v>256</v>
      </c>
      <c r="B72" s="713"/>
      <c r="C72" s="432">
        <f>C49-C62</f>
        <v>1419252.2599999998</v>
      </c>
      <c r="D72" s="397">
        <f>ROUND(C72*0.19,2)</f>
        <v>269657.93</v>
      </c>
      <c r="E72" s="430">
        <f>C72+D72</f>
        <v>1688910.1899999997</v>
      </c>
      <c r="F72" s="712" t="s">
        <v>286</v>
      </c>
      <c r="G72" s="713"/>
      <c r="H72" s="432">
        <v>1419252.2599999998</v>
      </c>
      <c r="I72" s="397">
        <v>269657.93</v>
      </c>
      <c r="J72" s="430">
        <v>1688910.1899999997</v>
      </c>
      <c r="K72" s="313"/>
      <c r="L72" s="313"/>
    </row>
    <row r="73" spans="1:12" s="1" customFormat="1" ht="72.75" customHeight="1" thickBot="1">
      <c r="A73" s="710" t="s">
        <v>259</v>
      </c>
      <c r="B73" s="711"/>
      <c r="C73" s="434">
        <f>C50-C63</f>
        <v>1300189.5299999998</v>
      </c>
      <c r="D73" s="354">
        <f t="shared" ref="D73:D76" si="37">ROUND(C73*0.19,2)</f>
        <v>247036.01</v>
      </c>
      <c r="E73" s="355">
        <f t="shared" ref="E73:E76" si="38">C73+D73</f>
        <v>1547225.5399999998</v>
      </c>
      <c r="F73" s="710" t="s">
        <v>287</v>
      </c>
      <c r="G73" s="711"/>
      <c r="H73" s="434">
        <v>1300189.5299999998</v>
      </c>
      <c r="I73" s="354">
        <v>247036.01</v>
      </c>
      <c r="J73" s="355">
        <v>1547225.5399999998</v>
      </c>
    </row>
    <row r="74" spans="1:12" s="1" customFormat="1" ht="93" customHeight="1" thickBot="1">
      <c r="A74" s="710" t="s">
        <v>257</v>
      </c>
      <c r="B74" s="711"/>
      <c r="C74" s="434">
        <f>ROUND(C73*98%,2)</f>
        <v>1274185.74</v>
      </c>
      <c r="D74" s="354">
        <f t="shared" si="37"/>
        <v>242095.29</v>
      </c>
      <c r="E74" s="355">
        <f t="shared" si="38"/>
        <v>1516281.03</v>
      </c>
      <c r="F74" s="710" t="s">
        <v>288</v>
      </c>
      <c r="G74" s="711"/>
      <c r="H74" s="434">
        <v>1274185.74</v>
      </c>
      <c r="I74" s="354">
        <v>242095.29</v>
      </c>
      <c r="J74" s="355">
        <v>1516281.03</v>
      </c>
    </row>
    <row r="75" spans="1:12" s="1" customFormat="1" ht="93.6" customHeight="1" thickBot="1">
      <c r="A75" s="710" t="s">
        <v>264</v>
      </c>
      <c r="B75" s="711"/>
      <c r="C75" s="434">
        <f>ROUND(C73*2%,2)</f>
        <v>26003.79</v>
      </c>
      <c r="D75" s="354">
        <f t="shared" si="37"/>
        <v>4940.72</v>
      </c>
      <c r="E75" s="355">
        <f t="shared" si="38"/>
        <v>30944.510000000002</v>
      </c>
      <c r="F75" s="710" t="s">
        <v>289</v>
      </c>
      <c r="G75" s="711"/>
      <c r="H75" s="434">
        <v>26003.79</v>
      </c>
      <c r="I75" s="354">
        <v>4940.72</v>
      </c>
      <c r="J75" s="355">
        <v>30944.510000000002</v>
      </c>
    </row>
    <row r="76" spans="1:12" s="1" customFormat="1" ht="89.4" customHeight="1" thickBot="1">
      <c r="A76" s="729" t="s">
        <v>265</v>
      </c>
      <c r="B76" s="730"/>
      <c r="C76" s="350">
        <f>C53-C66</f>
        <v>119062.72999999998</v>
      </c>
      <c r="D76" s="352">
        <f t="shared" si="37"/>
        <v>22621.919999999998</v>
      </c>
      <c r="E76" s="353">
        <f t="shared" si="38"/>
        <v>141684.64999999997</v>
      </c>
      <c r="F76" s="729" t="s">
        <v>290</v>
      </c>
      <c r="G76" s="730"/>
      <c r="H76" s="350">
        <v>119062.72999999998</v>
      </c>
      <c r="I76" s="352">
        <v>22621.919999999998</v>
      </c>
      <c r="J76" s="353">
        <v>141684.64999999997</v>
      </c>
    </row>
    <row r="77" spans="1:12" ht="14.25" customHeight="1">
      <c r="A77" s="761" t="s">
        <v>300</v>
      </c>
      <c r="B77" s="762"/>
      <c r="C77" s="762"/>
      <c r="D77" s="762"/>
    </row>
    <row r="78" spans="1:12">
      <c r="A78" s="456" t="s">
        <v>244</v>
      </c>
      <c r="B78" s="15"/>
      <c r="C78" s="6">
        <f>C72</f>
        <v>1419252.2599999998</v>
      </c>
      <c r="D78" s="440">
        <f>ROUND(C78*0.19,2)</f>
        <v>269657.93</v>
      </c>
      <c r="E78" s="6">
        <f>C78+D78</f>
        <v>1688910.1899999997</v>
      </c>
    </row>
    <row r="79" spans="1:12" s="1" customFormat="1">
      <c r="A79" s="2" t="s">
        <v>11</v>
      </c>
      <c r="B79" s="2"/>
      <c r="C79" s="10">
        <f>C78</f>
        <v>1419252.2599999998</v>
      </c>
      <c r="D79" s="10">
        <f t="shared" ref="D79:E79" si="39">D78</f>
        <v>269657.93</v>
      </c>
      <c r="E79" s="10">
        <f t="shared" si="39"/>
        <v>1688910.1899999997</v>
      </c>
      <c r="G79" s="313"/>
    </row>
    <row r="80" spans="1:12" ht="15" thickBot="1"/>
    <row r="81" spans="1:5" ht="15" thickBot="1">
      <c r="A81" s="754" t="s">
        <v>314</v>
      </c>
      <c r="B81" s="755"/>
      <c r="C81" s="755"/>
      <c r="D81" s="755"/>
    </row>
    <row r="82" spans="1:5" ht="27.6" customHeight="1" thickBot="1">
      <c r="A82" s="756" t="s">
        <v>315</v>
      </c>
      <c r="B82" s="757"/>
      <c r="C82" s="553">
        <f>C78+C68</f>
        <v>5667404.54</v>
      </c>
      <c r="D82" s="554">
        <f>ROUND(C82*0.19,2)</f>
        <v>1076806.8600000001</v>
      </c>
      <c r="E82" s="555">
        <f>C82+D82</f>
        <v>6744211.4000000004</v>
      </c>
    </row>
    <row r="83" spans="1:5" ht="22.95" customHeight="1" thickBot="1">
      <c r="A83" s="662" t="s">
        <v>245</v>
      </c>
      <c r="B83" s="663"/>
      <c r="C83" s="550">
        <f>C69</f>
        <v>2326243.2400000002</v>
      </c>
      <c r="D83" s="551">
        <f>ROUND(C83*0.19,2)</f>
        <v>441986.22</v>
      </c>
      <c r="E83" s="552">
        <f>C83+D83</f>
        <v>2768229.46</v>
      </c>
    </row>
    <row r="84" spans="1:5" s="1" customFormat="1" ht="15" thickBot="1">
      <c r="A84" s="545" t="s">
        <v>11</v>
      </c>
      <c r="B84" s="546"/>
      <c r="C84" s="547">
        <f>C82+C83</f>
        <v>7993647.7800000003</v>
      </c>
      <c r="D84" s="549">
        <f t="shared" ref="D84:E84" si="40">D82+D83</f>
        <v>1518793.08</v>
      </c>
      <c r="E84" s="548">
        <f t="shared" si="40"/>
        <v>9512440.8599999994</v>
      </c>
    </row>
  </sheetData>
  <mergeCells count="62">
    <mergeCell ref="J54:M54"/>
    <mergeCell ref="A81:D81"/>
    <mergeCell ref="A82:B82"/>
    <mergeCell ref="A83:B83"/>
    <mergeCell ref="A31:B31"/>
    <mergeCell ref="A45:B45"/>
    <mergeCell ref="A46:B46"/>
    <mergeCell ref="A47:B47"/>
    <mergeCell ref="A57:B57"/>
    <mergeCell ref="A74:B74"/>
    <mergeCell ref="A71:C71"/>
    <mergeCell ref="A77:D77"/>
    <mergeCell ref="A67:E67"/>
    <mergeCell ref="F74:G74"/>
    <mergeCell ref="F75:G75"/>
    <mergeCell ref="F76:G76"/>
    <mergeCell ref="A34:B34"/>
    <mergeCell ref="A35:B35"/>
    <mergeCell ref="A36:B36"/>
    <mergeCell ref="F60:H60"/>
    <mergeCell ref="A75:B75"/>
    <mergeCell ref="A62:B62"/>
    <mergeCell ref="A72:B72"/>
    <mergeCell ref="F62:G62"/>
    <mergeCell ref="A76:B76"/>
    <mergeCell ref="A63:B63"/>
    <mergeCell ref="A64:B64"/>
    <mergeCell ref="A65:B65"/>
    <mergeCell ref="A38:B38"/>
    <mergeCell ref="A55:B55"/>
    <mergeCell ref="A27:B27"/>
    <mergeCell ref="F63:G63"/>
    <mergeCell ref="F64:G64"/>
    <mergeCell ref="F65:G65"/>
    <mergeCell ref="F66:G66"/>
    <mergeCell ref="A29:B29"/>
    <mergeCell ref="F59:H59"/>
    <mergeCell ref="F39:H39"/>
    <mergeCell ref="F38:H38"/>
    <mergeCell ref="A37:B37"/>
    <mergeCell ref="A39:B39"/>
    <mergeCell ref="A40:B40"/>
    <mergeCell ref="A49:B49"/>
    <mergeCell ref="F29:F31"/>
    <mergeCell ref="F50:F52"/>
    <mergeCell ref="A53:B53"/>
    <mergeCell ref="U5:W5"/>
    <mergeCell ref="A73:B73"/>
    <mergeCell ref="F72:G72"/>
    <mergeCell ref="F73:G73"/>
    <mergeCell ref="A59:B59"/>
    <mergeCell ref="A43:B43"/>
    <mergeCell ref="A44:B44"/>
    <mergeCell ref="A50:B50"/>
    <mergeCell ref="A51:B51"/>
    <mergeCell ref="A52:B52"/>
    <mergeCell ref="A42:B42"/>
    <mergeCell ref="A28:B28"/>
    <mergeCell ref="M14:Q14"/>
    <mergeCell ref="R14:W14"/>
    <mergeCell ref="A21:B21"/>
    <mergeCell ref="A61:B61"/>
  </mergeCells>
  <pageMargins left="0" right="0" top="0" bottom="0" header="0.31496062992125984" footer="0.31496062992125984"/>
  <pageSetup paperSize="8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96"/>
  <sheetViews>
    <sheetView topLeftCell="A19" zoomScale="146" zoomScaleNormal="146" workbookViewId="0">
      <selection activeCell="G51" sqref="G51"/>
    </sheetView>
  </sheetViews>
  <sheetFormatPr defaultRowHeight="14.4"/>
  <cols>
    <col min="1" max="1" width="30.6640625" customWidth="1"/>
    <col min="2" max="2" width="15" customWidth="1"/>
    <col min="3" max="3" width="13.6640625" customWidth="1"/>
    <col min="4" max="4" width="14.109375" customWidth="1"/>
    <col min="5" max="5" width="15.88671875" customWidth="1"/>
    <col min="6" max="6" width="13.88671875" customWidth="1"/>
    <col min="7" max="7" width="12.5546875" customWidth="1"/>
    <col min="8" max="8" width="14.44140625" customWidth="1"/>
    <col min="9" max="9" width="13.33203125" customWidth="1"/>
    <col min="10" max="10" width="12.5546875" customWidth="1"/>
    <col min="11" max="11" width="12" customWidth="1"/>
    <col min="12" max="14" width="12.6640625" customWidth="1"/>
    <col min="15" max="15" width="12.44140625" customWidth="1"/>
    <col min="16" max="16" width="12.5546875" bestFit="1" customWidth="1"/>
    <col min="17" max="17" width="12.5546875" customWidth="1"/>
    <col min="18" max="18" width="12.5546875" bestFit="1" customWidth="1"/>
    <col min="19" max="19" width="13.88671875" customWidth="1"/>
    <col min="20" max="21" width="13.6640625" customWidth="1"/>
    <col min="22" max="23" width="13" customWidth="1"/>
    <col min="24" max="24" width="14.33203125" customWidth="1"/>
    <col min="25" max="25" width="15.44140625" customWidth="1"/>
    <col min="26" max="26" width="14.33203125" customWidth="1"/>
    <col min="27" max="27" width="14.88671875" customWidth="1"/>
  </cols>
  <sheetData>
    <row r="1" spans="1:27">
      <c r="Q1" s="302">
        <v>1408708.77</v>
      </c>
      <c r="R1" s="6"/>
    </row>
    <row r="2" spans="1:27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Q2" s="303">
        <f>ROUND((Q5-1)*Q1,2)</f>
        <v>251891.22</v>
      </c>
      <c r="R2">
        <v>0</v>
      </c>
    </row>
    <row r="3" spans="1:27">
      <c r="Q3" s="303">
        <f>ROUND(Q1*Q5,2)</f>
        <v>1660599.99</v>
      </c>
    </row>
    <row r="4" spans="1:27" ht="15" thickBot="1">
      <c r="A4" t="s">
        <v>1</v>
      </c>
      <c r="Q4" s="303">
        <v>160.19999999999999</v>
      </c>
      <c r="X4" s="3"/>
    </row>
    <row r="5" spans="1:27" ht="15" thickBot="1">
      <c r="A5" s="305" t="s">
        <v>8</v>
      </c>
      <c r="B5" s="306">
        <v>135.9</v>
      </c>
      <c r="C5" s="313">
        <f>SUM(B9:Q9)</f>
        <v>2975713.02</v>
      </c>
      <c r="D5" s="313">
        <f>C5-Q12</f>
        <v>2965344.9299999997</v>
      </c>
      <c r="E5" s="1"/>
      <c r="F5" s="1"/>
      <c r="G5" s="1"/>
      <c r="H5" s="1"/>
      <c r="I5" s="1"/>
      <c r="J5" s="1"/>
      <c r="K5" s="2">
        <v>135.9</v>
      </c>
      <c r="Q5" s="304">
        <f>ROUND(Q4/B5,5)</f>
        <v>1.1788099999999999</v>
      </c>
      <c r="R5" s="3"/>
      <c r="S5" s="3"/>
      <c r="T5" s="3"/>
      <c r="U5" s="3"/>
      <c r="V5" s="3"/>
      <c r="W5" s="3"/>
      <c r="X5" s="3"/>
    </row>
    <row r="6" spans="1:27">
      <c r="A6" t="s">
        <v>2</v>
      </c>
      <c r="B6">
        <v>1</v>
      </c>
      <c r="C6">
        <f t="shared" ref="C6" si="0">B6+1</f>
        <v>2</v>
      </c>
      <c r="D6">
        <f t="shared" ref="D6" si="1">C6+1</f>
        <v>3</v>
      </c>
      <c r="E6">
        <f t="shared" ref="E6" si="2">D6+1</f>
        <v>4</v>
      </c>
      <c r="F6">
        <f t="shared" ref="F6" si="3">E6+1</f>
        <v>5</v>
      </c>
      <c r="G6">
        <f t="shared" ref="G6" si="4">F6+1</f>
        <v>6</v>
      </c>
      <c r="H6">
        <f t="shared" ref="H6" si="5">G6+1</f>
        <v>7</v>
      </c>
      <c r="I6">
        <f t="shared" ref="I6:J6" si="6">H6+1</f>
        <v>8</v>
      </c>
      <c r="J6">
        <f t="shared" si="6"/>
        <v>9</v>
      </c>
      <c r="K6">
        <f t="shared" ref="K6" si="7">J6+1</f>
        <v>10</v>
      </c>
      <c r="L6">
        <f t="shared" ref="L6" si="8">K6+1</f>
        <v>11</v>
      </c>
      <c r="M6">
        <f t="shared" ref="M6" si="9">L6+1</f>
        <v>12</v>
      </c>
      <c r="N6">
        <f t="shared" ref="N6" si="10">M6+1</f>
        <v>13</v>
      </c>
      <c r="O6">
        <f t="shared" ref="O6" si="11">N6+1</f>
        <v>14</v>
      </c>
      <c r="P6">
        <f t="shared" ref="P6" si="12">O6+1</f>
        <v>15</v>
      </c>
      <c r="Q6">
        <f t="shared" ref="Q6" si="13">P6+1</f>
        <v>16</v>
      </c>
      <c r="R6">
        <f t="shared" ref="R6" si="14">Q6+1</f>
        <v>17</v>
      </c>
      <c r="S6">
        <f t="shared" ref="S6" si="15">R6+1</f>
        <v>18</v>
      </c>
      <c r="T6">
        <f t="shared" ref="T6" si="16">S6+1</f>
        <v>19</v>
      </c>
      <c r="U6">
        <f t="shared" ref="U6" si="17">T6+1</f>
        <v>20</v>
      </c>
      <c r="V6">
        <f t="shared" ref="V6" si="18">U6+1</f>
        <v>21</v>
      </c>
      <c r="X6" s="3"/>
    </row>
    <row r="7" spans="1:27" s="1" customFormat="1" ht="43.2">
      <c r="A7" s="1" t="s">
        <v>14</v>
      </c>
      <c r="B7" s="7">
        <v>43983</v>
      </c>
      <c r="C7" s="7">
        <v>44013</v>
      </c>
      <c r="D7" s="7">
        <v>44044</v>
      </c>
      <c r="E7" s="7">
        <v>44075</v>
      </c>
      <c r="F7" s="7">
        <v>44105</v>
      </c>
      <c r="G7" s="7">
        <v>44136</v>
      </c>
      <c r="H7" s="7">
        <v>44166</v>
      </c>
      <c r="I7" s="7">
        <v>44287</v>
      </c>
      <c r="J7" s="7">
        <v>44317</v>
      </c>
      <c r="K7" s="7">
        <v>44348</v>
      </c>
      <c r="L7" s="7">
        <v>44378</v>
      </c>
      <c r="M7" s="7">
        <v>44409</v>
      </c>
      <c r="N7" s="7">
        <v>44440</v>
      </c>
      <c r="O7" s="7">
        <v>44470</v>
      </c>
      <c r="P7" s="7">
        <v>44501</v>
      </c>
      <c r="Q7" s="7">
        <v>44531</v>
      </c>
      <c r="R7" s="7">
        <v>44621</v>
      </c>
      <c r="S7" s="7">
        <v>44652</v>
      </c>
      <c r="T7" s="368" t="s">
        <v>194</v>
      </c>
      <c r="U7" s="368" t="s">
        <v>196</v>
      </c>
      <c r="V7" s="368" t="s">
        <v>195</v>
      </c>
      <c r="W7" s="395" t="s">
        <v>11</v>
      </c>
      <c r="X7" s="390" t="s">
        <v>209</v>
      </c>
      <c r="Y7" s="374" t="s">
        <v>208</v>
      </c>
    </row>
    <row r="8" spans="1:27">
      <c r="A8" s="5" t="s">
        <v>3</v>
      </c>
      <c r="B8" s="6">
        <v>316505.05</v>
      </c>
      <c r="C8" s="6">
        <v>1592445.57</v>
      </c>
      <c r="D8" s="6">
        <v>725240.56</v>
      </c>
      <c r="E8" s="6">
        <v>2006611.43</v>
      </c>
      <c r="F8" s="6">
        <v>4307535.6100000003</v>
      </c>
      <c r="G8" s="6">
        <v>1724521.75</v>
      </c>
      <c r="H8" s="6">
        <v>1370368.17</v>
      </c>
      <c r="I8" s="6">
        <v>1008769</v>
      </c>
      <c r="J8" s="6">
        <v>3191783.3</v>
      </c>
      <c r="K8" s="6">
        <v>4540547.53</v>
      </c>
      <c r="L8" s="6">
        <v>4216146.2300000004</v>
      </c>
      <c r="M8" s="6">
        <v>6464991.5</v>
      </c>
      <c r="N8" s="6">
        <v>2363545.4900000002</v>
      </c>
      <c r="O8" s="6">
        <v>3142377.4</v>
      </c>
      <c r="P8" s="6">
        <v>1592662.85</v>
      </c>
      <c r="Q8" s="6">
        <v>1408708.77</v>
      </c>
      <c r="R8" s="6">
        <v>1522597.03</v>
      </c>
      <c r="S8" s="6">
        <v>5241900.88</v>
      </c>
      <c r="T8" s="369">
        <f>U8+V8</f>
        <v>20943198.489999998</v>
      </c>
      <c r="U8" s="369">
        <v>19520706.02</v>
      </c>
      <c r="V8" s="373">
        <v>1422492.47</v>
      </c>
      <c r="W8" s="369">
        <f>SUM(B8:T8)</f>
        <v>67680456.610000014</v>
      </c>
      <c r="X8" s="391">
        <f>SUM(B8:S8)+U8</f>
        <v>66257964.140000015</v>
      </c>
      <c r="Y8" s="386">
        <v>1422492.47</v>
      </c>
      <c r="Z8" s="375">
        <f>SUM(B8:S8)</f>
        <v>46737258.120000012</v>
      </c>
      <c r="AA8" s="375"/>
    </row>
    <row r="9" spans="1:27">
      <c r="A9" s="5" t="s">
        <v>9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f t="shared" ref="K9:L9" si="19">ROUND((K18-1)*K8,2)</f>
        <v>347488.1</v>
      </c>
      <c r="L9" s="6">
        <f t="shared" si="19"/>
        <v>440545.12</v>
      </c>
      <c r="M9" s="6">
        <f t="shared" ref="M9:V9" si="20">ROUND((M18-1)*M8,2)</f>
        <v>827777.51</v>
      </c>
      <c r="N9" s="6">
        <f t="shared" si="20"/>
        <v>342619.55</v>
      </c>
      <c r="O9" s="6">
        <f t="shared" si="20"/>
        <v>492504.81</v>
      </c>
      <c r="P9" s="6">
        <f t="shared" si="20"/>
        <v>262518.62</v>
      </c>
      <c r="Q9" s="6">
        <f>ROUND((Q18-1)*Q8,2)</f>
        <v>262259.31</v>
      </c>
      <c r="R9" s="6">
        <f>ROUND((R18-1)*R8,2)</f>
        <v>318192.33</v>
      </c>
      <c r="S9" s="6">
        <f t="shared" si="20"/>
        <v>1257427.18</v>
      </c>
      <c r="T9" s="369">
        <f>ROUND((T18-1)*T8,2)</f>
        <v>6179709.5800000001</v>
      </c>
      <c r="U9" s="369">
        <f t="shared" si="20"/>
        <v>5759974.7300000004</v>
      </c>
      <c r="V9" s="373">
        <f t="shared" si="20"/>
        <v>419734.85</v>
      </c>
      <c r="W9" s="369">
        <f t="shared" ref="W9:W12" si="21">SUM(B9:T9)</f>
        <v>10731042.109999999</v>
      </c>
      <c r="X9" s="391">
        <f>SUM(B9:S9)+U9</f>
        <v>10311307.260000002</v>
      </c>
      <c r="Y9" s="386">
        <v>419734.85</v>
      </c>
      <c r="Z9" s="375">
        <f>SUM(B9:Q9)-Q22</f>
        <v>2965344.93</v>
      </c>
    </row>
    <row r="10" spans="1:27">
      <c r="A10" s="5" t="s">
        <v>10</v>
      </c>
      <c r="B10" s="6">
        <f>B8+B9</f>
        <v>316505.05</v>
      </c>
      <c r="C10" s="6">
        <f t="shared" ref="C10:J10" si="22">C8+C9</f>
        <v>1592445.57</v>
      </c>
      <c r="D10" s="6">
        <f t="shared" si="22"/>
        <v>725240.56</v>
      </c>
      <c r="E10" s="6">
        <f t="shared" si="22"/>
        <v>2006611.43</v>
      </c>
      <c r="F10" s="6">
        <f t="shared" si="22"/>
        <v>4307535.6100000003</v>
      </c>
      <c r="G10" s="6">
        <f t="shared" si="22"/>
        <v>1724521.75</v>
      </c>
      <c r="H10" s="6">
        <f t="shared" si="22"/>
        <v>1370368.17</v>
      </c>
      <c r="I10" s="6">
        <f t="shared" si="22"/>
        <v>1008769</v>
      </c>
      <c r="J10" s="6">
        <f t="shared" si="22"/>
        <v>3191783.3</v>
      </c>
      <c r="K10" s="6">
        <f t="shared" ref="K10:L10" si="23">ROUND(K8*K18,2)</f>
        <v>4888035.63</v>
      </c>
      <c r="L10" s="6">
        <f t="shared" si="23"/>
        <v>4656691.3499999996</v>
      </c>
      <c r="M10" s="6">
        <f t="shared" ref="M10:S10" si="24">ROUND(M8*M18,2)</f>
        <v>7292769.0099999998</v>
      </c>
      <c r="N10" s="6">
        <f t="shared" si="24"/>
        <v>2706165.04</v>
      </c>
      <c r="O10" s="6">
        <f t="shared" si="24"/>
        <v>3634882.21</v>
      </c>
      <c r="P10" s="6">
        <f t="shared" si="24"/>
        <v>1855181.47</v>
      </c>
      <c r="Q10" s="6">
        <f>ROUND(Q8*Q18,2)</f>
        <v>1670968.08</v>
      </c>
      <c r="R10" s="6">
        <f t="shared" si="24"/>
        <v>1840789.36</v>
      </c>
      <c r="S10" s="6">
        <f t="shared" si="24"/>
        <v>6499328.0599999996</v>
      </c>
      <c r="T10" s="369">
        <f>T8+T9</f>
        <v>27122908.07</v>
      </c>
      <c r="U10" s="369">
        <f t="shared" ref="U10:V10" si="25">U8+U9</f>
        <v>25280680.75</v>
      </c>
      <c r="V10" s="373">
        <f t="shared" si="25"/>
        <v>1842227.3199999998</v>
      </c>
      <c r="W10" s="369">
        <f t="shared" si="21"/>
        <v>78411498.719999999</v>
      </c>
      <c r="X10" s="391">
        <f>SUM(B10:S10)+U10</f>
        <v>76569271.400000006</v>
      </c>
      <c r="Y10" s="386">
        <v>1842227.3199999998</v>
      </c>
      <c r="Z10" s="375">
        <f>SUM(Z8:Z9)</f>
        <v>49702603.050000012</v>
      </c>
      <c r="AA10" s="3">
        <f>Z10-S9-R9</f>
        <v>48126983.540000014</v>
      </c>
    </row>
    <row r="11" spans="1:27" hidden="1">
      <c r="A11" s="5" t="s">
        <v>12</v>
      </c>
      <c r="B11" s="6">
        <v>316505.05</v>
      </c>
      <c r="C11" s="6">
        <v>1592445.57</v>
      </c>
      <c r="D11" s="6">
        <v>725240.56</v>
      </c>
      <c r="E11" s="6">
        <v>2006611.43</v>
      </c>
      <c r="F11" s="6">
        <v>4307535.6100000003</v>
      </c>
      <c r="G11" s="6">
        <v>1724521.75</v>
      </c>
      <c r="H11" s="6">
        <v>1370368.17</v>
      </c>
      <c r="I11" s="6">
        <v>1008769</v>
      </c>
      <c r="J11" s="6">
        <v>3191783.3</v>
      </c>
      <c r="K11" s="6">
        <v>4888035.63</v>
      </c>
      <c r="L11" s="6">
        <v>4656691.3499999996</v>
      </c>
      <c r="M11" s="6">
        <v>7292769.0099999998</v>
      </c>
      <c r="N11" s="6">
        <v>2706165.04</v>
      </c>
      <c r="O11" s="6">
        <v>3634882.21</v>
      </c>
      <c r="P11" s="6">
        <v>1855181.47</v>
      </c>
      <c r="Q11" s="311">
        <v>1660599.99</v>
      </c>
      <c r="R11" s="6">
        <v>1840789.36</v>
      </c>
      <c r="S11" s="6">
        <v>6499328.0599999996</v>
      </c>
      <c r="T11" s="370"/>
      <c r="U11" s="370"/>
      <c r="V11" s="386"/>
      <c r="W11" s="369">
        <f t="shared" si="21"/>
        <v>51278222.560000002</v>
      </c>
      <c r="X11" s="391">
        <f>SUM(B11:S11)+U11</f>
        <v>51278222.560000002</v>
      </c>
      <c r="Z11" s="3">
        <f>SUM(B11:S11)</f>
        <v>51278222.560000002</v>
      </c>
    </row>
    <row r="12" spans="1:27" ht="15" hidden="1" thickBot="1">
      <c r="A12" s="5" t="s">
        <v>13</v>
      </c>
      <c r="B12" s="6">
        <f t="shared" ref="B12:S12" si="26">B10-B11</f>
        <v>0</v>
      </c>
      <c r="C12" s="6">
        <f t="shared" si="26"/>
        <v>0</v>
      </c>
      <c r="D12" s="6">
        <f t="shared" si="26"/>
        <v>0</v>
      </c>
      <c r="E12" s="6">
        <f t="shared" si="26"/>
        <v>0</v>
      </c>
      <c r="F12" s="6">
        <f t="shared" si="26"/>
        <v>0</v>
      </c>
      <c r="G12" s="6">
        <f t="shared" si="26"/>
        <v>0</v>
      </c>
      <c r="H12" s="6">
        <f t="shared" si="26"/>
        <v>0</v>
      </c>
      <c r="I12" s="6">
        <f t="shared" si="26"/>
        <v>0</v>
      </c>
      <c r="J12" s="6">
        <f t="shared" si="26"/>
        <v>0</v>
      </c>
      <c r="K12" s="6">
        <f t="shared" si="26"/>
        <v>0</v>
      </c>
      <c r="L12" s="6">
        <f t="shared" si="26"/>
        <v>0</v>
      </c>
      <c r="M12" s="6">
        <f t="shared" si="26"/>
        <v>0</v>
      </c>
      <c r="N12" s="6">
        <f t="shared" si="26"/>
        <v>0</v>
      </c>
      <c r="O12" s="6">
        <f t="shared" si="26"/>
        <v>0</v>
      </c>
      <c r="P12" s="309">
        <f t="shared" si="26"/>
        <v>0</v>
      </c>
      <c r="Q12" s="317">
        <f t="shared" si="26"/>
        <v>10368.090000000084</v>
      </c>
      <c r="R12" s="308">
        <f t="shared" si="26"/>
        <v>0</v>
      </c>
      <c r="S12" s="6">
        <f t="shared" si="26"/>
        <v>0</v>
      </c>
      <c r="T12" s="6"/>
      <c r="U12" s="6"/>
      <c r="V12" s="309"/>
      <c r="W12" s="369">
        <f t="shared" si="21"/>
        <v>10368.090000000084</v>
      </c>
      <c r="X12" s="391">
        <f>SUM(B12:S12)+U12</f>
        <v>10368.090000000084</v>
      </c>
      <c r="Z12" s="3">
        <f>SUM(B12:S12)</f>
        <v>10368.090000000084</v>
      </c>
    </row>
    <row r="13" spans="1:27">
      <c r="A13" s="16" t="s">
        <v>17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312"/>
      <c r="R13" s="6">
        <f>ROUND(R12*19%,2)</f>
        <v>0</v>
      </c>
      <c r="S13" s="6">
        <f t="shared" ref="S13" si="27">ROUND(S12*19%,2)</f>
        <v>0</v>
      </c>
      <c r="T13" s="6"/>
      <c r="U13" s="6"/>
      <c r="V13" s="309"/>
      <c r="W13" s="6"/>
      <c r="X13" s="310"/>
      <c r="AA13">
        <v>49702603.289999999</v>
      </c>
    </row>
    <row r="14" spans="1:27" hidden="1">
      <c r="A14" s="5" t="s">
        <v>18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10">
        <f>R12+R13</f>
        <v>0</v>
      </c>
      <c r="S14" s="10">
        <f t="shared" ref="S14:X14" si="28">S12+S13</f>
        <v>0</v>
      </c>
      <c r="T14" s="10">
        <f t="shared" si="28"/>
        <v>0</v>
      </c>
      <c r="U14" s="10">
        <f t="shared" si="28"/>
        <v>0</v>
      </c>
      <c r="V14" s="387">
        <f t="shared" si="28"/>
        <v>0</v>
      </c>
      <c r="W14" s="10"/>
      <c r="X14" s="391">
        <f t="shared" si="28"/>
        <v>10368.090000000084</v>
      </c>
    </row>
    <row r="15" spans="1:27">
      <c r="A15" s="15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768"/>
      <c r="N15" s="768"/>
      <c r="O15" s="768"/>
      <c r="P15" s="768"/>
      <c r="Q15" s="768"/>
      <c r="R15" s="769" t="s">
        <v>7</v>
      </c>
      <c r="S15" s="770"/>
      <c r="T15" s="770"/>
      <c r="U15" s="770"/>
      <c r="V15" s="770"/>
      <c r="W15" s="393"/>
      <c r="AA15" s="3">
        <f>AA13-AA10</f>
        <v>1575619.7499999851</v>
      </c>
    </row>
    <row r="16" spans="1:27">
      <c r="A16" s="8" t="s">
        <v>14</v>
      </c>
      <c r="B16" s="8"/>
      <c r="C16" s="8"/>
      <c r="D16" s="8"/>
      <c r="E16" s="8"/>
      <c r="F16" s="8"/>
      <c r="G16" s="8"/>
      <c r="H16" s="8"/>
      <c r="I16" s="8"/>
      <c r="J16" s="8"/>
      <c r="K16" s="9">
        <v>44287</v>
      </c>
      <c r="L16" s="9">
        <v>44317</v>
      </c>
      <c r="M16" s="9">
        <v>44348</v>
      </c>
      <c r="N16" s="9">
        <v>44378</v>
      </c>
      <c r="O16" s="9">
        <v>44409</v>
      </c>
      <c r="P16" s="9">
        <v>44440</v>
      </c>
      <c r="Q16" s="9">
        <v>44470</v>
      </c>
      <c r="R16" s="9">
        <v>44562</v>
      </c>
      <c r="S16" s="9">
        <v>44593</v>
      </c>
      <c r="T16" s="9">
        <v>44621</v>
      </c>
      <c r="U16" s="9">
        <v>44652</v>
      </c>
      <c r="V16" s="388">
        <v>44682</v>
      </c>
      <c r="W16" s="394"/>
    </row>
    <row r="17" spans="1:24">
      <c r="A17" s="2" t="s">
        <v>4</v>
      </c>
      <c r="B17" s="2"/>
      <c r="C17" s="2"/>
      <c r="D17" s="2"/>
      <c r="E17" s="2"/>
      <c r="F17" s="2"/>
      <c r="G17" s="2"/>
      <c r="H17" s="2"/>
      <c r="I17" s="2"/>
      <c r="J17" s="2"/>
      <c r="K17" s="6">
        <v>146.30000000000001</v>
      </c>
      <c r="L17" s="6">
        <v>150.1</v>
      </c>
      <c r="M17" s="6">
        <v>153.30000000000001</v>
      </c>
      <c r="N17" s="6">
        <v>155.6</v>
      </c>
      <c r="O17" s="6">
        <v>157.19999999999999</v>
      </c>
      <c r="P17" s="6">
        <v>158.30000000000001</v>
      </c>
      <c r="Q17" s="6">
        <v>161.19999999999999</v>
      </c>
      <c r="R17" s="6">
        <v>164.3</v>
      </c>
      <c r="S17" s="6">
        <v>168.5</v>
      </c>
      <c r="T17" s="6">
        <v>176</v>
      </c>
      <c r="U17" s="6">
        <v>176</v>
      </c>
      <c r="V17" s="309">
        <v>176</v>
      </c>
      <c r="W17" s="6"/>
      <c r="X17" s="392"/>
    </row>
    <row r="18" spans="1:24">
      <c r="A18" s="2" t="s">
        <v>5</v>
      </c>
      <c r="B18" s="2"/>
      <c r="C18" s="2"/>
      <c r="D18" s="2"/>
      <c r="E18" s="2"/>
      <c r="F18" s="2"/>
      <c r="G18" s="2"/>
      <c r="H18" s="2"/>
      <c r="I18" s="2"/>
      <c r="J18" s="2"/>
      <c r="K18" s="5">
        <v>1.07653</v>
      </c>
      <c r="L18" s="5">
        <v>1.10449</v>
      </c>
      <c r="M18" s="5">
        <v>1.1280399999999999</v>
      </c>
      <c r="N18" s="5">
        <v>1.14496</v>
      </c>
      <c r="O18" s="5">
        <v>1.15673</v>
      </c>
      <c r="P18" s="5">
        <v>1.16483</v>
      </c>
      <c r="Q18" s="5">
        <f>ROUND(Q17/B5,5)</f>
        <v>1.1861699999999999</v>
      </c>
      <c r="R18" s="5">
        <f>ROUND(R17/$B$5,5)</f>
        <v>1.2089799999999999</v>
      </c>
      <c r="S18" s="5">
        <f>ROUND(S17/$B$5,5)</f>
        <v>1.2398800000000001</v>
      </c>
      <c r="T18" s="5">
        <f>ROUND(T17/$B$5,5)</f>
        <v>1.2950699999999999</v>
      </c>
      <c r="U18" s="5">
        <f t="shared" ref="U18:V18" si="29">ROUND(U17/$B$5,5)</f>
        <v>1.2950699999999999</v>
      </c>
      <c r="V18" s="389">
        <f t="shared" si="29"/>
        <v>1.2950699999999999</v>
      </c>
      <c r="W18" s="5"/>
      <c r="X18" s="392"/>
    </row>
    <row r="19" spans="1:24">
      <c r="A19" s="11" t="s">
        <v>15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6">
        <f>L17-K17</f>
        <v>3.7999999999999829</v>
      </c>
      <c r="M19" s="5" t="e">
        <f>M17-#REF!</f>
        <v>#REF!</v>
      </c>
      <c r="N19" s="5">
        <f t="shared" ref="N19:P19" si="30">N17-M17</f>
        <v>2.2999999999999829</v>
      </c>
      <c r="O19" s="5">
        <f t="shared" si="30"/>
        <v>1.5999999999999943</v>
      </c>
      <c r="P19" s="5">
        <f t="shared" si="30"/>
        <v>1.1000000000000227</v>
      </c>
      <c r="Q19" s="6">
        <f>Q17-P17</f>
        <v>2.8999999999999773</v>
      </c>
      <c r="R19" s="6">
        <f>R17-Q17</f>
        <v>3.1000000000000227</v>
      </c>
      <c r="S19" s="6">
        <f t="shared" ref="S19:V20" si="31">S17-R17</f>
        <v>4.1999999999999886</v>
      </c>
      <c r="T19" s="6">
        <f>T17-S17</f>
        <v>7.5</v>
      </c>
      <c r="U19" s="6">
        <f t="shared" si="31"/>
        <v>0</v>
      </c>
      <c r="V19" s="309">
        <f t="shared" si="31"/>
        <v>0</v>
      </c>
      <c r="W19" s="6"/>
      <c r="X19" s="310" t="e">
        <f>SUM(M19:V19)</f>
        <v>#REF!</v>
      </c>
    </row>
    <row r="20" spans="1:24">
      <c r="A20" s="11" t="s">
        <v>16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>
        <f>L18-K18</f>
        <v>2.7959999999999985E-2</v>
      </c>
      <c r="M20" s="5" t="e">
        <f>M18-#REF!</f>
        <v>#REF!</v>
      </c>
      <c r="N20" s="5">
        <f>N18-M18</f>
        <v>1.6920000000000046E-2</v>
      </c>
      <c r="O20" s="5">
        <f>O18-N18</f>
        <v>1.1770000000000058E-2</v>
      </c>
      <c r="P20" s="5">
        <f>P18-O18</f>
        <v>8.0999999999999961E-3</v>
      </c>
      <c r="Q20" s="5">
        <f>Q18-P18</f>
        <v>2.1339999999999915E-2</v>
      </c>
      <c r="R20" s="5">
        <f>R18-Q18</f>
        <v>2.2809999999999997E-2</v>
      </c>
      <c r="S20" s="5">
        <f t="shared" si="31"/>
        <v>3.090000000000015E-2</v>
      </c>
      <c r="T20" s="5">
        <f>T18-S18</f>
        <v>5.518999999999985E-2</v>
      </c>
      <c r="U20" s="5">
        <f t="shared" si="31"/>
        <v>0</v>
      </c>
      <c r="V20" s="389">
        <f t="shared" si="31"/>
        <v>0</v>
      </c>
      <c r="W20" s="5"/>
      <c r="X20" s="392" t="e">
        <f>SUM(M20:V20)</f>
        <v>#REF!</v>
      </c>
    </row>
    <row r="21" spans="1:24" ht="15" thickBot="1"/>
    <row r="22" spans="1:24" ht="15" thickBot="1">
      <c r="A22" s="708" t="s">
        <v>170</v>
      </c>
      <c r="B22" s="709"/>
      <c r="C22" s="324" t="s">
        <v>167</v>
      </c>
      <c r="D22" s="332" t="s">
        <v>168</v>
      </c>
      <c r="E22" s="325" t="s">
        <v>169</v>
      </c>
      <c r="K22">
        <f>K17/K5</f>
        <v>1.0765268579838116</v>
      </c>
      <c r="Q22" s="308">
        <f>Q9-Q2</f>
        <v>10368.089999999997</v>
      </c>
    </row>
    <row r="23" spans="1:24" ht="15" thickBot="1">
      <c r="A23" s="356" t="s">
        <v>211</v>
      </c>
      <c r="B23" s="409"/>
      <c r="C23" s="410">
        <v>10368.09</v>
      </c>
      <c r="D23" s="411">
        <f>ROUND(C23*0.19,2)</f>
        <v>1969.94</v>
      </c>
      <c r="E23" s="412">
        <f>C23+D23</f>
        <v>12338.03</v>
      </c>
      <c r="Q23" s="307">
        <f>Q10-Q3</f>
        <v>10368.090000000084</v>
      </c>
    </row>
    <row r="24" spans="1:24" ht="15" thickBot="1">
      <c r="A24" s="356" t="s">
        <v>212</v>
      </c>
      <c r="B24" s="409"/>
      <c r="C24" s="410">
        <v>318192.33</v>
      </c>
      <c r="D24" s="411">
        <f t="shared" ref="D24:D25" si="32">ROUND(C24*0.19,2)</f>
        <v>60456.54</v>
      </c>
      <c r="E24" s="412">
        <f t="shared" ref="E24:E25" si="33">C24+D24</f>
        <v>378648.87</v>
      </c>
      <c r="Q24" s="396"/>
    </row>
    <row r="25" spans="1:24" ht="15" thickBot="1">
      <c r="A25" s="356" t="s">
        <v>213</v>
      </c>
      <c r="B25" s="409"/>
      <c r="C25" s="410">
        <v>1257427.18</v>
      </c>
      <c r="D25" s="411">
        <f t="shared" si="32"/>
        <v>238911.16</v>
      </c>
      <c r="E25" s="412">
        <f t="shared" si="33"/>
        <v>1496338.3399999999</v>
      </c>
      <c r="F25" s="3">
        <f>SUM(E23:E25)</f>
        <v>1887325.2399999998</v>
      </c>
      <c r="G25" s="3">
        <f>E23+E24+E25</f>
        <v>1887325.2399999998</v>
      </c>
      <c r="Q25" s="396"/>
    </row>
    <row r="26" spans="1:24" ht="15" thickBot="1">
      <c r="A26" s="356" t="s">
        <v>171</v>
      </c>
      <c r="B26" s="409"/>
      <c r="C26" s="413">
        <v>1118862.3999999999</v>
      </c>
      <c r="D26" s="410">
        <f>ROUND(C26*0.19,2)</f>
        <v>212583.86</v>
      </c>
      <c r="E26" s="412">
        <f>C26+D26</f>
        <v>1331446.2599999998</v>
      </c>
      <c r="F26" s="3">
        <f>E26+F25</f>
        <v>3218771.4999999995</v>
      </c>
    </row>
    <row r="27" spans="1:24" ht="15" thickBot="1">
      <c r="A27" s="358" t="s">
        <v>11</v>
      </c>
      <c r="B27" s="359"/>
      <c r="C27" s="413">
        <f>SUM(C23:C26)</f>
        <v>2704850</v>
      </c>
      <c r="D27" s="413">
        <f t="shared" ref="D27:E27" si="34">SUM(D23:D26)</f>
        <v>513921.5</v>
      </c>
      <c r="E27" s="413">
        <f t="shared" si="34"/>
        <v>3218771.4999999995</v>
      </c>
      <c r="F27" s="419" t="s">
        <v>174</v>
      </c>
    </row>
    <row r="28" spans="1:24" ht="15" thickBot="1"/>
    <row r="29" spans="1:24" ht="15" thickBot="1">
      <c r="A29" s="708" t="s">
        <v>170</v>
      </c>
      <c r="B29" s="709"/>
      <c r="C29" s="324" t="s">
        <v>167</v>
      </c>
      <c r="D29" s="332" t="s">
        <v>168</v>
      </c>
      <c r="E29" s="325" t="s">
        <v>169</v>
      </c>
    </row>
    <row r="30" spans="1:24" ht="15" thickBot="1">
      <c r="A30" s="356" t="s">
        <v>211</v>
      </c>
      <c r="B30" s="409"/>
      <c r="C30" s="410">
        <v>10368.09</v>
      </c>
      <c r="D30" s="411">
        <f>ROUND(C30*0.19,2)</f>
        <v>1969.94</v>
      </c>
      <c r="E30" s="412">
        <f>C30+D30</f>
        <v>12338.03</v>
      </c>
      <c r="Q30" s="307">
        <f>Q17-Q10</f>
        <v>-1670806.8800000001</v>
      </c>
    </row>
    <row r="31" spans="1:24" ht="15" thickBot="1">
      <c r="A31" s="356" t="s">
        <v>212</v>
      </c>
      <c r="B31" s="409"/>
      <c r="C31" s="410">
        <v>318192.33</v>
      </c>
      <c r="D31" s="411">
        <f t="shared" ref="D31:D32" si="35">ROUND(C31*0.19,2)</f>
        <v>60456.54</v>
      </c>
      <c r="E31" s="412">
        <f t="shared" ref="E31:E32" si="36">C31+D31</f>
        <v>378648.87</v>
      </c>
      <c r="Q31" s="396"/>
    </row>
    <row r="32" spans="1:24" ht="15" thickBot="1">
      <c r="A32" s="356" t="s">
        <v>213</v>
      </c>
      <c r="B32" s="409"/>
      <c r="C32" s="410">
        <v>1257427.18</v>
      </c>
      <c r="D32" s="411">
        <f t="shared" si="35"/>
        <v>238911.16</v>
      </c>
      <c r="E32" s="412">
        <f t="shared" si="36"/>
        <v>1496338.3399999999</v>
      </c>
      <c r="Q32" s="396"/>
    </row>
    <row r="33" spans="1:9" ht="15" thickBot="1">
      <c r="A33" s="356" t="s">
        <v>171</v>
      </c>
      <c r="B33" s="409"/>
      <c r="C33" s="413">
        <v>1118862.3999999999</v>
      </c>
      <c r="D33" s="410">
        <f>ROUND(C33*0.19,2)</f>
        <v>212583.86</v>
      </c>
      <c r="E33" s="412">
        <f>C33+D33</f>
        <v>1331446.2599999998</v>
      </c>
    </row>
    <row r="34" spans="1:9" ht="15" thickBot="1">
      <c r="A34" s="363" t="s">
        <v>172</v>
      </c>
      <c r="B34" s="414"/>
      <c r="C34" s="415">
        <v>431421.68</v>
      </c>
      <c r="D34" s="376">
        <f>ROUND(C34*0.19,2)</f>
        <v>81970.12</v>
      </c>
      <c r="E34" s="416">
        <f>C34+D34</f>
        <v>513391.8</v>
      </c>
    </row>
    <row r="35" spans="1:9" ht="15" thickBot="1">
      <c r="A35" s="363" t="s">
        <v>173</v>
      </c>
      <c r="B35" s="367"/>
      <c r="C35" s="417">
        <v>489636.47</v>
      </c>
      <c r="D35" s="376">
        <f>ROUND(C35*0.19,2)</f>
        <v>93030.93</v>
      </c>
      <c r="E35" s="416">
        <f>C35+D35</f>
        <v>582667.39999999991</v>
      </c>
    </row>
    <row r="36" spans="1:9" ht="15" thickBot="1">
      <c r="A36" s="327" t="s">
        <v>11</v>
      </c>
      <c r="B36" s="321"/>
      <c r="C36" s="418">
        <f>C30+C31+C32+C33-C34-C35</f>
        <v>1783791.8499999999</v>
      </c>
      <c r="D36" s="418">
        <f t="shared" ref="D36:E36" si="37">D30+D31+D32+D33-D34-D35</f>
        <v>338920.45</v>
      </c>
      <c r="E36" s="418">
        <f t="shared" si="37"/>
        <v>2122712.2999999998</v>
      </c>
      <c r="F36" s="419" t="s">
        <v>174</v>
      </c>
    </row>
    <row r="37" spans="1:9" ht="15" thickBot="1"/>
    <row r="38" spans="1:9" ht="30.6" customHeight="1" thickBot="1">
      <c r="A38" s="771" t="s">
        <v>175</v>
      </c>
      <c r="B38" s="772"/>
      <c r="C38" s="354">
        <v>258262.18</v>
      </c>
      <c r="D38" s="354">
        <f>ROUND(C38*0.19,2)</f>
        <v>49069.81</v>
      </c>
      <c r="E38" s="355">
        <f>C38+D38</f>
        <v>307331.99</v>
      </c>
    </row>
    <row r="39" spans="1:9" ht="15" thickBot="1"/>
    <row r="40" spans="1:9" ht="29.4" thickBot="1">
      <c r="A40" s="342" t="s">
        <v>182</v>
      </c>
      <c r="B40" s="315"/>
      <c r="C40" s="343">
        <v>70387539.599999994</v>
      </c>
      <c r="D40" s="334">
        <f>ROUND(C40*0.19,2)</f>
        <v>13373632.52</v>
      </c>
      <c r="E40" s="335">
        <f>C40+D40</f>
        <v>83761172.11999999</v>
      </c>
    </row>
    <row r="41" spans="1:9" ht="15" thickBot="1">
      <c r="A41" s="342" t="s">
        <v>186</v>
      </c>
      <c r="B41" s="315"/>
      <c r="C41" s="343">
        <v>65262378.119999997</v>
      </c>
      <c r="D41" s="334">
        <f t="shared" ref="D41:D60" si="38">ROUND(C41*0.19,2)</f>
        <v>12399851.84</v>
      </c>
      <c r="E41" s="335">
        <f t="shared" ref="E41" si="39">C41+D41</f>
        <v>77662229.959999993</v>
      </c>
      <c r="F41" s="305" t="s">
        <v>204</v>
      </c>
      <c r="G41" s="322"/>
      <c r="H41" s="376">
        <v>65262378.119999997</v>
      </c>
      <c r="I41" s="323"/>
    </row>
    <row r="42" spans="1:9" ht="43.8" thickBot="1">
      <c r="A42" s="336" t="s">
        <v>184</v>
      </c>
      <c r="B42" s="321"/>
      <c r="C42" s="343">
        <f>C40-C41</f>
        <v>5125161.4799999967</v>
      </c>
      <c r="D42" s="334">
        <f t="shared" si="38"/>
        <v>973780.68</v>
      </c>
      <c r="E42" s="334">
        <f>C42+D42</f>
        <v>6098942.1599999964</v>
      </c>
      <c r="F42" s="382" t="s">
        <v>207</v>
      </c>
      <c r="G42" s="371">
        <f>G44</f>
        <v>4531008.34</v>
      </c>
      <c r="H42" s="377">
        <f>H41-H44</f>
        <v>62891186.329999998</v>
      </c>
      <c r="I42" s="385"/>
    </row>
    <row r="43" spans="1:9" ht="15" thickBot="1">
      <c r="A43" s="366" t="s">
        <v>183</v>
      </c>
      <c r="B43" s="367"/>
      <c r="C43" s="349">
        <v>2467841.2200000002</v>
      </c>
      <c r="D43" s="354">
        <f t="shared" si="38"/>
        <v>468889.83</v>
      </c>
      <c r="E43" s="355">
        <f t="shared" ref="E43:E60" si="40">C43+D43</f>
        <v>2936731.0500000003</v>
      </c>
      <c r="G43" s="378" t="s">
        <v>155</v>
      </c>
      <c r="H43" s="379" t="s">
        <v>197</v>
      </c>
      <c r="I43" s="380" t="s">
        <v>198</v>
      </c>
    </row>
    <row r="44" spans="1:9" ht="15" thickBot="1">
      <c r="A44" s="358" t="s">
        <v>185</v>
      </c>
      <c r="B44" s="359"/>
      <c r="C44" s="351">
        <f>C42-C43</f>
        <v>2657320.2599999965</v>
      </c>
      <c r="D44" s="352">
        <f t="shared" si="38"/>
        <v>504890.85</v>
      </c>
      <c r="E44" s="353">
        <f t="shared" si="40"/>
        <v>3162211.1099999966</v>
      </c>
      <c r="G44" s="371">
        <v>4531008.34</v>
      </c>
      <c r="H44" s="377">
        <f>2112929.61+258262.18</f>
        <v>2371191.79</v>
      </c>
      <c r="I44" s="372">
        <f>G44-H44</f>
        <v>2159816.5499999998</v>
      </c>
    </row>
    <row r="45" spans="1:9" ht="15" thickBot="1">
      <c r="A45" s="356" t="s">
        <v>192</v>
      </c>
      <c r="B45" s="357"/>
      <c r="C45" s="351">
        <f>536048.7-37615.63+1892180.61+27465.05-258262.18</f>
        <v>2159816.5499999998</v>
      </c>
      <c r="D45" s="352">
        <f t="shared" si="38"/>
        <v>410365.14</v>
      </c>
      <c r="E45" s="353">
        <f t="shared" si="40"/>
        <v>2570181.69</v>
      </c>
      <c r="F45" s="346" t="s">
        <v>205</v>
      </c>
      <c r="G45" s="383">
        <v>194322.78</v>
      </c>
      <c r="H45" s="313"/>
      <c r="I45" s="313"/>
    </row>
    <row r="46" spans="1:9" ht="15" thickBot="1">
      <c r="A46" s="356" t="s">
        <v>190</v>
      </c>
      <c r="B46" s="357"/>
      <c r="C46" s="351">
        <f>C42-C50</f>
        <v>2159816.549999997</v>
      </c>
      <c r="D46" s="352">
        <f t="shared" si="38"/>
        <v>410365.14</v>
      </c>
      <c r="E46" s="353">
        <f t="shared" si="40"/>
        <v>2570181.6899999972</v>
      </c>
      <c r="F46" s="346" t="s">
        <v>206</v>
      </c>
      <c r="G46" s="384"/>
      <c r="H46" s="317">
        <v>2771022.15</v>
      </c>
      <c r="I46" s="349">
        <v>2467841.2200000002</v>
      </c>
    </row>
    <row r="47" spans="1:9" ht="43.8" thickBot="1">
      <c r="A47" s="356" t="s">
        <v>199</v>
      </c>
      <c r="B47" s="357"/>
      <c r="C47" s="351">
        <f>C45-C46</f>
        <v>0</v>
      </c>
      <c r="D47" s="352">
        <f t="shared" si="38"/>
        <v>0</v>
      </c>
      <c r="E47" s="353">
        <f t="shared" si="40"/>
        <v>0</v>
      </c>
      <c r="F47" s="342" t="s">
        <v>236</v>
      </c>
      <c r="G47" s="317">
        <f>G42+G45</f>
        <v>4725331.12</v>
      </c>
      <c r="H47" s="326">
        <f>H42+H46</f>
        <v>65662208.479999997</v>
      </c>
      <c r="I47" s="317"/>
    </row>
    <row r="48" spans="1:9" ht="15" thickBot="1">
      <c r="A48" s="356" t="s">
        <v>199</v>
      </c>
      <c r="B48" s="357"/>
      <c r="C48" s="351">
        <f>C46-C47</f>
        <v>2159816.549999997</v>
      </c>
      <c r="D48" s="352">
        <f t="shared" si="38"/>
        <v>410365.14</v>
      </c>
      <c r="E48" s="353">
        <f t="shared" ref="E48" si="41">C48+D48</f>
        <v>2570181.6899999972</v>
      </c>
      <c r="F48" s="337"/>
    </row>
    <row r="49" spans="1:8" ht="15" thickBot="1">
      <c r="A49" s="356" t="s">
        <v>193</v>
      </c>
      <c r="B49" s="357"/>
      <c r="C49" s="351">
        <f>C44-C45</f>
        <v>497503.7099999967</v>
      </c>
      <c r="D49" s="352">
        <f t="shared" si="38"/>
        <v>94525.7</v>
      </c>
      <c r="E49" s="353">
        <f t="shared" si="40"/>
        <v>592029.40999999666</v>
      </c>
      <c r="F49" s="337"/>
      <c r="G49" s="3"/>
    </row>
    <row r="50" spans="1:8" ht="15" thickBot="1">
      <c r="A50" s="314" t="s">
        <v>179</v>
      </c>
      <c r="B50" s="323"/>
      <c r="C50" s="343">
        <v>2965344.9299999997</v>
      </c>
      <c r="D50" s="334">
        <f t="shared" si="38"/>
        <v>563415.54</v>
      </c>
      <c r="E50" s="335">
        <f t="shared" si="40"/>
        <v>3528760.4699999997</v>
      </c>
    </row>
    <row r="51" spans="1:8" ht="15" thickBot="1">
      <c r="A51" s="363" t="s">
        <v>202</v>
      </c>
      <c r="B51" s="365"/>
      <c r="C51" s="349">
        <v>2467841.2200000002</v>
      </c>
      <c r="D51" s="354">
        <f t="shared" si="38"/>
        <v>468889.83</v>
      </c>
      <c r="E51" s="355">
        <f t="shared" si="40"/>
        <v>2936731.0500000003</v>
      </c>
    </row>
    <row r="52" spans="1:8" ht="15" thickBot="1">
      <c r="A52" s="358" t="s">
        <v>201</v>
      </c>
      <c r="B52" s="360"/>
      <c r="C52" s="350">
        <f>2771022.15-2467841.22</f>
        <v>303180.9299999997</v>
      </c>
      <c r="D52" s="352">
        <f t="shared" si="38"/>
        <v>57604.38</v>
      </c>
      <c r="E52" s="353">
        <f t="shared" si="40"/>
        <v>360785.30999999971</v>
      </c>
      <c r="G52" s="3"/>
    </row>
    <row r="53" spans="1:8" ht="15" thickBot="1">
      <c r="A53" s="356" t="s">
        <v>200</v>
      </c>
      <c r="B53" s="357"/>
      <c r="C53" s="351">
        <v>194322.78</v>
      </c>
      <c r="D53" s="352">
        <f t="shared" si="38"/>
        <v>36921.33</v>
      </c>
      <c r="E53" s="353">
        <f t="shared" ref="E53:E54" si="42">C53+D53</f>
        <v>231244.11</v>
      </c>
      <c r="F53" s="306" t="s">
        <v>174</v>
      </c>
    </row>
    <row r="54" spans="1:8" ht="15" thickBot="1">
      <c r="A54" s="356" t="s">
        <v>203</v>
      </c>
      <c r="B54" s="357"/>
      <c r="C54" s="351">
        <v>194322.78</v>
      </c>
      <c r="D54" s="352">
        <f t="shared" si="38"/>
        <v>36921.33</v>
      </c>
      <c r="E54" s="353">
        <f t="shared" si="42"/>
        <v>231244.11</v>
      </c>
      <c r="F54" s="337"/>
    </row>
    <row r="55" spans="1:8" ht="31.95" customHeight="1" thickBot="1">
      <c r="A55" s="716" t="s">
        <v>178</v>
      </c>
      <c r="B55" s="717"/>
      <c r="C55" s="340">
        <v>72196423.294117644</v>
      </c>
      <c r="D55" s="339">
        <f t="shared" si="38"/>
        <v>13717320.43</v>
      </c>
      <c r="E55" s="338">
        <f t="shared" si="40"/>
        <v>85913743.724117637</v>
      </c>
      <c r="F55" s="3"/>
      <c r="G55" s="3"/>
    </row>
    <row r="56" spans="1:8" ht="28.95" customHeight="1" thickBot="1">
      <c r="A56" s="716" t="s">
        <v>180</v>
      </c>
      <c r="B56" s="717"/>
      <c r="C56" s="340">
        <v>69326807.510000005</v>
      </c>
      <c r="D56" s="334">
        <f t="shared" si="38"/>
        <v>13172093.43</v>
      </c>
      <c r="E56" s="335">
        <f t="shared" si="40"/>
        <v>82498900.939999998</v>
      </c>
      <c r="F56" s="3"/>
      <c r="G56" s="3"/>
      <c r="H56" s="3"/>
    </row>
    <row r="57" spans="1:8" ht="28.95" customHeight="1" thickBot="1">
      <c r="A57" s="718" t="s">
        <v>181</v>
      </c>
      <c r="B57" s="719"/>
      <c r="C57" s="341">
        <v>2869615.78</v>
      </c>
      <c r="D57" s="334">
        <f t="shared" si="38"/>
        <v>545227</v>
      </c>
      <c r="E57" s="335">
        <f t="shared" si="40"/>
        <v>3414842.78</v>
      </c>
      <c r="H57" s="3"/>
    </row>
    <row r="58" spans="1:8" ht="15" thickBot="1">
      <c r="A58" s="344" t="s">
        <v>187</v>
      </c>
      <c r="B58" s="345"/>
      <c r="C58" s="347">
        <v>5337457</v>
      </c>
      <c r="D58" s="334">
        <f t="shared" si="38"/>
        <v>1014116.83</v>
      </c>
      <c r="E58" s="335">
        <f t="shared" si="40"/>
        <v>6351573.8300000001</v>
      </c>
    </row>
    <row r="59" spans="1:8" ht="15" thickBot="1">
      <c r="A59" s="363" t="s">
        <v>188</v>
      </c>
      <c r="B59" s="364"/>
      <c r="C59" s="349">
        <v>2467841.2200000002</v>
      </c>
      <c r="D59" s="354">
        <f t="shared" si="38"/>
        <v>468889.83</v>
      </c>
      <c r="E59" s="355">
        <f t="shared" si="40"/>
        <v>2936731.0500000003</v>
      </c>
    </row>
    <row r="60" spans="1:8" ht="15" thickBot="1">
      <c r="A60" s="358" t="s">
        <v>189</v>
      </c>
      <c r="B60" s="361"/>
      <c r="C60" s="348">
        <f>C58-C59</f>
        <v>2869615.78</v>
      </c>
      <c r="D60" s="352">
        <f t="shared" si="38"/>
        <v>545227</v>
      </c>
      <c r="E60" s="353">
        <f t="shared" si="40"/>
        <v>3414842.78</v>
      </c>
    </row>
    <row r="61" spans="1:8" ht="15" thickBot="1">
      <c r="C61" s="3"/>
    </row>
    <row r="62" spans="1:8" ht="15" thickBot="1">
      <c r="A62" s="318" t="s">
        <v>237</v>
      </c>
      <c r="B62" s="319"/>
      <c r="C62" s="399">
        <f>C63+C66</f>
        <v>6179709.5800000001</v>
      </c>
      <c r="D62" s="399">
        <f t="shared" ref="D62:E62" si="43">D63+D66</f>
        <v>1174144.8199999998</v>
      </c>
      <c r="E62" s="399">
        <f t="shared" si="43"/>
        <v>7353854.4000000004</v>
      </c>
      <c r="F62" s="3">
        <f>E62+E68</f>
        <v>9241179.6400000006</v>
      </c>
    </row>
    <row r="63" spans="1:8" ht="29.4" customHeight="1" thickBot="1">
      <c r="A63" s="766" t="s">
        <v>238</v>
      </c>
      <c r="B63" s="767"/>
      <c r="C63" s="400">
        <v>5759974.7300000004</v>
      </c>
      <c r="D63" s="401">
        <f t="shared" ref="D63:D66" si="44">ROUND(C63*0.19,2)</f>
        <v>1094395.2</v>
      </c>
      <c r="E63" s="402">
        <f>C63+D63</f>
        <v>6854369.9300000006</v>
      </c>
    </row>
    <row r="64" spans="1:8" ht="29.4" customHeight="1" thickBot="1">
      <c r="A64" s="720" t="s">
        <v>239</v>
      </c>
      <c r="B64" s="721"/>
      <c r="C64" s="406">
        <f>ROUND(C63*0.98,2)</f>
        <v>5644775.2400000002</v>
      </c>
      <c r="D64" s="407">
        <f t="shared" si="44"/>
        <v>1072507.3</v>
      </c>
      <c r="E64" s="408">
        <f t="shared" ref="E64:E65" si="45">C64+D64</f>
        <v>6717282.54</v>
      </c>
    </row>
    <row r="65" spans="1:7" ht="34.950000000000003" customHeight="1" thickBot="1">
      <c r="A65" s="722" t="s">
        <v>240</v>
      </c>
      <c r="B65" s="723"/>
      <c r="C65" s="403">
        <f>ROUND(C63*0.02,2)</f>
        <v>115199.49</v>
      </c>
      <c r="D65" s="404">
        <f t="shared" si="44"/>
        <v>21887.9</v>
      </c>
      <c r="E65" s="405">
        <f t="shared" si="45"/>
        <v>137087.39000000001</v>
      </c>
      <c r="G65" s="3">
        <f>E65+E66+E68</f>
        <v>2523897.0999999996</v>
      </c>
    </row>
    <row r="66" spans="1:7" ht="15" thickBot="1">
      <c r="A66" s="398" t="s">
        <v>241</v>
      </c>
      <c r="B66" s="359"/>
      <c r="C66" s="371">
        <v>419734.85</v>
      </c>
      <c r="D66" s="352">
        <f t="shared" si="44"/>
        <v>79749.62</v>
      </c>
      <c r="E66" s="372">
        <f>C66+D66</f>
        <v>499484.47</v>
      </c>
    </row>
    <row r="67" spans="1:7" ht="15" thickBot="1">
      <c r="A67" s="1" t="s">
        <v>210</v>
      </c>
    </row>
    <row r="68" spans="1:7" ht="15" thickBot="1">
      <c r="A68" s="420" t="s">
        <v>217</v>
      </c>
      <c r="B68" s="409"/>
      <c r="C68" s="421">
        <f>C23+C24+C25</f>
        <v>1585987.6</v>
      </c>
      <c r="D68" s="421">
        <f t="shared" ref="D68:E68" si="46">D23+D24+D25</f>
        <v>301337.64</v>
      </c>
      <c r="E68" s="421">
        <f t="shared" si="46"/>
        <v>1887325.2399999998</v>
      </c>
      <c r="F68" t="s">
        <v>215</v>
      </c>
    </row>
    <row r="69" spans="1:7" ht="29.4" thickBot="1">
      <c r="A69" s="422" t="s">
        <v>214</v>
      </c>
      <c r="B69" s="409"/>
      <c r="C69" s="421">
        <f>C65</f>
        <v>115199.49</v>
      </c>
      <c r="D69" s="421">
        <f t="shared" ref="D69:E69" si="47">D65</f>
        <v>21887.9</v>
      </c>
      <c r="E69" s="421">
        <f t="shared" si="47"/>
        <v>137087.39000000001</v>
      </c>
      <c r="F69" t="s">
        <v>215</v>
      </c>
    </row>
    <row r="70" spans="1:7" ht="15" thickBot="1">
      <c r="A70" s="398" t="s">
        <v>242</v>
      </c>
      <c r="B70" s="359"/>
      <c r="C70" s="423">
        <f>C26+C66</f>
        <v>1538597.25</v>
      </c>
      <c r="D70" s="423">
        <f t="shared" ref="D70:E70" si="48">D26+D66</f>
        <v>292333.48</v>
      </c>
      <c r="E70" s="423">
        <f t="shared" si="48"/>
        <v>1830930.7299999997</v>
      </c>
    </row>
    <row r="71" spans="1:7" ht="15" thickBot="1">
      <c r="A71" s="356" t="s">
        <v>220</v>
      </c>
      <c r="B71" s="362"/>
      <c r="C71" s="413">
        <f>SUM(C68:C70)</f>
        <v>3239784.34</v>
      </c>
      <c r="D71" s="413">
        <f t="shared" ref="D71:E71" si="49">SUM(D68:D70)</f>
        <v>615559.02</v>
      </c>
      <c r="E71" s="410">
        <f t="shared" si="49"/>
        <v>3855343.3599999994</v>
      </c>
      <c r="G71" s="438">
        <f>E71/E73</f>
        <v>0.36465334122906967</v>
      </c>
    </row>
    <row r="72" spans="1:7" ht="29.4" thickBot="1">
      <c r="A72" s="428" t="s">
        <v>216</v>
      </c>
      <c r="B72" s="429"/>
      <c r="C72" s="417">
        <f>C64</f>
        <v>5644775.2400000002</v>
      </c>
      <c r="D72" s="417">
        <f>D64</f>
        <v>1072507.3</v>
      </c>
      <c r="E72" s="417">
        <f>E64</f>
        <v>6717282.54</v>
      </c>
      <c r="F72" t="s">
        <v>219</v>
      </c>
      <c r="G72" s="437">
        <f>E72/E73</f>
        <v>0.63534665877093044</v>
      </c>
    </row>
    <row r="73" spans="1:7" s="427" customFormat="1" ht="15" thickBot="1">
      <c r="A73" s="424" t="s">
        <v>11</v>
      </c>
      <c r="B73" s="425"/>
      <c r="C73" s="426">
        <f>C71+C72</f>
        <v>8884559.5800000001</v>
      </c>
      <c r="D73" s="426">
        <f t="shared" ref="D73:E73" si="50">D71+D72</f>
        <v>1688066.32</v>
      </c>
      <c r="E73" s="426">
        <f t="shared" si="50"/>
        <v>10572625.899999999</v>
      </c>
    </row>
    <row r="74" spans="1:7" ht="15" thickBot="1">
      <c r="A74" s="1" t="s">
        <v>221</v>
      </c>
    </row>
    <row r="75" spans="1:7" ht="15" thickBot="1">
      <c r="A75" s="420" t="s">
        <v>217</v>
      </c>
      <c r="B75" s="409"/>
      <c r="C75" s="421">
        <f>C30+C31+C32</f>
        <v>1585987.6</v>
      </c>
      <c r="D75" s="421">
        <f t="shared" ref="D75:E75" si="51">D30+D31+D32</f>
        <v>301337.64</v>
      </c>
      <c r="E75" s="421">
        <f t="shared" si="51"/>
        <v>1887325.2399999998</v>
      </c>
      <c r="F75" t="s">
        <v>215</v>
      </c>
    </row>
    <row r="76" spans="1:7" ht="29.4" thickBot="1">
      <c r="A76" s="422" t="s">
        <v>214</v>
      </c>
      <c r="B76" s="409"/>
      <c r="C76" s="421">
        <f>C65</f>
        <v>115199.49</v>
      </c>
      <c r="D76" s="421">
        <f t="shared" ref="D76:E76" si="52">D65</f>
        <v>21887.9</v>
      </c>
      <c r="E76" s="421">
        <f t="shared" si="52"/>
        <v>137087.39000000001</v>
      </c>
      <c r="F76" t="s">
        <v>215</v>
      </c>
    </row>
    <row r="77" spans="1:7" ht="15" thickBot="1">
      <c r="A77" s="398" t="s">
        <v>218</v>
      </c>
      <c r="B77" s="359"/>
      <c r="C77" s="423">
        <f>C33-C34-C35+C66</f>
        <v>617539.1</v>
      </c>
      <c r="D77" s="423">
        <f t="shared" ref="D77:E77" si="53">D33-D34-D35+D66</f>
        <v>117332.43</v>
      </c>
      <c r="E77" s="423">
        <f t="shared" si="53"/>
        <v>734871.5299999998</v>
      </c>
    </row>
    <row r="78" spans="1:7" ht="15" thickBot="1">
      <c r="A78" s="358" t="s">
        <v>220</v>
      </c>
      <c r="B78" s="361"/>
      <c r="C78" s="418">
        <f>SUM(C75:C77)</f>
        <v>2318726.19</v>
      </c>
      <c r="D78" s="418">
        <f t="shared" ref="D78" si="54">SUM(D75:D77)</f>
        <v>440557.97000000003</v>
      </c>
      <c r="E78" s="418">
        <f t="shared" ref="E78" si="55">SUM(E75:E77)</f>
        <v>2759284.1599999997</v>
      </c>
      <c r="G78" s="438">
        <f>E78/E80</f>
        <v>0.291169180500782</v>
      </c>
    </row>
    <row r="79" spans="1:7" ht="29.4" thickBot="1">
      <c r="A79" s="428" t="s">
        <v>216</v>
      </c>
      <c r="B79" s="429"/>
      <c r="C79" s="417">
        <f>C64</f>
        <v>5644775.2400000002</v>
      </c>
      <c r="D79" s="417">
        <f t="shared" ref="D79:E79" si="56">D64</f>
        <v>1072507.3</v>
      </c>
      <c r="E79" s="417">
        <f t="shared" si="56"/>
        <v>6717282.54</v>
      </c>
      <c r="F79" t="s">
        <v>219</v>
      </c>
      <c r="G79" s="437">
        <f>E79/E80</f>
        <v>0.70883081949921811</v>
      </c>
    </row>
    <row r="80" spans="1:7" s="427" customFormat="1" ht="15" thickBot="1">
      <c r="A80" s="424" t="s">
        <v>11</v>
      </c>
      <c r="B80" s="425"/>
      <c r="C80" s="426">
        <f>C78+C79</f>
        <v>7963501.4299999997</v>
      </c>
      <c r="D80" s="426">
        <f t="shared" ref="D80" si="57">D78+D79</f>
        <v>1513065.27</v>
      </c>
      <c r="E80" s="426">
        <f t="shared" ref="E80" si="58">E78+E79</f>
        <v>9476566.6999999993</v>
      </c>
    </row>
    <row r="81" spans="1:7" ht="15" thickBot="1">
      <c r="A81" s="1" t="s">
        <v>222</v>
      </c>
    </row>
    <row r="82" spans="1:7" ht="15" thickBot="1">
      <c r="A82" s="420" t="s">
        <v>217</v>
      </c>
      <c r="B82" s="409"/>
      <c r="C82" s="421">
        <f>C23+C24+C25</f>
        <v>1585987.6</v>
      </c>
      <c r="D82" s="421">
        <f t="shared" ref="D82:E82" si="59">D23+D24+D25</f>
        <v>301337.64</v>
      </c>
      <c r="E82" s="421">
        <f t="shared" si="59"/>
        <v>1887325.2399999998</v>
      </c>
      <c r="F82" t="s">
        <v>215</v>
      </c>
    </row>
    <row r="83" spans="1:7" ht="29.4" thickBot="1">
      <c r="A83" s="422" t="s">
        <v>214</v>
      </c>
      <c r="B83" s="409"/>
      <c r="C83" s="421">
        <f>C65</f>
        <v>115199.49</v>
      </c>
      <c r="D83" s="421">
        <f t="shared" ref="D83:E83" si="60">D65</f>
        <v>21887.9</v>
      </c>
      <c r="E83" s="421">
        <f t="shared" si="60"/>
        <v>137087.39000000001</v>
      </c>
      <c r="F83" t="s">
        <v>215</v>
      </c>
    </row>
    <row r="84" spans="1:7" ht="15" thickBot="1">
      <c r="A84" s="398" t="s">
        <v>218</v>
      </c>
      <c r="B84" s="359"/>
      <c r="C84" s="423">
        <f>C33-C34+C66</f>
        <v>1107175.5699999998</v>
      </c>
      <c r="D84" s="423">
        <f t="shared" ref="D84:E84" si="61">D33-D34+D66</f>
        <v>210363.36</v>
      </c>
      <c r="E84" s="423">
        <f t="shared" si="61"/>
        <v>1317538.9299999997</v>
      </c>
    </row>
    <row r="85" spans="1:7" ht="15" thickBot="1">
      <c r="A85" s="358" t="s">
        <v>220</v>
      </c>
      <c r="B85" s="361"/>
      <c r="C85" s="418">
        <f>SUM(C82:C84)</f>
        <v>2808362.66</v>
      </c>
      <c r="D85" s="418">
        <f t="shared" ref="D85" si="62">SUM(D82:D84)</f>
        <v>533588.9</v>
      </c>
      <c r="E85" s="418">
        <f t="shared" ref="E85" si="63">SUM(E82:E84)</f>
        <v>3341951.5599999996</v>
      </c>
      <c r="G85" s="438">
        <f>E85/E87</f>
        <v>0.33222723785700542</v>
      </c>
    </row>
    <row r="86" spans="1:7" ht="29.4" thickBot="1">
      <c r="A86" s="428" t="s">
        <v>216</v>
      </c>
      <c r="B86" s="429"/>
      <c r="C86" s="417">
        <f>C64</f>
        <v>5644775.2400000002</v>
      </c>
      <c r="D86" s="417">
        <f t="shared" ref="D86:E86" si="64">D64</f>
        <v>1072507.3</v>
      </c>
      <c r="E86" s="417">
        <f t="shared" si="64"/>
        <v>6717282.54</v>
      </c>
      <c r="F86" t="s">
        <v>219</v>
      </c>
      <c r="G86" s="437">
        <f>E86/E87</f>
        <v>0.66777276214299464</v>
      </c>
    </row>
    <row r="87" spans="1:7" s="427" customFormat="1" ht="15" thickBot="1">
      <c r="A87" s="424" t="s">
        <v>11</v>
      </c>
      <c r="B87" s="425"/>
      <c r="C87" s="426">
        <f>C85+C86</f>
        <v>8453137.9000000004</v>
      </c>
      <c r="D87" s="426">
        <f t="shared" ref="D87" si="65">D85+D86</f>
        <v>1606096.2000000002</v>
      </c>
      <c r="E87" s="426">
        <f t="shared" ref="E87" si="66">E85+E86</f>
        <v>10059234.1</v>
      </c>
    </row>
    <row r="88" spans="1:7" ht="15" thickBot="1"/>
    <row r="89" spans="1:7" s="1" customFormat="1" ht="43.8" thickBot="1">
      <c r="A89" s="342" t="s">
        <v>223</v>
      </c>
      <c r="B89" s="431"/>
      <c r="C89" s="432">
        <f>ROUND(T8*0.23,2)</f>
        <v>4816935.6500000004</v>
      </c>
      <c r="D89" s="397">
        <f>ROUND(C89*0.19,2)</f>
        <v>915217.77</v>
      </c>
      <c r="E89" s="430">
        <f>C89+D89</f>
        <v>5732153.4199999999</v>
      </c>
    </row>
    <row r="90" spans="1:7" s="1" customFormat="1" ht="43.8" thickBot="1">
      <c r="A90" s="428" t="s">
        <v>224</v>
      </c>
      <c r="B90" s="433"/>
      <c r="C90" s="434">
        <f>ROUND(U8*0.23,2)</f>
        <v>4489762.38</v>
      </c>
      <c r="D90" s="354">
        <f t="shared" ref="D90:D91" si="67">ROUND(C90*0.19,2)</f>
        <v>853054.85</v>
      </c>
      <c r="E90" s="355">
        <f t="shared" ref="E90:E91" si="68">C90+D90</f>
        <v>5342817.2299999995</v>
      </c>
      <c r="F90" s="1">
        <f>E90*0.98</f>
        <v>5235960.8853999991</v>
      </c>
      <c r="G90" s="1">
        <f>E89*0.02</f>
        <v>114643.0684</v>
      </c>
    </row>
    <row r="91" spans="1:7" s="1" customFormat="1" ht="29.4" thickBot="1">
      <c r="A91" s="435" t="s">
        <v>225</v>
      </c>
      <c r="B91" s="436"/>
      <c r="C91" s="350">
        <f>ROUND(V8*0.23,2)</f>
        <v>327173.27</v>
      </c>
      <c r="D91" s="352">
        <f t="shared" si="67"/>
        <v>62162.92</v>
      </c>
      <c r="E91" s="353">
        <f t="shared" si="68"/>
        <v>389336.19</v>
      </c>
    </row>
    <row r="92" spans="1:7" ht="15" thickBot="1"/>
    <row r="93" spans="1:7" ht="15" thickBot="1">
      <c r="A93" s="344" t="s">
        <v>226</v>
      </c>
      <c r="B93" s="320"/>
    </row>
    <row r="94" spans="1:7" ht="15" thickBot="1">
      <c r="A94" s="305" t="s">
        <v>227</v>
      </c>
      <c r="B94" s="323"/>
      <c r="C94" s="381">
        <f>C89+C27</f>
        <v>7521785.6500000004</v>
      </c>
      <c r="D94" s="381">
        <f t="shared" ref="D94:E94" si="69">D89+D27</f>
        <v>1429139.27</v>
      </c>
      <c r="E94" s="381">
        <f t="shared" si="69"/>
        <v>8950924.9199999999</v>
      </c>
    </row>
    <row r="95" spans="1:7" ht="15" thickBot="1">
      <c r="A95" s="305" t="s">
        <v>228</v>
      </c>
      <c r="B95" s="315"/>
      <c r="C95" s="330">
        <f>C89+C36</f>
        <v>6600727.5</v>
      </c>
      <c r="D95" s="330">
        <f t="shared" ref="D95:E95" si="70">D89+D36</f>
        <v>1254138.22</v>
      </c>
      <c r="E95" s="330">
        <f t="shared" si="70"/>
        <v>7854865.7199999997</v>
      </c>
    </row>
    <row r="96" spans="1:7" ht="15" thickBot="1">
      <c r="A96" s="305" t="s">
        <v>229</v>
      </c>
      <c r="B96" s="321"/>
      <c r="C96" s="328">
        <f>C89+C36-C35</f>
        <v>6111091.0300000003</v>
      </c>
      <c r="D96" s="328">
        <f t="shared" ref="D96:E96" si="71">D89+D36-D35</f>
        <v>1161107.29</v>
      </c>
      <c r="E96" s="328">
        <f t="shared" si="71"/>
        <v>7272198.3200000003</v>
      </c>
    </row>
  </sheetData>
  <mergeCells count="11">
    <mergeCell ref="A55:B55"/>
    <mergeCell ref="M15:Q15"/>
    <mergeCell ref="R15:V15"/>
    <mergeCell ref="A22:B22"/>
    <mergeCell ref="A29:B29"/>
    <mergeCell ref="A38:B38"/>
    <mergeCell ref="A56:B56"/>
    <mergeCell ref="A57:B57"/>
    <mergeCell ref="A63:B63"/>
    <mergeCell ref="A64:B64"/>
    <mergeCell ref="A65:B65"/>
  </mergeCells>
  <printOptions horizontalCentered="1" verticalCentered="1"/>
  <pageMargins left="0.19685039370078741" right="0.19685039370078741" top="0.39370078740157483" bottom="0.39370078740157483" header="0.31496062992125984" footer="0.31496062992125984"/>
  <pageSetup paperSize="8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A56"/>
  <sheetViews>
    <sheetView zoomScale="110" zoomScaleNormal="110" workbookViewId="0">
      <selection activeCell="B8" sqref="B8:S8"/>
    </sheetView>
  </sheetViews>
  <sheetFormatPr defaultRowHeight="14.4"/>
  <cols>
    <col min="1" max="1" width="30.6640625" customWidth="1"/>
    <col min="2" max="2" width="13.109375" customWidth="1"/>
    <col min="3" max="3" width="13.6640625" customWidth="1"/>
    <col min="4" max="4" width="12.5546875" customWidth="1"/>
    <col min="5" max="5" width="15.109375" customWidth="1"/>
    <col min="6" max="10" width="12.5546875" customWidth="1"/>
    <col min="11" max="11" width="12" customWidth="1"/>
    <col min="12" max="15" width="11.5546875" bestFit="1" customWidth="1"/>
    <col min="16" max="16" width="12.5546875" bestFit="1" customWidth="1"/>
    <col min="17" max="17" width="12.5546875" customWidth="1"/>
    <col min="18" max="18" width="12.5546875" bestFit="1" customWidth="1"/>
    <col min="19" max="19" width="13.88671875" customWidth="1"/>
    <col min="20" max="20" width="13.6640625" customWidth="1"/>
    <col min="21" max="22" width="11.5546875" bestFit="1" customWidth="1"/>
    <col min="23" max="23" width="14" customWidth="1"/>
    <col min="24" max="24" width="14.33203125" customWidth="1"/>
    <col min="25" max="26" width="12.5546875" bestFit="1" customWidth="1"/>
    <col min="27" max="27" width="12.88671875" customWidth="1"/>
  </cols>
  <sheetData>
    <row r="1" spans="1:27">
      <c r="Q1" s="302">
        <v>1408708.77</v>
      </c>
      <c r="R1" s="6"/>
    </row>
    <row r="2" spans="1:27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Q2" s="303">
        <f>ROUND((Q5-1)*Q1,2)</f>
        <v>251891.22</v>
      </c>
      <c r="R2">
        <v>0</v>
      </c>
    </row>
    <row r="3" spans="1:27">
      <c r="Q3" s="303">
        <f>ROUND(Q1*Q5,2)</f>
        <v>1660599.99</v>
      </c>
      <c r="S3" s="3">
        <f>S4-Q12</f>
        <v>49702603.049999997</v>
      </c>
    </row>
    <row r="4" spans="1:27" ht="15" thickBot="1">
      <c r="A4" t="s">
        <v>1</v>
      </c>
      <c r="Q4" s="303">
        <v>160.19999999999999</v>
      </c>
      <c r="S4" s="3">
        <f>S5-R9-S9</f>
        <v>49712971.140000001</v>
      </c>
      <c r="X4" s="3"/>
    </row>
    <row r="5" spans="1:27" ht="15" thickBot="1">
      <c r="A5" s="305" t="s">
        <v>8</v>
      </c>
      <c r="B5" s="306">
        <v>135.9</v>
      </c>
      <c r="C5" s="313">
        <f>SUM(B9:Q9)</f>
        <v>2975713.02</v>
      </c>
      <c r="D5" s="313">
        <f>C5-Q12</f>
        <v>2965344.9299999997</v>
      </c>
      <c r="E5" s="1"/>
      <c r="F5" s="1"/>
      <c r="G5" s="1"/>
      <c r="H5" s="1"/>
      <c r="I5" s="1"/>
      <c r="J5" s="1"/>
      <c r="K5" s="2">
        <v>135.9</v>
      </c>
      <c r="Q5" s="304">
        <f>ROUND(Q4/B5,5)</f>
        <v>1.1788099999999999</v>
      </c>
      <c r="R5" s="3"/>
      <c r="S5" s="3">
        <f>SUM(B10:S10)</f>
        <v>51288590.649999999</v>
      </c>
      <c r="T5" s="3"/>
      <c r="U5" s="3"/>
      <c r="V5" s="3"/>
      <c r="W5" s="3">
        <f>SUM(T8:W8)</f>
        <v>19109317.020000003</v>
      </c>
      <c r="X5" s="3"/>
    </row>
    <row r="6" spans="1:27">
      <c r="A6" t="s">
        <v>2</v>
      </c>
      <c r="B6">
        <v>1</v>
      </c>
      <c r="C6">
        <f t="shared" ref="C6:W6" si="0">B6+1</f>
        <v>2</v>
      </c>
      <c r="D6">
        <f t="shared" si="0"/>
        <v>3</v>
      </c>
      <c r="E6">
        <f t="shared" si="0"/>
        <v>4</v>
      </c>
      <c r="F6">
        <f t="shared" si="0"/>
        <v>5</v>
      </c>
      <c r="G6">
        <f t="shared" si="0"/>
        <v>6</v>
      </c>
      <c r="H6">
        <f t="shared" si="0"/>
        <v>7</v>
      </c>
      <c r="I6">
        <f t="shared" si="0"/>
        <v>8</v>
      </c>
      <c r="J6">
        <f t="shared" si="0"/>
        <v>9</v>
      </c>
      <c r="K6">
        <f t="shared" si="0"/>
        <v>10</v>
      </c>
      <c r="L6">
        <f t="shared" si="0"/>
        <v>11</v>
      </c>
      <c r="M6">
        <f t="shared" si="0"/>
        <v>12</v>
      </c>
      <c r="N6">
        <f t="shared" si="0"/>
        <v>13</v>
      </c>
      <c r="O6">
        <f t="shared" si="0"/>
        <v>14</v>
      </c>
      <c r="P6">
        <f t="shared" si="0"/>
        <v>15</v>
      </c>
      <c r="Q6">
        <f t="shared" si="0"/>
        <v>16</v>
      </c>
      <c r="R6">
        <f>Q6+1</f>
        <v>17</v>
      </c>
      <c r="S6">
        <f t="shared" si="0"/>
        <v>18</v>
      </c>
      <c r="T6">
        <f t="shared" si="0"/>
        <v>19</v>
      </c>
      <c r="U6">
        <f t="shared" si="0"/>
        <v>20</v>
      </c>
      <c r="V6">
        <f t="shared" si="0"/>
        <v>21</v>
      </c>
      <c r="W6">
        <f t="shared" si="0"/>
        <v>22</v>
      </c>
      <c r="X6" s="3"/>
    </row>
    <row r="7" spans="1:27" s="1" customFormat="1">
      <c r="A7" s="1" t="s">
        <v>14</v>
      </c>
      <c r="B7" s="7">
        <v>43983</v>
      </c>
      <c r="C7" s="7">
        <v>44013</v>
      </c>
      <c r="D7" s="7">
        <v>44044</v>
      </c>
      <c r="E7" s="7">
        <v>44075</v>
      </c>
      <c r="F7" s="7">
        <v>44105</v>
      </c>
      <c r="G7" s="7">
        <v>44136</v>
      </c>
      <c r="H7" s="7">
        <v>44166</v>
      </c>
      <c r="I7" s="7">
        <v>44287</v>
      </c>
      <c r="J7" s="7">
        <v>44317</v>
      </c>
      <c r="K7" s="7">
        <v>44348</v>
      </c>
      <c r="L7" s="7">
        <v>44378</v>
      </c>
      <c r="M7" s="7">
        <v>44409</v>
      </c>
      <c r="N7" s="7">
        <v>44440</v>
      </c>
      <c r="O7" s="7">
        <v>44470</v>
      </c>
      <c r="P7" s="7">
        <v>44501</v>
      </c>
      <c r="Q7" s="7">
        <v>44531</v>
      </c>
      <c r="R7" s="7">
        <v>44621</v>
      </c>
      <c r="S7" s="7">
        <v>44652</v>
      </c>
      <c r="T7" s="7">
        <v>44682</v>
      </c>
      <c r="U7" s="7">
        <v>44713</v>
      </c>
      <c r="V7" s="7">
        <v>44743</v>
      </c>
      <c r="W7" s="7">
        <v>44774</v>
      </c>
      <c r="X7" s="4" t="s">
        <v>11</v>
      </c>
    </row>
    <row r="8" spans="1:27">
      <c r="A8" s="5" t="s">
        <v>3</v>
      </c>
      <c r="B8" s="6">
        <v>316505.05</v>
      </c>
      <c r="C8" s="6">
        <v>1592445.57</v>
      </c>
      <c r="D8" s="6">
        <v>725240.56</v>
      </c>
      <c r="E8" s="6">
        <v>2006611.43</v>
      </c>
      <c r="F8" s="6">
        <v>4307535.6100000003</v>
      </c>
      <c r="G8" s="6">
        <v>1724521.75</v>
      </c>
      <c r="H8" s="6">
        <v>1370368.17</v>
      </c>
      <c r="I8" s="6">
        <v>1008769</v>
      </c>
      <c r="J8" s="6">
        <v>3191783.3</v>
      </c>
      <c r="K8" s="6">
        <v>4540547.53</v>
      </c>
      <c r="L8" s="6">
        <v>4216146.2300000004</v>
      </c>
      <c r="M8" s="6">
        <v>6464991.5</v>
      </c>
      <c r="N8" s="6">
        <v>2363545.4900000002</v>
      </c>
      <c r="O8" s="6">
        <v>3142377.4</v>
      </c>
      <c r="P8" s="6">
        <v>1592662.85</v>
      </c>
      <c r="Q8" s="6">
        <v>1408708.77</v>
      </c>
      <c r="R8" s="6">
        <v>1522597.03</v>
      </c>
      <c r="S8" s="6">
        <v>5241900.88</v>
      </c>
      <c r="T8" s="333">
        <f>8045911.61-258262.18</f>
        <v>7787649.4300000006</v>
      </c>
      <c r="U8" s="333">
        <f>2439102.29+3606656.04</f>
        <v>6045758.3300000001</v>
      </c>
      <c r="V8" s="333">
        <f>1946765.15+2086306.78</f>
        <v>4033071.9299999997</v>
      </c>
      <c r="W8" s="333">
        <v>1242837.33</v>
      </c>
      <c r="X8" s="10">
        <f>SUM(B8:W8)</f>
        <v>65846575.140000008</v>
      </c>
      <c r="Y8" s="12">
        <f>SUM(B8:S8)</f>
        <v>46737258.120000012</v>
      </c>
      <c r="Z8" s="6">
        <f>X10-Y8</f>
        <v>29601148.289999984</v>
      </c>
      <c r="AA8" s="5"/>
    </row>
    <row r="9" spans="1:27">
      <c r="A9" s="5" t="s">
        <v>9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f t="shared" ref="K9:W9" si="1">ROUND((K18-1)*K8,2)</f>
        <v>347488.1</v>
      </c>
      <c r="L9" s="6">
        <f t="shared" si="1"/>
        <v>440545.12</v>
      </c>
      <c r="M9" s="6">
        <f t="shared" si="1"/>
        <v>827777.51</v>
      </c>
      <c r="N9" s="6">
        <f t="shared" si="1"/>
        <v>342619.55</v>
      </c>
      <c r="O9" s="6">
        <f t="shared" si="1"/>
        <v>492504.81</v>
      </c>
      <c r="P9" s="6">
        <f t="shared" si="1"/>
        <v>262518.62</v>
      </c>
      <c r="Q9" s="6">
        <f>ROUND((Q18-1)*Q8,2)</f>
        <v>262259.31</v>
      </c>
      <c r="R9" s="6">
        <f>ROUND((R18-1)*R8,2)</f>
        <v>318192.33</v>
      </c>
      <c r="S9" s="6">
        <f t="shared" si="1"/>
        <v>1257427.18</v>
      </c>
      <c r="T9" s="333">
        <f>ROUND((T18-1)*T8,2)</f>
        <v>2297901.7200000002</v>
      </c>
      <c r="U9" s="333">
        <f t="shared" si="1"/>
        <v>1886216.14</v>
      </c>
      <c r="V9" s="333">
        <f t="shared" si="1"/>
        <v>1326558.02</v>
      </c>
      <c r="W9" s="333">
        <f t="shared" si="1"/>
        <v>429822.86</v>
      </c>
      <c r="X9" s="10">
        <f t="shared" ref="X9:X12" si="2">SUM(B9:W9)</f>
        <v>10491831.27</v>
      </c>
      <c r="Y9" s="12">
        <f t="shared" ref="Y9:Y11" si="3">SUM(B9:S9)</f>
        <v>4551332.53</v>
      </c>
      <c r="Z9" s="6">
        <f>SUM(R9:W9)</f>
        <v>7516118.2500000009</v>
      </c>
      <c r="AA9" s="6">
        <f>Y9+Z9</f>
        <v>12067450.780000001</v>
      </c>
    </row>
    <row r="10" spans="1:27">
      <c r="A10" s="5" t="s">
        <v>10</v>
      </c>
      <c r="B10" s="6">
        <f>B8+B9</f>
        <v>316505.05</v>
      </c>
      <c r="C10" s="6">
        <f t="shared" ref="C10:J10" si="4">C8+C9</f>
        <v>1592445.57</v>
      </c>
      <c r="D10" s="6">
        <f t="shared" si="4"/>
        <v>725240.56</v>
      </c>
      <c r="E10" s="6">
        <f t="shared" si="4"/>
        <v>2006611.43</v>
      </c>
      <c r="F10" s="6">
        <f t="shared" si="4"/>
        <v>4307535.6100000003</v>
      </c>
      <c r="G10" s="6">
        <f t="shared" si="4"/>
        <v>1724521.75</v>
      </c>
      <c r="H10" s="6">
        <f t="shared" si="4"/>
        <v>1370368.17</v>
      </c>
      <c r="I10" s="6">
        <f t="shared" si="4"/>
        <v>1008769</v>
      </c>
      <c r="J10" s="6">
        <f t="shared" si="4"/>
        <v>3191783.3</v>
      </c>
      <c r="K10" s="6">
        <f t="shared" ref="K10:W10" si="5">ROUND(K8*K18,2)</f>
        <v>4888035.63</v>
      </c>
      <c r="L10" s="6">
        <f t="shared" si="5"/>
        <v>4656691.3499999996</v>
      </c>
      <c r="M10" s="6">
        <f t="shared" si="5"/>
        <v>7292769.0099999998</v>
      </c>
      <c r="N10" s="6">
        <f t="shared" si="5"/>
        <v>2706165.04</v>
      </c>
      <c r="O10" s="6">
        <f t="shared" si="5"/>
        <v>3634882.21</v>
      </c>
      <c r="P10" s="6">
        <f t="shared" si="5"/>
        <v>1855181.47</v>
      </c>
      <c r="Q10" s="6">
        <f>ROUND(Q8*Q18,2)</f>
        <v>1670968.08</v>
      </c>
      <c r="R10" s="6">
        <f t="shared" si="5"/>
        <v>1840789.36</v>
      </c>
      <c r="S10" s="6">
        <f t="shared" si="5"/>
        <v>6499328.0599999996</v>
      </c>
      <c r="T10" s="333">
        <f>T8+T9</f>
        <v>10085551.15</v>
      </c>
      <c r="U10" s="333">
        <f t="shared" si="5"/>
        <v>7931974.4699999997</v>
      </c>
      <c r="V10" s="333">
        <f t="shared" si="5"/>
        <v>5359629.95</v>
      </c>
      <c r="W10" s="333">
        <f t="shared" si="5"/>
        <v>1672660.19</v>
      </c>
      <c r="X10" s="10">
        <f t="shared" si="2"/>
        <v>76338406.409999996</v>
      </c>
      <c r="Y10" s="12">
        <f t="shared" si="3"/>
        <v>51288590.649999999</v>
      </c>
      <c r="Z10" s="14">
        <f>Z8/Y8</f>
        <v>0.63335226499589914</v>
      </c>
      <c r="AA10" s="5"/>
    </row>
    <row r="11" spans="1:27" ht="15" thickBot="1">
      <c r="A11" s="5" t="s">
        <v>12</v>
      </c>
      <c r="B11" s="6">
        <v>316505.05</v>
      </c>
      <c r="C11" s="6">
        <v>1592445.57</v>
      </c>
      <c r="D11" s="6">
        <v>725240.56</v>
      </c>
      <c r="E11" s="6">
        <v>2006611.43</v>
      </c>
      <c r="F11" s="6">
        <v>4307535.6100000003</v>
      </c>
      <c r="G11" s="6">
        <v>1724521.75</v>
      </c>
      <c r="H11" s="6">
        <v>1370368.17</v>
      </c>
      <c r="I11" s="6">
        <v>1008769</v>
      </c>
      <c r="J11" s="6">
        <v>3191783.3</v>
      </c>
      <c r="K11" s="6">
        <v>4888035.63</v>
      </c>
      <c r="L11" s="6">
        <v>4656691.3499999996</v>
      </c>
      <c r="M11" s="6">
        <v>7292769.0099999998</v>
      </c>
      <c r="N11" s="6">
        <v>2706165.04</v>
      </c>
      <c r="O11" s="6">
        <v>3634882.21</v>
      </c>
      <c r="P11" s="6">
        <v>1855181.47</v>
      </c>
      <c r="Q11" s="311">
        <v>1660599.99</v>
      </c>
      <c r="R11" s="6">
        <v>1840789.36</v>
      </c>
      <c r="S11" s="6">
        <v>6499328.0599999996</v>
      </c>
      <c r="T11" s="333">
        <v>9787595.6799999997</v>
      </c>
      <c r="U11" s="333">
        <v>7700663.7599999998</v>
      </c>
      <c r="V11" s="333">
        <v>5205284.29</v>
      </c>
      <c r="W11" s="333">
        <v>1625109.24</v>
      </c>
      <c r="X11" s="10">
        <f t="shared" si="2"/>
        <v>75596875.530000001</v>
      </c>
      <c r="Y11" s="12">
        <f t="shared" si="3"/>
        <v>51278222.560000002</v>
      </c>
      <c r="Z11" s="5"/>
      <c r="AA11" s="5"/>
    </row>
    <row r="12" spans="1:27" ht="15" thickBot="1">
      <c r="A12" s="5" t="s">
        <v>13</v>
      </c>
      <c r="B12" s="6">
        <f t="shared" ref="B12:W12" si="6">B10-B11</f>
        <v>0</v>
      </c>
      <c r="C12" s="6">
        <f t="shared" si="6"/>
        <v>0</v>
      </c>
      <c r="D12" s="6">
        <f t="shared" si="6"/>
        <v>0</v>
      </c>
      <c r="E12" s="6">
        <f t="shared" si="6"/>
        <v>0</v>
      </c>
      <c r="F12" s="6">
        <f t="shared" si="6"/>
        <v>0</v>
      </c>
      <c r="G12" s="6">
        <f t="shared" si="6"/>
        <v>0</v>
      </c>
      <c r="H12" s="6">
        <f t="shared" si="6"/>
        <v>0</v>
      </c>
      <c r="I12" s="6">
        <f t="shared" si="6"/>
        <v>0</v>
      </c>
      <c r="J12" s="6">
        <f t="shared" si="6"/>
        <v>0</v>
      </c>
      <c r="K12" s="6">
        <f t="shared" si="6"/>
        <v>0</v>
      </c>
      <c r="L12" s="6">
        <f t="shared" si="6"/>
        <v>0</v>
      </c>
      <c r="M12" s="6">
        <f t="shared" si="6"/>
        <v>0</v>
      </c>
      <c r="N12" s="6">
        <f t="shared" si="6"/>
        <v>0</v>
      </c>
      <c r="O12" s="6">
        <f t="shared" si="6"/>
        <v>0</v>
      </c>
      <c r="P12" s="309">
        <f t="shared" si="6"/>
        <v>0</v>
      </c>
      <c r="Q12" s="317">
        <f t="shared" si="6"/>
        <v>10368.090000000084</v>
      </c>
      <c r="R12" s="308">
        <f t="shared" si="6"/>
        <v>0</v>
      </c>
      <c r="S12" s="6">
        <f t="shared" si="6"/>
        <v>0</v>
      </c>
      <c r="T12" s="6">
        <f t="shared" si="6"/>
        <v>297955.47000000067</v>
      </c>
      <c r="U12" s="6">
        <f t="shared" si="6"/>
        <v>231310.70999999996</v>
      </c>
      <c r="V12" s="6">
        <f t="shared" si="6"/>
        <v>154345.66000000015</v>
      </c>
      <c r="W12" s="6">
        <f t="shared" si="6"/>
        <v>47550.949999999953</v>
      </c>
      <c r="X12" s="10">
        <f t="shared" si="2"/>
        <v>741530.88000000082</v>
      </c>
      <c r="Y12" s="5"/>
      <c r="Z12" s="5"/>
      <c r="AA12" s="5"/>
    </row>
    <row r="13" spans="1:27">
      <c r="A13" s="16" t="s">
        <v>17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312"/>
      <c r="R13" s="6">
        <f>ROUND(R12*19%,2)</f>
        <v>0</v>
      </c>
      <c r="S13" s="6">
        <f t="shared" ref="S13:X13" si="7">ROUND(S12*19%,2)</f>
        <v>0</v>
      </c>
      <c r="T13" s="6">
        <f t="shared" si="7"/>
        <v>56611.54</v>
      </c>
      <c r="U13" s="6">
        <f t="shared" si="7"/>
        <v>43949.03</v>
      </c>
      <c r="V13" s="6">
        <f t="shared" si="7"/>
        <v>29325.68</v>
      </c>
      <c r="W13" s="6">
        <f t="shared" si="7"/>
        <v>9034.68</v>
      </c>
      <c r="X13" s="6">
        <f t="shared" si="7"/>
        <v>140890.87</v>
      </c>
      <c r="Y13" s="5"/>
      <c r="Z13" s="5"/>
      <c r="AA13" s="5"/>
    </row>
    <row r="14" spans="1:27">
      <c r="A14" s="5" t="s">
        <v>18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10">
        <f>R12+R13</f>
        <v>0</v>
      </c>
      <c r="S14" s="10">
        <f t="shared" ref="S14:X14" si="8">S12+S13</f>
        <v>0</v>
      </c>
      <c r="T14" s="10">
        <f t="shared" si="8"/>
        <v>354567.01000000065</v>
      </c>
      <c r="U14" s="10">
        <f t="shared" si="8"/>
        <v>275259.74</v>
      </c>
      <c r="V14" s="10">
        <f t="shared" si="8"/>
        <v>183671.34000000014</v>
      </c>
      <c r="W14" s="10">
        <f t="shared" si="8"/>
        <v>56585.629999999954</v>
      </c>
      <c r="X14" s="10">
        <f t="shared" si="8"/>
        <v>882421.75000000081</v>
      </c>
      <c r="Y14" s="5"/>
      <c r="Z14" s="5"/>
      <c r="AA14" s="5"/>
    </row>
    <row r="15" spans="1:27">
      <c r="A15" s="15"/>
      <c r="B15" s="3"/>
      <c r="C15" s="3"/>
      <c r="D15" s="3"/>
      <c r="E15" s="3"/>
      <c r="F15" s="3"/>
      <c r="G15" s="3"/>
      <c r="H15" s="3"/>
      <c r="I15" s="3"/>
      <c r="J15" s="3"/>
      <c r="K15" s="773" t="s">
        <v>6</v>
      </c>
      <c r="L15" s="768"/>
      <c r="M15" s="768"/>
      <c r="N15" s="768"/>
      <c r="O15" s="768"/>
      <c r="P15" s="768"/>
      <c r="Q15" s="768"/>
      <c r="R15" s="769" t="s">
        <v>7</v>
      </c>
      <c r="S15" s="770"/>
      <c r="T15" s="770"/>
      <c r="U15" s="770"/>
      <c r="V15" s="770"/>
      <c r="W15" s="770"/>
    </row>
    <row r="16" spans="1:27">
      <c r="A16" s="8" t="s">
        <v>14</v>
      </c>
      <c r="B16" s="8"/>
      <c r="C16" s="8"/>
      <c r="D16" s="8"/>
      <c r="E16" s="8"/>
      <c r="F16" s="8"/>
      <c r="G16" s="8"/>
      <c r="H16" s="8"/>
      <c r="I16" s="8"/>
      <c r="J16" s="8"/>
      <c r="K16" s="9">
        <v>44287</v>
      </c>
      <c r="L16" s="9">
        <v>44317</v>
      </c>
      <c r="M16" s="9">
        <v>44348</v>
      </c>
      <c r="N16" s="9">
        <v>44378</v>
      </c>
      <c r="O16" s="9">
        <v>44409</v>
      </c>
      <c r="P16" s="9">
        <v>44440</v>
      </c>
      <c r="Q16" s="9">
        <v>44470</v>
      </c>
      <c r="R16" s="9">
        <v>44562</v>
      </c>
      <c r="S16" s="9">
        <v>44593</v>
      </c>
      <c r="T16" s="9">
        <v>44621</v>
      </c>
      <c r="U16" s="9">
        <v>44652</v>
      </c>
      <c r="V16" s="9">
        <v>44682</v>
      </c>
      <c r="W16" s="9">
        <v>44713</v>
      </c>
    </row>
    <row r="17" spans="1:24">
      <c r="A17" s="2" t="s">
        <v>4</v>
      </c>
      <c r="B17" s="2"/>
      <c r="C17" s="2"/>
      <c r="D17" s="2"/>
      <c r="E17" s="2"/>
      <c r="F17" s="2"/>
      <c r="G17" s="2"/>
      <c r="H17" s="2"/>
      <c r="I17" s="2"/>
      <c r="J17" s="2"/>
      <c r="K17" s="6">
        <v>146.30000000000001</v>
      </c>
      <c r="L17" s="6">
        <v>150.1</v>
      </c>
      <c r="M17" s="6">
        <v>153.30000000000001</v>
      </c>
      <c r="N17" s="6">
        <v>155.6</v>
      </c>
      <c r="O17" s="6">
        <v>157.19999999999999</v>
      </c>
      <c r="P17" s="6">
        <v>158.30000000000001</v>
      </c>
      <c r="Q17" s="6">
        <v>161.19999999999999</v>
      </c>
      <c r="R17" s="6">
        <v>164.3</v>
      </c>
      <c r="S17" s="6">
        <v>168.5</v>
      </c>
      <c r="T17" s="6">
        <v>176</v>
      </c>
      <c r="U17" s="6">
        <f t="shared" ref="U17:W17" si="9">T17+2.3</f>
        <v>178.3</v>
      </c>
      <c r="V17" s="6">
        <f t="shared" si="9"/>
        <v>180.60000000000002</v>
      </c>
      <c r="W17" s="6">
        <f t="shared" si="9"/>
        <v>182.90000000000003</v>
      </c>
      <c r="X17" s="5"/>
    </row>
    <row r="18" spans="1:24">
      <c r="A18" s="2" t="s">
        <v>5</v>
      </c>
      <c r="B18" s="2"/>
      <c r="C18" s="2"/>
      <c r="D18" s="2"/>
      <c r="E18" s="2"/>
      <c r="F18" s="2"/>
      <c r="G18" s="2"/>
      <c r="H18" s="2"/>
      <c r="I18" s="2"/>
      <c r="J18" s="2"/>
      <c r="K18" s="5">
        <v>1.07653</v>
      </c>
      <c r="L18" s="5">
        <v>1.10449</v>
      </c>
      <c r="M18" s="5">
        <v>1.1280399999999999</v>
      </c>
      <c r="N18" s="5">
        <v>1.14496</v>
      </c>
      <c r="O18" s="5">
        <v>1.15673</v>
      </c>
      <c r="P18" s="5">
        <v>1.16483</v>
      </c>
      <c r="Q18" s="5">
        <f>ROUND(Q17/B5,5)</f>
        <v>1.1861699999999999</v>
      </c>
      <c r="R18" s="5">
        <f>ROUND((R17/$K$5),5)</f>
        <v>1.2089799999999999</v>
      </c>
      <c r="S18" s="5">
        <f t="shared" ref="S18:V18" si="10">ROUND((S17/$K$5),5)</f>
        <v>1.2398800000000001</v>
      </c>
      <c r="T18" s="5">
        <f t="shared" si="10"/>
        <v>1.2950699999999999</v>
      </c>
      <c r="U18" s="5">
        <f t="shared" si="10"/>
        <v>1.31199</v>
      </c>
      <c r="V18" s="5">
        <f t="shared" si="10"/>
        <v>1.3289200000000001</v>
      </c>
      <c r="W18" s="5">
        <f>ROUND((W17/$K$5),5)</f>
        <v>1.3458399999999999</v>
      </c>
      <c r="X18" s="5"/>
    </row>
    <row r="19" spans="1:24">
      <c r="A19" s="11" t="s">
        <v>15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6">
        <f>L17-K17</f>
        <v>3.7999999999999829</v>
      </c>
      <c r="M19" s="5">
        <f t="shared" ref="M19:P19" si="11">M17-L17</f>
        <v>3.2000000000000171</v>
      </c>
      <c r="N19" s="5">
        <f t="shared" si="11"/>
        <v>2.2999999999999829</v>
      </c>
      <c r="O19" s="5">
        <f t="shared" si="11"/>
        <v>1.5999999999999943</v>
      </c>
      <c r="P19" s="5">
        <f t="shared" si="11"/>
        <v>1.1000000000000227</v>
      </c>
      <c r="Q19" s="6">
        <f>Q17-P17</f>
        <v>2.8999999999999773</v>
      </c>
      <c r="R19" s="6">
        <f>R17-Q17</f>
        <v>3.1000000000000227</v>
      </c>
      <c r="S19" s="6">
        <f t="shared" ref="S19:W20" si="12">S17-R17</f>
        <v>4.1999999999999886</v>
      </c>
      <c r="T19" s="6">
        <f>T17-S17</f>
        <v>7.5</v>
      </c>
      <c r="U19" s="6">
        <f t="shared" si="12"/>
        <v>2.3000000000000114</v>
      </c>
      <c r="V19" s="6">
        <f t="shared" si="12"/>
        <v>2.3000000000000114</v>
      </c>
      <c r="W19" s="6">
        <f t="shared" si="12"/>
        <v>2.3000000000000114</v>
      </c>
      <c r="X19" s="6">
        <f>SUM(L19:W19)</f>
        <v>36.600000000000023</v>
      </c>
    </row>
    <row r="20" spans="1:24">
      <c r="A20" s="11" t="s">
        <v>16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>
        <f>L18-K18</f>
        <v>2.7959999999999985E-2</v>
      </c>
      <c r="M20" s="5">
        <f>M18-L18</f>
        <v>2.354999999999996E-2</v>
      </c>
      <c r="N20" s="5">
        <f>N18-M18</f>
        <v>1.6920000000000046E-2</v>
      </c>
      <c r="O20" s="5">
        <f>O18-N18</f>
        <v>1.1770000000000058E-2</v>
      </c>
      <c r="P20" s="5">
        <f>P18-O18</f>
        <v>8.0999999999999961E-3</v>
      </c>
      <c r="Q20" s="5">
        <f>Q18-P18</f>
        <v>2.1339999999999915E-2</v>
      </c>
      <c r="R20" s="5">
        <f>R18-Q18</f>
        <v>2.2809999999999997E-2</v>
      </c>
      <c r="S20" s="5">
        <f t="shared" si="12"/>
        <v>3.090000000000015E-2</v>
      </c>
      <c r="T20" s="5">
        <f t="shared" si="12"/>
        <v>5.518999999999985E-2</v>
      </c>
      <c r="U20" s="5">
        <f t="shared" si="12"/>
        <v>1.6920000000000046E-2</v>
      </c>
      <c r="V20" s="5">
        <f t="shared" si="12"/>
        <v>1.6930000000000112E-2</v>
      </c>
      <c r="W20" s="5">
        <f t="shared" si="12"/>
        <v>1.6919999999999824E-2</v>
      </c>
      <c r="X20" s="5">
        <f>SUM(L20:W20)</f>
        <v>0.26930999999999994</v>
      </c>
    </row>
    <row r="21" spans="1:24" ht="15" thickBot="1"/>
    <row r="22" spans="1:24" ht="15" thickBot="1">
      <c r="A22" s="708" t="s">
        <v>170</v>
      </c>
      <c r="B22" s="709"/>
      <c r="C22" s="324" t="s">
        <v>167</v>
      </c>
      <c r="D22" s="332" t="s">
        <v>168</v>
      </c>
      <c r="E22" s="325" t="s">
        <v>169</v>
      </c>
      <c r="K22">
        <f>K17/K5</f>
        <v>1.0765268579838116</v>
      </c>
      <c r="Q22" s="308">
        <f>Q9-Q2</f>
        <v>10368.089999999997</v>
      </c>
    </row>
    <row r="23" spans="1:24" ht="15" thickBot="1">
      <c r="A23" s="314" t="s">
        <v>166</v>
      </c>
      <c r="B23" s="315"/>
      <c r="C23" s="317">
        <f>Q12+R9+S9</f>
        <v>1585987.6</v>
      </c>
      <c r="D23" s="326">
        <f>ROUND(C23*0.19,2)</f>
        <v>301337.64</v>
      </c>
      <c r="E23" s="316">
        <f>C23+D23</f>
        <v>1887325.2400000002</v>
      </c>
      <c r="Q23" s="307">
        <f>Q10-Q3</f>
        <v>10368.090000000084</v>
      </c>
    </row>
    <row r="24" spans="1:24" ht="15" thickBot="1">
      <c r="A24" s="314" t="s">
        <v>171</v>
      </c>
      <c r="B24" s="315"/>
      <c r="C24" s="331">
        <v>1118862.3999999999</v>
      </c>
      <c r="D24" s="317">
        <f>ROUND(C24*0.19,2)</f>
        <v>212583.86</v>
      </c>
      <c r="E24" s="316">
        <f>C24+D24</f>
        <v>1331446.2599999998</v>
      </c>
    </row>
    <row r="25" spans="1:24" ht="15" thickBot="1">
      <c r="A25" s="327" t="s">
        <v>11</v>
      </c>
      <c r="B25" s="321"/>
      <c r="C25" s="331">
        <f>SUM(C23:C24)</f>
        <v>2704850</v>
      </c>
      <c r="D25" s="331">
        <f t="shared" ref="D25:E25" si="13">SUM(D23:D24)</f>
        <v>513921.5</v>
      </c>
      <c r="E25" s="317">
        <f t="shared" si="13"/>
        <v>3218771.5</v>
      </c>
      <c r="F25" s="306" t="s">
        <v>174</v>
      </c>
    </row>
    <row r="26" spans="1:24" ht="15" thickBot="1"/>
    <row r="27" spans="1:24" ht="15" thickBot="1">
      <c r="A27" s="708" t="s">
        <v>170</v>
      </c>
      <c r="B27" s="709"/>
      <c r="C27" s="324" t="s">
        <v>167</v>
      </c>
      <c r="D27" s="332" t="s">
        <v>168</v>
      </c>
      <c r="E27" s="325" t="s">
        <v>169</v>
      </c>
    </row>
    <row r="28" spans="1:24" ht="15" thickBot="1">
      <c r="A28" s="314" t="s">
        <v>166</v>
      </c>
      <c r="B28" s="315"/>
      <c r="C28" s="331">
        <v>1585987.6</v>
      </c>
      <c r="D28" s="317">
        <v>301337.64</v>
      </c>
      <c r="E28" s="316">
        <v>1887325.2400000002</v>
      </c>
    </row>
    <row r="29" spans="1:24" ht="15" thickBot="1">
      <c r="A29" s="314" t="s">
        <v>171</v>
      </c>
      <c r="B29" s="315"/>
      <c r="C29" s="331">
        <v>1118862.3999999999</v>
      </c>
      <c r="D29" s="317">
        <f>ROUND(C29*0.19,2)</f>
        <v>212583.86</v>
      </c>
      <c r="E29" s="316">
        <f>C29+D29</f>
        <v>1331446.2599999998</v>
      </c>
    </row>
    <row r="30" spans="1:24" ht="15" thickBot="1">
      <c r="A30" s="314" t="s">
        <v>172</v>
      </c>
      <c r="B30" s="315"/>
      <c r="C30" s="331">
        <v>431421.68</v>
      </c>
      <c r="D30" s="317">
        <f>ROUND(C30*0.19,2)</f>
        <v>81970.12</v>
      </c>
      <c r="E30" s="316">
        <f>C30+D30</f>
        <v>513391.8</v>
      </c>
    </row>
    <row r="31" spans="1:24" ht="15" thickBot="1">
      <c r="A31" s="314" t="s">
        <v>173</v>
      </c>
      <c r="B31" s="321"/>
      <c r="C31" s="329">
        <v>489636.47</v>
      </c>
      <c r="D31" s="317">
        <f>ROUND(C31*0.19,2)</f>
        <v>93030.93</v>
      </c>
      <c r="E31" s="316">
        <f>C31+D31</f>
        <v>582667.39999999991</v>
      </c>
    </row>
    <row r="32" spans="1:24" ht="15" thickBot="1">
      <c r="A32" s="327" t="s">
        <v>11</v>
      </c>
      <c r="B32" s="321"/>
      <c r="C32" s="329">
        <f>C28+C29-C30-C31</f>
        <v>1783791.8499999999</v>
      </c>
      <c r="D32" s="329">
        <f t="shared" ref="D32:E32" si="14">D28+D29-D30-D31</f>
        <v>338920.45</v>
      </c>
      <c r="E32" s="329">
        <f t="shared" si="14"/>
        <v>2122712.3000000003</v>
      </c>
      <c r="F32" s="306" t="s">
        <v>174</v>
      </c>
    </row>
    <row r="33" spans="1:7" ht="15" thickBot="1"/>
    <row r="34" spans="1:7" ht="30.6" customHeight="1" thickBot="1">
      <c r="A34" s="774" t="s">
        <v>175</v>
      </c>
      <c r="B34" s="775"/>
      <c r="C34" s="334">
        <v>258262.18</v>
      </c>
      <c r="D34" s="334">
        <f>ROUND(C34*0.19,2)</f>
        <v>49069.81</v>
      </c>
      <c r="E34" s="335">
        <f>C34+D34</f>
        <v>307331.99</v>
      </c>
    </row>
    <row r="35" spans="1:7" ht="15" thickBot="1"/>
    <row r="36" spans="1:7" ht="29.4" thickBot="1">
      <c r="A36" s="342" t="s">
        <v>182</v>
      </c>
      <c r="B36" s="315"/>
      <c r="C36" s="343">
        <v>70387539.599999994</v>
      </c>
      <c r="D36" s="334">
        <f>ROUND(C36*0.19,2)</f>
        <v>13373632.52</v>
      </c>
      <c r="E36" s="335">
        <f>C36+D36</f>
        <v>83761172.11999999</v>
      </c>
    </row>
    <row r="37" spans="1:7" ht="15" thickBot="1">
      <c r="A37" s="342" t="s">
        <v>186</v>
      </c>
      <c r="B37" s="315"/>
      <c r="C37" s="343">
        <v>65262378.119999997</v>
      </c>
      <c r="D37" s="334">
        <f t="shared" ref="D37:D53" si="15">ROUND(C37*0.19,2)</f>
        <v>12399851.84</v>
      </c>
      <c r="E37" s="335">
        <f t="shared" ref="E37" si="16">C37+D37</f>
        <v>77662229.959999993</v>
      </c>
    </row>
    <row r="38" spans="1:7" ht="15" thickBot="1">
      <c r="A38" s="336" t="s">
        <v>184</v>
      </c>
      <c r="B38" s="321"/>
      <c r="C38" s="343">
        <f>C36-C37</f>
        <v>5125161.4799999967</v>
      </c>
      <c r="D38" s="334">
        <f t="shared" si="15"/>
        <v>973780.68</v>
      </c>
      <c r="E38" s="334">
        <f>C38+D38</f>
        <v>6098942.1599999964</v>
      </c>
      <c r="G38" s="3"/>
    </row>
    <row r="39" spans="1:7" ht="15" thickBot="1">
      <c r="A39" s="366" t="s">
        <v>183</v>
      </c>
      <c r="B39" s="367"/>
      <c r="C39" s="349">
        <v>2467841.2200000002</v>
      </c>
      <c r="D39" s="354">
        <f t="shared" si="15"/>
        <v>468889.83</v>
      </c>
      <c r="E39" s="355">
        <f t="shared" ref="E39" si="17">C39+D39</f>
        <v>2936731.0500000003</v>
      </c>
    </row>
    <row r="40" spans="1:7" ht="15" thickBot="1">
      <c r="A40" s="358" t="s">
        <v>185</v>
      </c>
      <c r="B40" s="359"/>
      <c r="C40" s="351">
        <f>C38-C39</f>
        <v>2657320.2599999965</v>
      </c>
      <c r="D40" s="352">
        <f t="shared" si="15"/>
        <v>504890.85</v>
      </c>
      <c r="E40" s="353">
        <f t="shared" ref="E40:E41" si="18">C40+D40</f>
        <v>3162211.1099999966</v>
      </c>
    </row>
    <row r="41" spans="1:7" ht="15" thickBot="1">
      <c r="A41" s="356" t="s">
        <v>192</v>
      </c>
      <c r="B41" s="357"/>
      <c r="C41" s="351">
        <f>536048.7-37615.63+1892180.61+347488.1+27465.05-258262.18</f>
        <v>2507304.65</v>
      </c>
      <c r="D41" s="352">
        <f t="shared" si="15"/>
        <v>476387.88</v>
      </c>
      <c r="E41" s="353">
        <f t="shared" si="18"/>
        <v>2983692.53</v>
      </c>
      <c r="F41" s="306" t="s">
        <v>174</v>
      </c>
    </row>
    <row r="42" spans="1:7" ht="15" thickBot="1">
      <c r="A42" s="356" t="s">
        <v>190</v>
      </c>
      <c r="B42" s="357"/>
      <c r="C42" s="351">
        <f>C38-C45</f>
        <v>2159816.549999997</v>
      </c>
      <c r="D42" s="352">
        <f t="shared" si="15"/>
        <v>410365.14</v>
      </c>
      <c r="E42" s="353">
        <f t="shared" ref="E42:E45" si="19">C42+D42</f>
        <v>2570181.6899999972</v>
      </c>
      <c r="F42" s="306" t="s">
        <v>174</v>
      </c>
    </row>
    <row r="43" spans="1:7" ht="15" thickBot="1">
      <c r="A43" s="356" t="s">
        <v>191</v>
      </c>
      <c r="B43" s="357"/>
      <c r="C43" s="351">
        <f>C41-C42</f>
        <v>347488.10000000289</v>
      </c>
      <c r="D43" s="352">
        <f t="shared" si="15"/>
        <v>66022.740000000005</v>
      </c>
      <c r="E43" s="353">
        <f t="shared" ref="E43" si="20">C43+D43</f>
        <v>413510.84000000288</v>
      </c>
      <c r="F43" s="306" t="s">
        <v>174</v>
      </c>
    </row>
    <row r="44" spans="1:7" ht="15" thickBot="1">
      <c r="A44" s="356" t="s">
        <v>193</v>
      </c>
      <c r="B44" s="357"/>
      <c r="C44" s="351">
        <f>C40-C41</f>
        <v>150015.60999999661</v>
      </c>
      <c r="D44" s="352">
        <f t="shared" si="15"/>
        <v>28502.97</v>
      </c>
      <c r="E44" s="353">
        <f t="shared" ref="E44" si="21">C44+D44</f>
        <v>178518.57999999661</v>
      </c>
      <c r="F44" s="337"/>
    </row>
    <row r="45" spans="1:7" ht="15" thickBot="1">
      <c r="A45" s="314" t="s">
        <v>179</v>
      </c>
      <c r="B45" s="323"/>
      <c r="C45" s="343">
        <v>2965344.9299999997</v>
      </c>
      <c r="D45" s="334">
        <f t="shared" si="15"/>
        <v>563415.54</v>
      </c>
      <c r="E45" s="335">
        <f t="shared" si="19"/>
        <v>3528760.4699999997</v>
      </c>
    </row>
    <row r="46" spans="1:7" ht="15" thickBot="1">
      <c r="A46" s="363" t="s">
        <v>176</v>
      </c>
      <c r="B46" s="365"/>
      <c r="C46" s="349">
        <v>2467841.2200000002</v>
      </c>
      <c r="D46" s="354">
        <f t="shared" si="15"/>
        <v>468889.83</v>
      </c>
      <c r="E46" s="355">
        <f t="shared" ref="E46" si="22">C46+D46</f>
        <v>2936731.0500000003</v>
      </c>
    </row>
    <row r="47" spans="1:7" ht="15" thickBot="1">
      <c r="A47" s="358" t="s">
        <v>177</v>
      </c>
      <c r="B47" s="360"/>
      <c r="C47" s="350">
        <f>C45-C46</f>
        <v>497503.7099999995</v>
      </c>
      <c r="D47" s="352">
        <f t="shared" si="15"/>
        <v>94525.7</v>
      </c>
      <c r="E47" s="353">
        <f t="shared" ref="E47" si="23">C47+D47</f>
        <v>592029.40999999945</v>
      </c>
      <c r="G47" s="3">
        <f>C42+C47</f>
        <v>2657320.2599999965</v>
      </c>
    </row>
    <row r="48" spans="1:7" ht="31.95" customHeight="1" thickBot="1">
      <c r="A48" s="716" t="s">
        <v>178</v>
      </c>
      <c r="B48" s="717"/>
      <c r="C48" s="340">
        <v>72196423.294117644</v>
      </c>
      <c r="D48" s="339">
        <f t="shared" si="15"/>
        <v>13717320.43</v>
      </c>
      <c r="E48" s="338">
        <f t="shared" ref="E48:E51" si="24">C48+D48</f>
        <v>85913743.724117637</v>
      </c>
      <c r="G48" s="3">
        <f>G47-C53</f>
        <v>-212295.52000000328</v>
      </c>
    </row>
    <row r="49" spans="1:8" ht="28.95" customHeight="1" thickBot="1">
      <c r="A49" s="716" t="s">
        <v>180</v>
      </c>
      <c r="B49" s="717"/>
      <c r="C49" s="340">
        <v>69326807.510000005</v>
      </c>
      <c r="D49" s="334">
        <f t="shared" si="15"/>
        <v>13172093.43</v>
      </c>
      <c r="E49" s="335">
        <f t="shared" si="24"/>
        <v>82498900.939999998</v>
      </c>
      <c r="F49" s="3"/>
      <c r="G49" s="3">
        <f>C34+G48</f>
        <v>45966.659999996715</v>
      </c>
      <c r="H49" s="3"/>
    </row>
    <row r="50" spans="1:8" ht="28.95" customHeight="1" thickBot="1">
      <c r="A50" s="718" t="s">
        <v>181</v>
      </c>
      <c r="B50" s="719"/>
      <c r="C50" s="341">
        <v>2869615.78</v>
      </c>
      <c r="D50" s="334">
        <f t="shared" si="15"/>
        <v>545227</v>
      </c>
      <c r="E50" s="335">
        <f t="shared" si="24"/>
        <v>3414842.78</v>
      </c>
      <c r="H50" s="3"/>
    </row>
    <row r="51" spans="1:8" ht="15" thickBot="1">
      <c r="A51" s="344" t="s">
        <v>187</v>
      </c>
      <c r="B51" s="345"/>
      <c r="C51" s="347">
        <v>5337457</v>
      </c>
      <c r="D51" s="334">
        <f t="shared" si="15"/>
        <v>1014116.83</v>
      </c>
      <c r="E51" s="335">
        <f t="shared" si="24"/>
        <v>6351573.8300000001</v>
      </c>
    </row>
    <row r="52" spans="1:8" ht="15" thickBot="1">
      <c r="A52" s="363" t="s">
        <v>188</v>
      </c>
      <c r="B52" s="364"/>
      <c r="C52" s="349">
        <v>2467841.2200000002</v>
      </c>
      <c r="D52" s="354">
        <f t="shared" si="15"/>
        <v>468889.83</v>
      </c>
      <c r="E52" s="355">
        <f t="shared" ref="E52" si="25">C52+D52</f>
        <v>2936731.0500000003</v>
      </c>
    </row>
    <row r="53" spans="1:8" ht="15" thickBot="1">
      <c r="A53" s="358" t="s">
        <v>189</v>
      </c>
      <c r="B53" s="361"/>
      <c r="C53" s="348">
        <f>C51-C52</f>
        <v>2869615.78</v>
      </c>
      <c r="D53" s="352">
        <f t="shared" si="15"/>
        <v>545227</v>
      </c>
      <c r="E53" s="353">
        <f t="shared" ref="E53" si="26">C53+D53</f>
        <v>3414842.78</v>
      </c>
    </row>
    <row r="54" spans="1:8">
      <c r="C54" s="3"/>
    </row>
    <row r="55" spans="1:8">
      <c r="C55" s="3"/>
    </row>
    <row r="56" spans="1:8">
      <c r="C56" s="3"/>
    </row>
  </sheetData>
  <mergeCells count="8">
    <mergeCell ref="A50:B50"/>
    <mergeCell ref="A49:B49"/>
    <mergeCell ref="K15:Q15"/>
    <mergeCell ref="R15:W15"/>
    <mergeCell ref="A22:B22"/>
    <mergeCell ref="A27:B27"/>
    <mergeCell ref="A34:B34"/>
    <mergeCell ref="A48:B48"/>
  </mergeCells>
  <printOptions horizontalCentered="1" verticalCentered="1"/>
  <pageMargins left="0.19685039370078741" right="0.19685039370078741" top="0.39370078740157483" bottom="0.39370078740157483" header="0.31496062992125984" footer="0.31496062992125984"/>
  <pageSetup paperSize="8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AA22"/>
  <sheetViews>
    <sheetView zoomScale="110" zoomScaleNormal="110" workbookViewId="0">
      <selection activeCell="B24" sqref="B24"/>
    </sheetView>
  </sheetViews>
  <sheetFormatPr defaultRowHeight="14.4"/>
  <cols>
    <col min="1" max="1" width="30.6640625" customWidth="1"/>
    <col min="2" max="2" width="10.44140625" customWidth="1"/>
    <col min="3" max="3" width="11.5546875" customWidth="1"/>
    <col min="4" max="10" width="12.5546875" customWidth="1"/>
    <col min="11" max="11" width="12" customWidth="1"/>
    <col min="12" max="15" width="11.5546875" bestFit="1" customWidth="1"/>
    <col min="16" max="16" width="12.5546875" bestFit="1" customWidth="1"/>
    <col min="17" max="17" width="12.5546875" customWidth="1"/>
    <col min="18" max="18" width="12.5546875" bestFit="1" customWidth="1"/>
    <col min="19" max="19" width="13.88671875" customWidth="1"/>
    <col min="20" max="20" width="13.6640625" customWidth="1"/>
    <col min="21" max="22" width="11.5546875" bestFit="1" customWidth="1"/>
    <col min="23" max="23" width="12.109375" customWidth="1"/>
    <col min="24" max="24" width="14.33203125" customWidth="1"/>
    <col min="25" max="26" width="12.5546875" bestFit="1" customWidth="1"/>
    <col min="27" max="27" width="12.88671875" customWidth="1"/>
  </cols>
  <sheetData>
    <row r="2" spans="1:27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27">
      <c r="X3">
        <v>77604886.097612754</v>
      </c>
    </row>
    <row r="4" spans="1:27">
      <c r="A4" t="s">
        <v>1</v>
      </c>
      <c r="X4" s="3"/>
    </row>
    <row r="5" spans="1:27">
      <c r="A5" s="1" t="s">
        <v>8</v>
      </c>
      <c r="B5" s="1">
        <v>135.9</v>
      </c>
      <c r="C5" s="1"/>
      <c r="D5" s="1"/>
      <c r="E5" s="1"/>
      <c r="F5" s="1"/>
      <c r="G5" s="1"/>
      <c r="H5" s="1"/>
      <c r="I5" s="1"/>
      <c r="J5" s="1"/>
      <c r="K5" s="2">
        <v>135.9</v>
      </c>
      <c r="Q5" s="3"/>
      <c r="R5" s="3"/>
      <c r="S5" s="3"/>
      <c r="T5" s="3"/>
      <c r="U5" s="3"/>
      <c r="V5" s="3"/>
      <c r="W5" s="3"/>
      <c r="X5" s="3">
        <f>X10-X3</f>
        <v>384398.46238723397</v>
      </c>
    </row>
    <row r="6" spans="1:27">
      <c r="A6" t="s">
        <v>2</v>
      </c>
      <c r="B6">
        <v>1</v>
      </c>
      <c r="C6">
        <f t="shared" ref="C6:W6" si="0">B6+1</f>
        <v>2</v>
      </c>
      <c r="D6">
        <f t="shared" si="0"/>
        <v>3</v>
      </c>
      <c r="E6">
        <f t="shared" si="0"/>
        <v>4</v>
      </c>
      <c r="F6">
        <f t="shared" si="0"/>
        <v>5</v>
      </c>
      <c r="G6">
        <f t="shared" si="0"/>
        <v>6</v>
      </c>
      <c r="H6">
        <f t="shared" si="0"/>
        <v>7</v>
      </c>
      <c r="I6">
        <f t="shared" si="0"/>
        <v>8</v>
      </c>
      <c r="J6">
        <f t="shared" si="0"/>
        <v>9</v>
      </c>
      <c r="K6">
        <f t="shared" si="0"/>
        <v>10</v>
      </c>
      <c r="L6">
        <f t="shared" si="0"/>
        <v>11</v>
      </c>
      <c r="M6">
        <f t="shared" si="0"/>
        <v>12</v>
      </c>
      <c r="N6">
        <f t="shared" si="0"/>
        <v>13</v>
      </c>
      <c r="O6">
        <f t="shared" si="0"/>
        <v>14</v>
      </c>
      <c r="P6">
        <f t="shared" si="0"/>
        <v>15</v>
      </c>
      <c r="Q6">
        <f t="shared" si="0"/>
        <v>16</v>
      </c>
      <c r="R6">
        <f t="shared" si="0"/>
        <v>17</v>
      </c>
      <c r="S6">
        <f t="shared" si="0"/>
        <v>18</v>
      </c>
      <c r="T6">
        <f t="shared" si="0"/>
        <v>19</v>
      </c>
      <c r="U6">
        <f t="shared" si="0"/>
        <v>20</v>
      </c>
      <c r="V6">
        <f t="shared" si="0"/>
        <v>21</v>
      </c>
      <c r="W6">
        <f t="shared" si="0"/>
        <v>22</v>
      </c>
      <c r="X6" s="3"/>
    </row>
    <row r="7" spans="1:27" s="1" customFormat="1">
      <c r="A7" s="1" t="s">
        <v>14</v>
      </c>
      <c r="B7" s="7">
        <v>43983</v>
      </c>
      <c r="C7" s="7">
        <v>44013</v>
      </c>
      <c r="D7" s="7">
        <v>44044</v>
      </c>
      <c r="E7" s="7">
        <v>44075</v>
      </c>
      <c r="F7" s="7">
        <v>44105</v>
      </c>
      <c r="G7" s="7">
        <v>44136</v>
      </c>
      <c r="H7" s="7">
        <v>44166</v>
      </c>
      <c r="I7" s="7">
        <v>44287</v>
      </c>
      <c r="J7" s="7">
        <v>44317</v>
      </c>
      <c r="K7" s="7">
        <v>44348</v>
      </c>
      <c r="L7" s="7">
        <v>44378</v>
      </c>
      <c r="M7" s="7">
        <v>44409</v>
      </c>
      <c r="N7" s="7">
        <v>44440</v>
      </c>
      <c r="O7" s="7">
        <v>44470</v>
      </c>
      <c r="P7" s="7">
        <v>44501</v>
      </c>
      <c r="Q7" s="7">
        <v>44531</v>
      </c>
      <c r="R7" s="7">
        <v>44652</v>
      </c>
      <c r="S7" s="7">
        <v>44682</v>
      </c>
      <c r="T7" s="7">
        <v>44713</v>
      </c>
      <c r="U7" s="7">
        <v>44743</v>
      </c>
      <c r="V7" s="7">
        <v>44774</v>
      </c>
      <c r="W7" s="7">
        <v>44805</v>
      </c>
      <c r="X7" s="4" t="s">
        <v>11</v>
      </c>
    </row>
    <row r="8" spans="1:27">
      <c r="A8" s="5" t="s">
        <v>3</v>
      </c>
      <c r="B8" s="6">
        <v>316505.05</v>
      </c>
      <c r="C8" s="6">
        <v>1592445.57</v>
      </c>
      <c r="D8" s="6">
        <v>725240.56</v>
      </c>
      <c r="E8" s="6">
        <v>2006611.43</v>
      </c>
      <c r="F8" s="6">
        <v>4307535.6100000003</v>
      </c>
      <c r="G8" s="6">
        <v>1724521.75</v>
      </c>
      <c r="H8" s="6">
        <v>1370368.17</v>
      </c>
      <c r="I8" s="6">
        <v>1008769</v>
      </c>
      <c r="J8" s="6">
        <v>3191783.3</v>
      </c>
      <c r="K8" s="6">
        <v>4540547.53</v>
      </c>
      <c r="L8" s="6">
        <v>4216146.2300000004</v>
      </c>
      <c r="M8" s="6">
        <v>6464991.5</v>
      </c>
      <c r="N8" s="6">
        <v>2363545.4900000002</v>
      </c>
      <c r="O8" s="6">
        <v>3142377.4</v>
      </c>
      <c r="P8" s="6">
        <v>1592662.85</v>
      </c>
      <c r="Q8" s="6">
        <v>1408708.77</v>
      </c>
      <c r="R8" s="6">
        <v>5447445.4000000004</v>
      </c>
      <c r="S8" s="6">
        <v>8585634.8399999999</v>
      </c>
      <c r="T8" s="6">
        <v>8045911.6100000003</v>
      </c>
      <c r="U8" s="6">
        <v>2439102.29</v>
      </c>
      <c r="V8" s="6">
        <v>1946765.15</v>
      </c>
      <c r="W8" s="6">
        <v>1242837.33</v>
      </c>
      <c r="X8" s="10">
        <f>SUM(B8:W8)</f>
        <v>67680456.829999998</v>
      </c>
      <c r="Y8" s="12">
        <v>65262378.119999997</v>
      </c>
      <c r="Z8" s="6">
        <f>X10-Y8</f>
        <v>12726906.43999999</v>
      </c>
      <c r="AA8" s="5"/>
    </row>
    <row r="9" spans="1:27">
      <c r="A9" s="5" t="s">
        <v>9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f t="shared" ref="K9:W9" si="1">ROUND((K18-1)*K8,2)</f>
        <v>347488.1</v>
      </c>
      <c r="L9" s="6">
        <f t="shared" si="1"/>
        <v>440545.12</v>
      </c>
      <c r="M9" s="6">
        <f t="shared" si="1"/>
        <v>827777.51</v>
      </c>
      <c r="N9" s="6">
        <f t="shared" si="1"/>
        <v>342619.55</v>
      </c>
      <c r="O9" s="6">
        <f t="shared" si="1"/>
        <v>492504.81</v>
      </c>
      <c r="P9" s="6">
        <f t="shared" si="1"/>
        <v>262518.62</v>
      </c>
      <c r="Q9" s="6">
        <f t="shared" si="1"/>
        <v>251891.22</v>
      </c>
      <c r="R9" s="6">
        <f>ROUND((R18-1)*R8,2)</f>
        <v>1290717.71</v>
      </c>
      <c r="S9" s="6">
        <f t="shared" si="1"/>
        <v>2179549.2599999998</v>
      </c>
      <c r="T9" s="6">
        <f t="shared" si="1"/>
        <v>2178752.4</v>
      </c>
      <c r="U9" s="6">
        <f t="shared" si="1"/>
        <v>701754.12</v>
      </c>
      <c r="V9" s="6">
        <f t="shared" si="1"/>
        <v>593062.54</v>
      </c>
      <c r="W9" s="6">
        <f t="shared" si="1"/>
        <v>399646.77</v>
      </c>
      <c r="X9" s="10">
        <f t="shared" ref="X9:X12" si="2">SUM(B9:W9)</f>
        <v>10308827.73</v>
      </c>
      <c r="Y9" s="6">
        <f>SUM(K9:Q9)</f>
        <v>2965344.93</v>
      </c>
      <c r="Z9" s="6">
        <f>SUM(R9:W9)</f>
        <v>7343482.7999999989</v>
      </c>
      <c r="AA9" s="6">
        <f>Y9+Z9</f>
        <v>10308827.729999999</v>
      </c>
    </row>
    <row r="10" spans="1:27">
      <c r="A10" s="5" t="s">
        <v>10</v>
      </c>
      <c r="B10" s="6">
        <f>B8+B9</f>
        <v>316505.05</v>
      </c>
      <c r="C10" s="6">
        <f t="shared" ref="C10:J10" si="3">C8+C9</f>
        <v>1592445.57</v>
      </c>
      <c r="D10" s="6">
        <f t="shared" si="3"/>
        <v>725240.56</v>
      </c>
      <c r="E10" s="6">
        <f t="shared" si="3"/>
        <v>2006611.43</v>
      </c>
      <c r="F10" s="6">
        <f t="shared" si="3"/>
        <v>4307535.6100000003</v>
      </c>
      <c r="G10" s="6">
        <f t="shared" si="3"/>
        <v>1724521.75</v>
      </c>
      <c r="H10" s="6">
        <f t="shared" si="3"/>
        <v>1370368.17</v>
      </c>
      <c r="I10" s="6">
        <f t="shared" si="3"/>
        <v>1008769</v>
      </c>
      <c r="J10" s="6">
        <f t="shared" si="3"/>
        <v>3191783.3</v>
      </c>
      <c r="K10" s="6">
        <f t="shared" ref="K10:W10" si="4">ROUND(K8*K18,2)</f>
        <v>4888035.63</v>
      </c>
      <c r="L10" s="6">
        <f t="shared" si="4"/>
        <v>4656691.3499999996</v>
      </c>
      <c r="M10" s="6">
        <f t="shared" si="4"/>
        <v>7292769.0099999998</v>
      </c>
      <c r="N10" s="6">
        <f t="shared" si="4"/>
        <v>2706165.04</v>
      </c>
      <c r="O10" s="6">
        <f t="shared" si="4"/>
        <v>3634882.21</v>
      </c>
      <c r="P10" s="6">
        <f t="shared" si="4"/>
        <v>1855181.47</v>
      </c>
      <c r="Q10" s="6">
        <f t="shared" si="4"/>
        <v>1660599.99</v>
      </c>
      <c r="R10" s="6">
        <f t="shared" si="4"/>
        <v>6738163.1100000003</v>
      </c>
      <c r="S10" s="6">
        <f t="shared" si="4"/>
        <v>10765184.1</v>
      </c>
      <c r="T10" s="6">
        <f t="shared" si="4"/>
        <v>10224664.01</v>
      </c>
      <c r="U10" s="6">
        <f t="shared" si="4"/>
        <v>3140856.41</v>
      </c>
      <c r="V10" s="6">
        <f t="shared" si="4"/>
        <v>2539827.69</v>
      </c>
      <c r="W10" s="6">
        <f t="shared" si="4"/>
        <v>1642484.1</v>
      </c>
      <c r="X10" s="10">
        <f t="shared" si="2"/>
        <v>77989284.559999987</v>
      </c>
      <c r="Y10" s="13">
        <f>X10/Y8</f>
        <v>1.195011380317748</v>
      </c>
      <c r="Z10" s="14">
        <f>Z8/Y8</f>
        <v>0.19501138031774792</v>
      </c>
      <c r="AA10" s="5"/>
    </row>
    <row r="11" spans="1:27">
      <c r="A11" s="5" t="s">
        <v>12</v>
      </c>
      <c r="B11" s="6">
        <v>316505.05</v>
      </c>
      <c r="C11" s="6">
        <v>1592445.57</v>
      </c>
      <c r="D11" s="6">
        <v>725240.56</v>
      </c>
      <c r="E11" s="6">
        <v>2006611.43</v>
      </c>
      <c r="F11" s="6">
        <v>4307535.6100000003</v>
      </c>
      <c r="G11" s="6">
        <v>1724521.75</v>
      </c>
      <c r="H11" s="6">
        <v>1370368.17</v>
      </c>
      <c r="I11" s="6">
        <v>1008769</v>
      </c>
      <c r="J11" s="6">
        <v>3191783.3</v>
      </c>
      <c r="K11" s="6">
        <v>4888035.63</v>
      </c>
      <c r="L11" s="6">
        <v>4656691.3499999996</v>
      </c>
      <c r="M11" s="6">
        <v>7292769.0099999998</v>
      </c>
      <c r="N11" s="6">
        <v>2706165.04</v>
      </c>
      <c r="O11" s="6">
        <v>3634882.21</v>
      </c>
      <c r="P11" s="6">
        <v>1855181.47</v>
      </c>
      <c r="Q11" s="6">
        <v>1660599.99</v>
      </c>
      <c r="R11" s="6">
        <v>5447445.4000000004</v>
      </c>
      <c r="S11" s="6">
        <v>8585634.8399999999</v>
      </c>
      <c r="T11" s="6">
        <v>8045911.6100000003</v>
      </c>
      <c r="U11" s="6">
        <v>2439102.29</v>
      </c>
      <c r="V11" s="6">
        <v>1946765.15</v>
      </c>
      <c r="W11" s="6">
        <v>1242837.33</v>
      </c>
      <c r="X11" s="10">
        <f t="shared" si="2"/>
        <v>70645801.760000005</v>
      </c>
      <c r="Y11" s="6">
        <f>X8+Y9</f>
        <v>70645801.760000005</v>
      </c>
      <c r="Z11" s="5"/>
      <c r="AA11" s="5"/>
    </row>
    <row r="12" spans="1:27">
      <c r="A12" s="5" t="s">
        <v>13</v>
      </c>
      <c r="B12" s="6">
        <f t="shared" ref="B12:J12" si="5">B10-B11</f>
        <v>0</v>
      </c>
      <c r="C12" s="6">
        <f t="shared" si="5"/>
        <v>0</v>
      </c>
      <c r="D12" s="6">
        <f t="shared" si="5"/>
        <v>0</v>
      </c>
      <c r="E12" s="6">
        <f t="shared" si="5"/>
        <v>0</v>
      </c>
      <c r="F12" s="6">
        <f t="shared" si="5"/>
        <v>0</v>
      </c>
      <c r="G12" s="6">
        <f t="shared" si="5"/>
        <v>0</v>
      </c>
      <c r="H12" s="6">
        <f t="shared" si="5"/>
        <v>0</v>
      </c>
      <c r="I12" s="6">
        <f t="shared" si="5"/>
        <v>0</v>
      </c>
      <c r="J12" s="6">
        <f t="shared" si="5"/>
        <v>0</v>
      </c>
      <c r="K12" s="6">
        <f t="shared" ref="K12:W12" si="6">K10-K11</f>
        <v>0</v>
      </c>
      <c r="L12" s="6">
        <f t="shared" si="6"/>
        <v>0</v>
      </c>
      <c r="M12" s="6">
        <f t="shared" si="6"/>
        <v>0</v>
      </c>
      <c r="N12" s="6">
        <f t="shared" si="6"/>
        <v>0</v>
      </c>
      <c r="O12" s="6">
        <f t="shared" si="6"/>
        <v>0</v>
      </c>
      <c r="P12" s="6">
        <f t="shared" si="6"/>
        <v>0</v>
      </c>
      <c r="Q12" s="6">
        <f t="shared" si="6"/>
        <v>0</v>
      </c>
      <c r="R12" s="6">
        <f>R10-R11</f>
        <v>1290717.71</v>
      </c>
      <c r="S12" s="6">
        <f t="shared" si="6"/>
        <v>2179549.2599999998</v>
      </c>
      <c r="T12" s="6">
        <f t="shared" si="6"/>
        <v>2178752.3999999994</v>
      </c>
      <c r="U12" s="6">
        <f t="shared" si="6"/>
        <v>701754.12000000011</v>
      </c>
      <c r="V12" s="6">
        <f t="shared" si="6"/>
        <v>593062.54</v>
      </c>
      <c r="W12" s="6">
        <f t="shared" si="6"/>
        <v>399646.77</v>
      </c>
      <c r="X12" s="10">
        <f t="shared" si="2"/>
        <v>7343482.7999999989</v>
      </c>
      <c r="Y12" s="5"/>
      <c r="Z12" s="5"/>
      <c r="AA12" s="5"/>
    </row>
    <row r="13" spans="1:27">
      <c r="A13" s="16" t="s">
        <v>17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>
        <f>ROUND(R12*19%,2)</f>
        <v>245236.36</v>
      </c>
      <c r="S13" s="6">
        <f t="shared" ref="S13:X13" si="7">ROUND(S12*19%,2)</f>
        <v>414114.36</v>
      </c>
      <c r="T13" s="6">
        <f t="shared" si="7"/>
        <v>413962.96</v>
      </c>
      <c r="U13" s="6">
        <f t="shared" si="7"/>
        <v>133333.28</v>
      </c>
      <c r="V13" s="6">
        <f t="shared" si="7"/>
        <v>112681.88</v>
      </c>
      <c r="W13" s="6">
        <f t="shared" si="7"/>
        <v>75932.89</v>
      </c>
      <c r="X13" s="6">
        <f t="shared" si="7"/>
        <v>1395261.73</v>
      </c>
      <c r="Y13" s="5"/>
      <c r="Z13" s="5"/>
      <c r="AA13" s="5"/>
    </row>
    <row r="14" spans="1:27">
      <c r="A14" s="5" t="s">
        <v>18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10">
        <f>R12+R13</f>
        <v>1535954.0699999998</v>
      </c>
      <c r="S14" s="10">
        <f t="shared" ref="S14:X14" si="8">S12+S13</f>
        <v>2593663.6199999996</v>
      </c>
      <c r="T14" s="10">
        <f t="shared" si="8"/>
        <v>2592715.3599999994</v>
      </c>
      <c r="U14" s="10">
        <f t="shared" si="8"/>
        <v>835087.40000000014</v>
      </c>
      <c r="V14" s="10">
        <f t="shared" si="8"/>
        <v>705744.42</v>
      </c>
      <c r="W14" s="10">
        <f t="shared" si="8"/>
        <v>475579.66000000003</v>
      </c>
      <c r="X14" s="10">
        <f t="shared" si="8"/>
        <v>8738744.5299999993</v>
      </c>
      <c r="Y14" s="5"/>
      <c r="Z14" s="5"/>
      <c r="AA14" s="5"/>
    </row>
    <row r="15" spans="1:27">
      <c r="A15" s="15"/>
      <c r="B15" s="3"/>
      <c r="C15" s="3"/>
      <c r="D15" s="3"/>
      <c r="E15" s="3"/>
      <c r="F15" s="3"/>
      <c r="G15" s="3"/>
      <c r="H15" s="3"/>
      <c r="I15" s="3"/>
      <c r="J15" s="3"/>
      <c r="K15" s="773" t="s">
        <v>6</v>
      </c>
      <c r="L15" s="768"/>
      <c r="M15" s="768"/>
      <c r="N15" s="768"/>
      <c r="O15" s="768"/>
      <c r="P15" s="768"/>
      <c r="Q15" s="768"/>
      <c r="R15" s="769" t="s">
        <v>7</v>
      </c>
      <c r="S15" s="770"/>
      <c r="T15" s="770"/>
      <c r="U15" s="770"/>
      <c r="V15" s="770"/>
      <c r="W15" s="770"/>
    </row>
    <row r="16" spans="1:27">
      <c r="A16" s="8" t="s">
        <v>14</v>
      </c>
      <c r="B16" s="8"/>
      <c r="C16" s="8"/>
      <c r="D16" s="8"/>
      <c r="E16" s="8"/>
      <c r="F16" s="8"/>
      <c r="G16" s="8"/>
      <c r="H16" s="8"/>
      <c r="I16" s="8"/>
      <c r="J16" s="8"/>
      <c r="K16" s="9">
        <v>44287</v>
      </c>
      <c r="L16" s="9">
        <v>44317</v>
      </c>
      <c r="M16" s="9">
        <v>44348</v>
      </c>
      <c r="N16" s="9">
        <v>44378</v>
      </c>
      <c r="O16" s="9">
        <v>44409</v>
      </c>
      <c r="P16" s="9">
        <v>44440</v>
      </c>
      <c r="Q16" s="9">
        <v>44470</v>
      </c>
      <c r="R16" s="9">
        <v>44593</v>
      </c>
      <c r="S16" s="9">
        <v>44593</v>
      </c>
      <c r="T16" s="9">
        <v>44621</v>
      </c>
      <c r="U16" s="9">
        <v>44652</v>
      </c>
      <c r="V16" s="9">
        <v>44682</v>
      </c>
      <c r="W16" s="9">
        <v>44713</v>
      </c>
    </row>
    <row r="17" spans="1:24">
      <c r="A17" s="2" t="s">
        <v>4</v>
      </c>
      <c r="B17" s="2"/>
      <c r="C17" s="2"/>
      <c r="D17" s="2"/>
      <c r="E17" s="2"/>
      <c r="F17" s="2"/>
      <c r="G17" s="2"/>
      <c r="H17" s="2"/>
      <c r="I17" s="2"/>
      <c r="J17" s="2"/>
      <c r="K17" s="6">
        <v>146.30000000000001</v>
      </c>
      <c r="L17" s="6">
        <v>150.1</v>
      </c>
      <c r="M17" s="6">
        <v>153.30000000000001</v>
      </c>
      <c r="N17" s="6">
        <v>155.6</v>
      </c>
      <c r="O17" s="6">
        <v>157.19999999999999</v>
      </c>
      <c r="P17" s="6">
        <v>158.30000000000001</v>
      </c>
      <c r="Q17" s="6">
        <v>161.19999999999999</v>
      </c>
      <c r="R17" s="6">
        <f>Q17+2.3*3</f>
        <v>168.1</v>
      </c>
      <c r="S17" s="6">
        <f t="shared" ref="S17:W17" si="9">R17+2.3</f>
        <v>170.4</v>
      </c>
      <c r="T17" s="6">
        <f t="shared" si="9"/>
        <v>172.70000000000002</v>
      </c>
      <c r="U17" s="6">
        <f t="shared" si="9"/>
        <v>175.00000000000003</v>
      </c>
      <c r="V17" s="6">
        <f t="shared" si="9"/>
        <v>177.30000000000004</v>
      </c>
      <c r="W17" s="6">
        <f t="shared" si="9"/>
        <v>179.60000000000005</v>
      </c>
      <c r="X17" s="5"/>
    </row>
    <row r="18" spans="1:24">
      <c r="A18" s="2" t="s">
        <v>5</v>
      </c>
      <c r="B18" s="2"/>
      <c r="C18" s="2"/>
      <c r="D18" s="2"/>
      <c r="E18" s="2"/>
      <c r="F18" s="2"/>
      <c r="G18" s="2"/>
      <c r="H18" s="2"/>
      <c r="I18" s="2"/>
      <c r="J18" s="2"/>
      <c r="K18" s="5">
        <v>1.07653</v>
      </c>
      <c r="L18" s="5">
        <v>1.10449</v>
      </c>
      <c r="M18" s="5">
        <v>1.1280399999999999</v>
      </c>
      <c r="N18" s="5">
        <v>1.14496</v>
      </c>
      <c r="O18" s="5">
        <v>1.15673</v>
      </c>
      <c r="P18" s="5">
        <v>1.16483</v>
      </c>
      <c r="Q18" s="5">
        <v>1.1788099999999999</v>
      </c>
      <c r="R18" s="5">
        <f>ROUND((R17/$K$5),5)</f>
        <v>1.2369399999999999</v>
      </c>
      <c r="S18" s="5">
        <f t="shared" ref="S18:V18" si="10">ROUND((S17/$K$5),5)</f>
        <v>1.25386</v>
      </c>
      <c r="T18" s="5">
        <f t="shared" si="10"/>
        <v>1.2707900000000001</v>
      </c>
      <c r="U18" s="5">
        <f t="shared" si="10"/>
        <v>1.2877099999999999</v>
      </c>
      <c r="V18" s="5">
        <f t="shared" si="10"/>
        <v>1.30464</v>
      </c>
      <c r="W18" s="5">
        <f>ROUND((W17/$K$5),5)</f>
        <v>1.3215600000000001</v>
      </c>
      <c r="X18" s="5"/>
    </row>
    <row r="19" spans="1:24">
      <c r="A19" s="11" t="s">
        <v>15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6">
        <f>L17-K17</f>
        <v>3.7999999999999829</v>
      </c>
      <c r="M19" s="5">
        <f t="shared" ref="M19:P19" si="11">M17-L17</f>
        <v>3.2000000000000171</v>
      </c>
      <c r="N19" s="5">
        <f t="shared" si="11"/>
        <v>2.2999999999999829</v>
      </c>
      <c r="O19" s="5">
        <f t="shared" si="11"/>
        <v>1.5999999999999943</v>
      </c>
      <c r="P19" s="5">
        <f t="shared" si="11"/>
        <v>1.1000000000000227</v>
      </c>
      <c r="Q19" s="6">
        <f>Q17-P17</f>
        <v>2.8999999999999773</v>
      </c>
      <c r="R19" s="6">
        <f t="shared" ref="R19:W19" si="12">R17-Q17</f>
        <v>6.9000000000000057</v>
      </c>
      <c r="S19" s="6">
        <f t="shared" si="12"/>
        <v>2.3000000000000114</v>
      </c>
      <c r="T19" s="6">
        <f t="shared" si="12"/>
        <v>2.3000000000000114</v>
      </c>
      <c r="U19" s="6">
        <f t="shared" si="12"/>
        <v>2.3000000000000114</v>
      </c>
      <c r="V19" s="6">
        <f t="shared" si="12"/>
        <v>2.3000000000000114</v>
      </c>
      <c r="W19" s="6">
        <f t="shared" si="12"/>
        <v>2.3000000000000114</v>
      </c>
      <c r="X19" s="6">
        <f>SUM(L19:W19)</f>
        <v>33.30000000000004</v>
      </c>
    </row>
    <row r="20" spans="1:24">
      <c r="A20" s="11" t="s">
        <v>16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>
        <f>L18-K18</f>
        <v>2.7959999999999985E-2</v>
      </c>
      <c r="M20" s="5">
        <f>M18-L18</f>
        <v>2.354999999999996E-2</v>
      </c>
      <c r="N20" s="5">
        <f>N18-M18</f>
        <v>1.6920000000000046E-2</v>
      </c>
      <c r="O20" s="5">
        <f>O18-N18</f>
        <v>1.1770000000000058E-2</v>
      </c>
      <c r="P20" s="5">
        <f>P18-O18</f>
        <v>8.0999999999999961E-3</v>
      </c>
      <c r="Q20" s="5">
        <f>Q18-P18</f>
        <v>1.3979999999999881E-2</v>
      </c>
      <c r="R20" s="5">
        <f t="shared" ref="R20:W20" si="13">R18-Q18</f>
        <v>5.8130000000000015E-2</v>
      </c>
      <c r="S20" s="5">
        <f t="shared" si="13"/>
        <v>1.6920000000000046E-2</v>
      </c>
      <c r="T20" s="5">
        <f t="shared" si="13"/>
        <v>1.6930000000000112E-2</v>
      </c>
      <c r="U20" s="5">
        <f t="shared" si="13"/>
        <v>1.6919999999999824E-2</v>
      </c>
      <c r="V20" s="5">
        <f t="shared" si="13"/>
        <v>1.6930000000000112E-2</v>
      </c>
      <c r="W20" s="5">
        <f t="shared" si="13"/>
        <v>1.6920000000000046E-2</v>
      </c>
      <c r="X20" s="5">
        <f>SUM(L20:W20)</f>
        <v>0.24503000000000008</v>
      </c>
    </row>
    <row r="22" spans="1:24">
      <c r="K22">
        <f>K17/K5</f>
        <v>1.0765268579838116</v>
      </c>
    </row>
  </sheetData>
  <mergeCells count="2">
    <mergeCell ref="K15:Q15"/>
    <mergeCell ref="R15:W15"/>
  </mergeCells>
  <printOptions horizontalCentered="1" verticalCentered="1"/>
  <pageMargins left="0.19685039370078741" right="0.19685039370078741" top="0.39370078740157483" bottom="0.39370078740157483" header="0.31496062992125984" footer="0.31496062992125984"/>
  <pageSetup paperSize="8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Z75"/>
  <sheetViews>
    <sheetView workbookViewId="0">
      <selection activeCell="A19" sqref="A19:XFD19"/>
    </sheetView>
  </sheetViews>
  <sheetFormatPr defaultColWidth="9.109375" defaultRowHeight="13.2"/>
  <cols>
    <col min="1" max="1" width="9.6640625" style="18" customWidth="1"/>
    <col min="2" max="2" width="39.44140625" style="18" customWidth="1"/>
    <col min="3" max="3" width="15" style="18" customWidth="1"/>
    <col min="4" max="4" width="9.109375" style="18" customWidth="1"/>
    <col min="5" max="5" width="9.33203125" style="18" customWidth="1"/>
    <col min="6" max="6" width="9.109375" style="18" customWidth="1"/>
    <col min="7" max="7" width="11.33203125" style="18" customWidth="1"/>
    <col min="8" max="8" width="9.109375" style="18" customWidth="1"/>
    <col min="9" max="9" width="10.109375" style="18" customWidth="1"/>
    <col min="10" max="10" width="8" style="18" customWidth="1"/>
    <col min="11" max="11" width="11.44140625" style="18" customWidth="1"/>
    <col min="12" max="12" width="7.88671875" style="18" customWidth="1"/>
    <col min="13" max="13" width="11.5546875" style="18" customWidth="1"/>
    <col min="14" max="14" width="9.109375" style="18" customWidth="1"/>
    <col min="15" max="15" width="11.109375" style="18" customWidth="1"/>
    <col min="16" max="16" width="9.109375" style="18" customWidth="1"/>
    <col min="17" max="17" width="14.5546875" style="18" customWidth="1"/>
    <col min="18" max="18" width="9.109375" style="18" customWidth="1"/>
    <col min="19" max="19" width="10.6640625" style="18" customWidth="1"/>
    <col min="20" max="20" width="9.109375" style="18" customWidth="1"/>
    <col min="21" max="21" width="11.109375" style="18" customWidth="1"/>
    <col min="22" max="22" width="9.109375" style="18"/>
    <col min="23" max="23" width="11.33203125" style="18" customWidth="1"/>
    <col min="24" max="24" width="7.5546875" style="18" customWidth="1"/>
    <col min="25" max="25" width="10.33203125" style="18" customWidth="1"/>
    <col min="26" max="26" width="6.88671875" style="18" customWidth="1"/>
    <col min="27" max="27" width="11.109375" style="18" customWidth="1"/>
    <col min="28" max="28" width="7.6640625" style="18" customWidth="1"/>
    <col min="29" max="29" width="11.44140625" style="18" customWidth="1"/>
    <col min="30" max="30" width="6.44140625" style="18" customWidth="1"/>
    <col min="31" max="31" width="10.109375" style="18" customWidth="1"/>
    <col min="32" max="32" width="8.5546875" style="18" customWidth="1"/>
    <col min="33" max="33" width="10" style="18" customWidth="1"/>
    <col min="34" max="34" width="5.88671875" style="18" customWidth="1"/>
    <col min="35" max="35" width="17.5546875" style="18" customWidth="1"/>
    <col min="36" max="36" width="7.33203125" style="18" customWidth="1"/>
    <col min="37" max="37" width="11" style="18" customWidth="1"/>
    <col min="38" max="38" width="6.33203125" style="18" customWidth="1"/>
    <col min="39" max="39" width="11.44140625" style="18" customWidth="1"/>
    <col min="40" max="40" width="6.6640625" style="18" customWidth="1"/>
    <col min="41" max="41" width="10.5546875" style="18" customWidth="1"/>
    <col min="42" max="42" width="6.5546875" style="18" customWidth="1"/>
    <col min="43" max="43" width="11.109375" style="18" customWidth="1"/>
    <col min="44" max="44" width="6.33203125" style="18" customWidth="1"/>
    <col min="45" max="45" width="10.33203125" style="18" customWidth="1"/>
    <col min="46" max="46" width="7.44140625" style="18" customWidth="1"/>
    <col min="47" max="47" width="14" style="18" customWidth="1"/>
    <col min="48" max="48" width="14" style="18" hidden="1" customWidth="1"/>
    <col min="49" max="49" width="14" style="18" customWidth="1"/>
    <col min="50" max="51" width="11.33203125" style="18" customWidth="1"/>
    <col min="52" max="16384" width="9.109375" style="18"/>
  </cols>
  <sheetData>
    <row r="1" spans="1:52">
      <c r="A1" s="17" t="s">
        <v>19</v>
      </c>
      <c r="B1" s="18" t="s">
        <v>20</v>
      </c>
    </row>
    <row r="2" spans="1:52">
      <c r="A2" s="17" t="s">
        <v>21</v>
      </c>
      <c r="B2" s="18" t="s">
        <v>22</v>
      </c>
    </row>
    <row r="3" spans="1:52">
      <c r="A3" s="17" t="s">
        <v>23</v>
      </c>
      <c r="B3" s="18" t="s">
        <v>24</v>
      </c>
    </row>
    <row r="4" spans="1:52">
      <c r="A4" s="17" t="s">
        <v>25</v>
      </c>
      <c r="B4" s="18" t="s">
        <v>26</v>
      </c>
    </row>
    <row r="6" spans="1:52" ht="13.8">
      <c r="D6" s="19" t="s">
        <v>27</v>
      </c>
    </row>
    <row r="8" spans="1:52" ht="39.6">
      <c r="A8" s="20" t="s">
        <v>28</v>
      </c>
      <c r="B8" s="20" t="s">
        <v>29</v>
      </c>
      <c r="C8" s="21" t="s">
        <v>30</v>
      </c>
      <c r="D8" s="784" t="s">
        <v>31</v>
      </c>
      <c r="E8" s="785"/>
      <c r="F8" s="784" t="s">
        <v>32</v>
      </c>
      <c r="G8" s="785"/>
      <c r="H8" s="784" t="s">
        <v>33</v>
      </c>
      <c r="I8" s="785"/>
      <c r="J8" s="784" t="s">
        <v>34</v>
      </c>
      <c r="K8" s="785"/>
      <c r="L8" s="784" t="s">
        <v>35</v>
      </c>
      <c r="M8" s="785"/>
      <c r="N8" s="784" t="s">
        <v>36</v>
      </c>
      <c r="O8" s="785"/>
      <c r="P8" s="784" t="s">
        <v>37</v>
      </c>
      <c r="Q8" s="785"/>
      <c r="R8" s="784" t="s">
        <v>38</v>
      </c>
      <c r="S8" s="785"/>
      <c r="T8" s="784" t="s">
        <v>39</v>
      </c>
      <c r="U8" s="785"/>
      <c r="V8" s="784" t="s">
        <v>40</v>
      </c>
      <c r="W8" s="785"/>
      <c r="X8" s="784" t="s">
        <v>41</v>
      </c>
      <c r="Y8" s="785"/>
      <c r="Z8" s="784" t="s">
        <v>42</v>
      </c>
      <c r="AA8" s="785"/>
      <c r="AB8" s="784" t="s">
        <v>43</v>
      </c>
      <c r="AC8" s="785"/>
      <c r="AD8" s="784" t="s">
        <v>44</v>
      </c>
      <c r="AE8" s="785"/>
      <c r="AF8" s="784" t="s">
        <v>45</v>
      </c>
      <c r="AG8" s="785"/>
      <c r="AH8" s="786" t="s">
        <v>46</v>
      </c>
      <c r="AI8" s="787"/>
      <c r="AJ8" s="786" t="s">
        <v>47</v>
      </c>
      <c r="AK8" s="787"/>
      <c r="AL8" s="786" t="s">
        <v>48</v>
      </c>
      <c r="AM8" s="787"/>
      <c r="AN8" s="786" t="s">
        <v>49</v>
      </c>
      <c r="AO8" s="787"/>
      <c r="AP8" s="786" t="s">
        <v>50</v>
      </c>
      <c r="AQ8" s="787"/>
      <c r="AR8" s="786" t="s">
        <v>51</v>
      </c>
      <c r="AS8" s="787"/>
      <c r="AT8" s="786" t="s">
        <v>52</v>
      </c>
      <c r="AU8" s="787"/>
      <c r="AW8" s="22" t="s">
        <v>53</v>
      </c>
      <c r="AX8" s="22" t="s">
        <v>54</v>
      </c>
      <c r="AY8" s="22" t="s">
        <v>55</v>
      </c>
    </row>
    <row r="9" spans="1:52" ht="13.8">
      <c r="A9" s="20"/>
      <c r="B9" s="20"/>
      <c r="C9" s="21"/>
      <c r="D9" s="784" t="s">
        <v>56</v>
      </c>
      <c r="E9" s="785"/>
      <c r="F9" s="784" t="s">
        <v>57</v>
      </c>
      <c r="G9" s="785"/>
      <c r="H9" s="784" t="s">
        <v>58</v>
      </c>
      <c r="I9" s="788"/>
      <c r="J9" s="784" t="s">
        <v>59</v>
      </c>
      <c r="K9" s="785"/>
      <c r="L9" s="784" t="s">
        <v>60</v>
      </c>
      <c r="M9" s="785"/>
      <c r="N9" s="784" t="s">
        <v>61</v>
      </c>
      <c r="O9" s="785"/>
      <c r="P9" s="784" t="s">
        <v>62</v>
      </c>
      <c r="Q9" s="785"/>
      <c r="R9" s="784" t="s">
        <v>63</v>
      </c>
      <c r="S9" s="785"/>
      <c r="T9" s="784" t="s">
        <v>64</v>
      </c>
      <c r="U9" s="785"/>
      <c r="V9" s="784" t="s">
        <v>65</v>
      </c>
      <c r="W9" s="785"/>
      <c r="X9" s="784" t="s">
        <v>57</v>
      </c>
      <c r="Y9" s="785"/>
      <c r="Z9" s="784" t="s">
        <v>58</v>
      </c>
      <c r="AA9" s="785"/>
      <c r="AB9" s="784" t="s">
        <v>59</v>
      </c>
      <c r="AC9" s="785"/>
      <c r="AD9" s="784" t="s">
        <v>60</v>
      </c>
      <c r="AE9" s="785"/>
      <c r="AF9" s="784" t="s">
        <v>61</v>
      </c>
      <c r="AG9" s="785"/>
      <c r="AH9" s="784" t="s">
        <v>66</v>
      </c>
      <c r="AI9" s="785"/>
      <c r="AJ9" s="776" t="s">
        <v>67</v>
      </c>
      <c r="AK9" s="777"/>
      <c r="AL9" s="776" t="s">
        <v>68</v>
      </c>
      <c r="AM9" s="777"/>
      <c r="AN9" s="776" t="s">
        <v>65</v>
      </c>
      <c r="AO9" s="777"/>
      <c r="AP9" s="776" t="s">
        <v>57</v>
      </c>
      <c r="AQ9" s="777"/>
      <c r="AR9" s="776" t="s">
        <v>58</v>
      </c>
      <c r="AS9" s="777"/>
      <c r="AT9" s="776" t="s">
        <v>59</v>
      </c>
      <c r="AU9" s="778"/>
      <c r="AW9" s="23"/>
      <c r="AX9" s="23"/>
      <c r="AY9" s="23"/>
    </row>
    <row r="10" spans="1:52" ht="13.8">
      <c r="A10" s="24"/>
      <c r="B10" s="24"/>
      <c r="C10" s="25"/>
      <c r="D10" s="26" t="s">
        <v>69</v>
      </c>
      <c r="E10" s="27" t="s">
        <v>70</v>
      </c>
      <c r="F10" s="26" t="s">
        <v>69</v>
      </c>
      <c r="G10" s="27" t="s">
        <v>70</v>
      </c>
      <c r="H10" s="26" t="s">
        <v>69</v>
      </c>
      <c r="I10" s="28" t="s">
        <v>70</v>
      </c>
      <c r="J10" s="26" t="s">
        <v>69</v>
      </c>
      <c r="K10" s="27" t="s">
        <v>70</v>
      </c>
      <c r="L10" s="26" t="s">
        <v>69</v>
      </c>
      <c r="M10" s="27" t="s">
        <v>70</v>
      </c>
      <c r="N10" s="26" t="s">
        <v>69</v>
      </c>
      <c r="O10" s="27" t="s">
        <v>70</v>
      </c>
      <c r="P10" s="26" t="s">
        <v>69</v>
      </c>
      <c r="Q10" s="27" t="s">
        <v>70</v>
      </c>
      <c r="R10" s="26" t="s">
        <v>69</v>
      </c>
      <c r="S10" s="27" t="s">
        <v>70</v>
      </c>
      <c r="T10" s="26" t="s">
        <v>69</v>
      </c>
      <c r="U10" s="27" t="s">
        <v>70</v>
      </c>
      <c r="V10" s="26" t="s">
        <v>69</v>
      </c>
      <c r="W10" s="27" t="s">
        <v>70</v>
      </c>
      <c r="X10" s="26" t="s">
        <v>69</v>
      </c>
      <c r="Y10" s="27" t="s">
        <v>70</v>
      </c>
      <c r="Z10" s="26" t="s">
        <v>69</v>
      </c>
      <c r="AA10" s="27" t="s">
        <v>70</v>
      </c>
      <c r="AB10" s="26" t="s">
        <v>69</v>
      </c>
      <c r="AC10" s="27" t="s">
        <v>70</v>
      </c>
      <c r="AD10" s="26" t="s">
        <v>69</v>
      </c>
      <c r="AE10" s="27" t="s">
        <v>70</v>
      </c>
      <c r="AF10" s="26" t="s">
        <v>69</v>
      </c>
      <c r="AG10" s="27" t="s">
        <v>70</v>
      </c>
      <c r="AH10" s="26" t="s">
        <v>69</v>
      </c>
      <c r="AI10" s="27" t="s">
        <v>70</v>
      </c>
      <c r="AJ10" s="26" t="s">
        <v>69</v>
      </c>
      <c r="AK10" s="27" t="s">
        <v>70</v>
      </c>
      <c r="AL10" s="26" t="s">
        <v>69</v>
      </c>
      <c r="AM10" s="27" t="s">
        <v>70</v>
      </c>
      <c r="AN10" s="26" t="s">
        <v>69</v>
      </c>
      <c r="AO10" s="27" t="s">
        <v>70</v>
      </c>
      <c r="AP10" s="26" t="s">
        <v>69</v>
      </c>
      <c r="AQ10" s="27" t="s">
        <v>70</v>
      </c>
      <c r="AR10" s="26" t="s">
        <v>69</v>
      </c>
      <c r="AS10" s="27" t="s">
        <v>70</v>
      </c>
      <c r="AT10" s="26" t="s">
        <v>69</v>
      </c>
      <c r="AU10" s="29" t="s">
        <v>70</v>
      </c>
      <c r="AW10" s="23"/>
      <c r="AX10" s="23"/>
      <c r="AY10" s="23"/>
    </row>
    <row r="11" spans="1:52" ht="14.4">
      <c r="A11" s="30">
        <v>24.2</v>
      </c>
      <c r="B11" s="31" t="s">
        <v>71</v>
      </c>
      <c r="C11" s="32">
        <f>SUM(C12:C13)</f>
        <v>1622032.33</v>
      </c>
      <c r="D11" s="33">
        <v>4.6625821570399892E-2</v>
      </c>
      <c r="E11" s="34">
        <v>75628.59</v>
      </c>
      <c r="F11" s="33">
        <v>4.0553575155928001E-2</v>
      </c>
      <c r="G11" s="34">
        <v>65779.210000000006</v>
      </c>
      <c r="H11" s="33">
        <v>9.4694844954169313E-2</v>
      </c>
      <c r="I11" s="34">
        <v>153598.1</v>
      </c>
      <c r="J11" s="33">
        <v>5.0190312791114342E-2</v>
      </c>
      <c r="K11" s="34">
        <v>81410.31</v>
      </c>
      <c r="L11" s="33">
        <v>5.3015065365559014E-2</v>
      </c>
      <c r="M11" s="34">
        <v>85992.15</v>
      </c>
      <c r="N11" s="33">
        <v>3.4070726568070316E-2</v>
      </c>
      <c r="O11" s="34">
        <v>55263.82</v>
      </c>
      <c r="P11" s="35">
        <v>4.0427850164984069E-2</v>
      </c>
      <c r="Q11" s="34">
        <v>65575.28</v>
      </c>
      <c r="R11" s="36">
        <v>5.6084011593036498E-2</v>
      </c>
      <c r="S11" s="34">
        <v>90970.08</v>
      </c>
      <c r="T11" s="36">
        <v>8.4804413238791607E-2</v>
      </c>
      <c r="U11" s="34">
        <v>137555.5</v>
      </c>
      <c r="V11" s="35">
        <v>0.15318364807747081</v>
      </c>
      <c r="W11" s="34">
        <v>248468.82960900001</v>
      </c>
      <c r="X11" s="33">
        <v>0.21216836658243424</v>
      </c>
      <c r="Y11" s="34">
        <v>344143.94999999995</v>
      </c>
      <c r="Z11" s="33">
        <v>4.8125927305037126E-2</v>
      </c>
      <c r="AA11" s="34">
        <v>78061.81</v>
      </c>
      <c r="AB11" s="33">
        <v>1.0872884389425208E-2</v>
      </c>
      <c r="AC11" s="34">
        <v>17636.169999999998</v>
      </c>
      <c r="AD11" s="33">
        <v>0</v>
      </c>
      <c r="AE11" s="34">
        <v>0</v>
      </c>
      <c r="AF11" s="33">
        <v>0</v>
      </c>
      <c r="AG11" s="34">
        <v>0</v>
      </c>
      <c r="AH11" s="33">
        <v>0</v>
      </c>
      <c r="AI11" s="37">
        <v>0</v>
      </c>
      <c r="AJ11" s="38"/>
      <c r="AK11" s="37">
        <v>115295.2</v>
      </c>
      <c r="AL11" s="38"/>
      <c r="AM11" s="37">
        <v>0</v>
      </c>
      <c r="AN11" s="38"/>
      <c r="AO11" s="37">
        <v>0</v>
      </c>
      <c r="AP11" s="38"/>
      <c r="AQ11" s="37">
        <v>0</v>
      </c>
      <c r="AR11" s="38"/>
      <c r="AS11" s="37">
        <v>0</v>
      </c>
      <c r="AT11" s="33">
        <v>4.1018481986732393E-3</v>
      </c>
      <c r="AU11" s="34">
        <v>6653.3303910002578</v>
      </c>
      <c r="AV11" s="39">
        <f t="shared" ref="AV11:AV69" si="0">C11-(AU11+AS11+AQ11+AO11+AM11+AK11+AI11+AG11+AE11+AC11+AA11+Y11+W11+U11+S11+Q11+O11+M11+K11+I11+G11+E11)</f>
        <v>0</v>
      </c>
      <c r="AW11" s="40">
        <f>SUM(D11:AI11)</f>
        <v>1500084.7244264479</v>
      </c>
      <c r="AX11" s="40">
        <f>SUM(AJ11:AU11)</f>
        <v>121948.53449284846</v>
      </c>
      <c r="AY11" s="40">
        <f>AW11+AX11</f>
        <v>1622033.2589192963</v>
      </c>
      <c r="AZ11" s="41">
        <f>C11-AY11</f>
        <v>-0.92891929624602199</v>
      </c>
    </row>
    <row r="12" spans="1:52" ht="13.8">
      <c r="A12" s="42" t="s">
        <v>72</v>
      </c>
      <c r="B12" s="43" t="s">
        <v>71</v>
      </c>
      <c r="C12" s="44">
        <v>978106.69</v>
      </c>
      <c r="D12" s="45">
        <v>7.7321411634552875E-2</v>
      </c>
      <c r="E12" s="46">
        <v>75628.59</v>
      </c>
      <c r="F12" s="45">
        <v>6.7251569458133459E-2</v>
      </c>
      <c r="G12" s="46">
        <v>65779.210000000006</v>
      </c>
      <c r="H12" s="45">
        <v>0.15703614091423915</v>
      </c>
      <c r="I12" s="47">
        <v>153598.1</v>
      </c>
      <c r="J12" s="45">
        <v>8.323254593013775E-2</v>
      </c>
      <c r="K12" s="46">
        <v>81410.31</v>
      </c>
      <c r="L12" s="45">
        <v>8.7916942884829874E-2</v>
      </c>
      <c r="M12" s="48">
        <v>85992.15</v>
      </c>
      <c r="N12" s="45">
        <v>5.6500809742953503E-2</v>
      </c>
      <c r="O12" s="48">
        <v>55263.82</v>
      </c>
      <c r="P12" s="49">
        <v>4.6713779250400586E-2</v>
      </c>
      <c r="Q12" s="48">
        <v>45691.06</v>
      </c>
      <c r="R12" s="50">
        <v>6.4833264763785647E-2</v>
      </c>
      <c r="S12" s="48">
        <v>63413.850000000006</v>
      </c>
      <c r="T12" s="50">
        <v>6.2973304067677954E-2</v>
      </c>
      <c r="U12" s="48">
        <v>61594.610000000015</v>
      </c>
      <c r="V12" s="49">
        <v>0.13876404304135781</v>
      </c>
      <c r="W12" s="51">
        <v>135726.03883020001</v>
      </c>
      <c r="X12" s="45">
        <v>9.2683999533834091E-2</v>
      </c>
      <c r="Y12" s="46">
        <v>90654.84</v>
      </c>
      <c r="Z12" s="45">
        <v>3.7276823042688728E-2</v>
      </c>
      <c r="AA12" s="46">
        <v>36460.71</v>
      </c>
      <c r="AB12" s="45">
        <v>1.0399018945469027E-2</v>
      </c>
      <c r="AC12" s="46">
        <v>10171.35</v>
      </c>
      <c r="AD12" s="52">
        <v>0</v>
      </c>
      <c r="AE12" s="53"/>
      <c r="AF12" s="52">
        <v>0</v>
      </c>
      <c r="AG12" s="53"/>
      <c r="AH12" s="52">
        <v>0</v>
      </c>
      <c r="AI12" s="54"/>
      <c r="AJ12" s="45">
        <v>1.0520324730628312E-2</v>
      </c>
      <c r="AK12" s="48">
        <v>10290</v>
      </c>
      <c r="AL12" s="55"/>
      <c r="AM12" s="56"/>
      <c r="AN12" s="55"/>
      <c r="AO12" s="56"/>
      <c r="AP12" s="55"/>
      <c r="AQ12" s="56"/>
      <c r="AR12" s="55"/>
      <c r="AS12" s="56"/>
      <c r="AT12" s="45">
        <v>6.5760220593114507E-3</v>
      </c>
      <c r="AU12" s="48">
        <v>6432.0511698001064</v>
      </c>
      <c r="AV12" s="39">
        <f t="shared" si="0"/>
        <v>0</v>
      </c>
      <c r="AW12" s="40">
        <f>SUM(D12:AI12)</f>
        <v>961385.62173385324</v>
      </c>
      <c r="AX12" s="40">
        <f>SUM(AJ12:AU12)</f>
        <v>16722.068266146896</v>
      </c>
      <c r="AY12" s="40">
        <f>AW12+AX12</f>
        <v>978107.69000000018</v>
      </c>
      <c r="AZ12" s="41">
        <f t="shared" ref="AZ12:AZ69" si="1">C12-AY12</f>
        <v>-1.0000000002328306</v>
      </c>
    </row>
    <row r="13" spans="1:52" ht="13.8">
      <c r="A13" s="42"/>
      <c r="B13" s="57" t="s">
        <v>73</v>
      </c>
      <c r="C13" s="58">
        <v>643925.64</v>
      </c>
      <c r="D13" s="52">
        <v>0</v>
      </c>
      <c r="E13" s="59"/>
      <c r="F13" s="52">
        <v>0</v>
      </c>
      <c r="G13" s="59"/>
      <c r="H13" s="52">
        <v>0</v>
      </c>
      <c r="I13" s="60"/>
      <c r="J13" s="52">
        <v>0</v>
      </c>
      <c r="K13" s="59"/>
      <c r="L13" s="52">
        <v>0</v>
      </c>
      <c r="M13" s="59"/>
      <c r="N13" s="52">
        <v>0</v>
      </c>
      <c r="O13" s="61"/>
      <c r="P13" s="62">
        <v>3.087968356097763E-2</v>
      </c>
      <c r="Q13" s="63">
        <v>19884.22</v>
      </c>
      <c r="R13" s="64">
        <v>4.2794118277383705E-2</v>
      </c>
      <c r="S13" s="63">
        <v>27556.23</v>
      </c>
      <c r="T13" s="64">
        <v>0.11796531351042334</v>
      </c>
      <c r="U13" s="63">
        <v>75960.89</v>
      </c>
      <c r="V13" s="62">
        <v>0.17508666183691646</v>
      </c>
      <c r="W13" s="65">
        <v>112742.7907788</v>
      </c>
      <c r="X13" s="66">
        <v>0.39366208495751154</v>
      </c>
      <c r="Y13" s="63">
        <v>253489.11</v>
      </c>
      <c r="Z13" s="66">
        <v>6.46054410878871E-2</v>
      </c>
      <c r="AA13" s="63">
        <v>41601.1</v>
      </c>
      <c r="AB13" s="66">
        <v>1.1592673961546243E-2</v>
      </c>
      <c r="AC13" s="63">
        <v>7464.82</v>
      </c>
      <c r="AD13" s="52">
        <v>0</v>
      </c>
      <c r="AE13" s="59">
        <v>0</v>
      </c>
      <c r="AF13" s="52">
        <v>0</v>
      </c>
      <c r="AG13" s="59"/>
      <c r="AH13" s="52">
        <v>0</v>
      </c>
      <c r="AI13" s="56"/>
      <c r="AJ13" s="67">
        <v>0.16307038185340778</v>
      </c>
      <c r="AK13" s="68">
        <v>105005.2</v>
      </c>
      <c r="AL13" s="55">
        <v>0</v>
      </c>
      <c r="AM13" s="59"/>
      <c r="AN13" s="55"/>
      <c r="AO13" s="56"/>
      <c r="AP13" s="55"/>
      <c r="AQ13" s="56"/>
      <c r="AR13" s="55"/>
      <c r="AS13" s="56"/>
      <c r="AT13" s="66">
        <v>2.262321927275146E-4</v>
      </c>
      <c r="AU13" s="68">
        <v>221.27922120015137</v>
      </c>
      <c r="AV13" s="39">
        <f t="shared" si="0"/>
        <v>0</v>
      </c>
      <c r="AW13" s="40">
        <f>SUM(D13:AI13)</f>
        <v>538699.99736477714</v>
      </c>
      <c r="AX13" s="40">
        <f>SUM(AJ13:AU13)</f>
        <v>105226.64251781419</v>
      </c>
      <c r="AY13" s="40">
        <f>AW13+AX13</f>
        <v>643926.63988259132</v>
      </c>
      <c r="AZ13" s="41">
        <f t="shared" si="1"/>
        <v>-0.99988259130623192</v>
      </c>
    </row>
    <row r="14" spans="1:52" ht="14.4">
      <c r="A14" s="30">
        <v>24.3</v>
      </c>
      <c r="B14" s="31" t="s">
        <v>74</v>
      </c>
      <c r="C14" s="32">
        <f>C15</f>
        <v>178447.66</v>
      </c>
      <c r="D14" s="33">
        <v>0</v>
      </c>
      <c r="E14" s="34">
        <v>0</v>
      </c>
      <c r="F14" s="33">
        <v>0</v>
      </c>
      <c r="G14" s="34">
        <v>0</v>
      </c>
      <c r="H14" s="33">
        <v>0</v>
      </c>
      <c r="I14" s="69">
        <v>0</v>
      </c>
      <c r="J14" s="33">
        <v>0</v>
      </c>
      <c r="K14" s="34">
        <v>0</v>
      </c>
      <c r="L14" s="33">
        <v>0</v>
      </c>
      <c r="M14" s="34">
        <v>0</v>
      </c>
      <c r="N14" s="33">
        <v>0</v>
      </c>
      <c r="O14" s="34">
        <v>0</v>
      </c>
      <c r="P14" s="35">
        <v>0</v>
      </c>
      <c r="Q14" s="34">
        <v>0</v>
      </c>
      <c r="R14" s="36">
        <v>0</v>
      </c>
      <c r="S14" s="34">
        <v>0</v>
      </c>
      <c r="T14" s="36">
        <v>0</v>
      </c>
      <c r="U14" s="34">
        <v>0</v>
      </c>
      <c r="V14" s="35">
        <v>0</v>
      </c>
      <c r="W14" s="34">
        <v>0</v>
      </c>
      <c r="X14" s="33">
        <v>0</v>
      </c>
      <c r="Y14" s="34">
        <v>0</v>
      </c>
      <c r="Z14" s="33">
        <v>0</v>
      </c>
      <c r="AA14" s="34">
        <v>0</v>
      </c>
      <c r="AB14" s="33">
        <v>0</v>
      </c>
      <c r="AC14" s="34">
        <v>0</v>
      </c>
      <c r="AD14" s="33">
        <v>0</v>
      </c>
      <c r="AE14" s="34">
        <v>0</v>
      </c>
      <c r="AF14" s="33">
        <v>0</v>
      </c>
      <c r="AG14" s="34">
        <v>0</v>
      </c>
      <c r="AH14" s="33">
        <v>0</v>
      </c>
      <c r="AI14" s="70">
        <v>0</v>
      </c>
      <c r="AJ14" s="71"/>
      <c r="AK14" s="37">
        <v>0</v>
      </c>
      <c r="AL14" s="38"/>
      <c r="AM14" s="37">
        <v>0</v>
      </c>
      <c r="AN14" s="38"/>
      <c r="AO14" s="37">
        <v>45230</v>
      </c>
      <c r="AP14" s="38"/>
      <c r="AQ14" s="37">
        <v>66742</v>
      </c>
      <c r="AR14" s="38"/>
      <c r="AS14" s="37">
        <v>66475.66</v>
      </c>
      <c r="AT14" s="33">
        <v>0</v>
      </c>
      <c r="AU14" s="72"/>
      <c r="AV14" s="39">
        <f t="shared" si="0"/>
        <v>0</v>
      </c>
      <c r="AW14" s="40">
        <f t="shared" ref="AW14:AW69" si="2">SUM(D14:AI14)</f>
        <v>0</v>
      </c>
      <c r="AX14" s="40">
        <f t="shared" ref="AX14:AX69" si="3">SUM(AJ14:AU14)</f>
        <v>178447.66</v>
      </c>
      <c r="AY14" s="40">
        <f t="shared" ref="AY14:AY69" si="4">AW14+AX14</f>
        <v>178447.66</v>
      </c>
      <c r="AZ14" s="41">
        <f t="shared" si="1"/>
        <v>0</v>
      </c>
    </row>
    <row r="15" spans="1:52" ht="13.8">
      <c r="A15" s="42" t="s">
        <v>75</v>
      </c>
      <c r="B15" s="43" t="s">
        <v>74</v>
      </c>
      <c r="C15" s="44">
        <v>178447.66</v>
      </c>
      <c r="D15" s="52">
        <v>0</v>
      </c>
      <c r="E15" s="53"/>
      <c r="F15" s="52">
        <v>0</v>
      </c>
      <c r="G15" s="53"/>
      <c r="H15" s="52">
        <v>0</v>
      </c>
      <c r="I15" s="73"/>
      <c r="J15" s="52">
        <v>0</v>
      </c>
      <c r="K15" s="53"/>
      <c r="L15" s="52">
        <v>0</v>
      </c>
      <c r="M15" s="53"/>
      <c r="N15" s="52">
        <v>0</v>
      </c>
      <c r="O15" s="53"/>
      <c r="P15" s="74">
        <v>0</v>
      </c>
      <c r="Q15" s="53"/>
      <c r="R15" s="75">
        <v>0</v>
      </c>
      <c r="S15" s="53"/>
      <c r="T15" s="75">
        <v>0</v>
      </c>
      <c r="U15" s="53"/>
      <c r="V15" s="74">
        <v>0</v>
      </c>
      <c r="W15" s="53"/>
      <c r="X15" s="52">
        <v>0</v>
      </c>
      <c r="Y15" s="53"/>
      <c r="Z15" s="52">
        <v>0</v>
      </c>
      <c r="AA15" s="53"/>
      <c r="AB15" s="52">
        <v>0</v>
      </c>
      <c r="AC15" s="53"/>
      <c r="AD15" s="52">
        <v>0</v>
      </c>
      <c r="AE15" s="53"/>
      <c r="AF15" s="52">
        <v>0</v>
      </c>
      <c r="AG15" s="53"/>
      <c r="AH15" s="52">
        <v>0</v>
      </c>
      <c r="AI15" s="54"/>
      <c r="AJ15" s="55"/>
      <c r="AK15" s="56"/>
      <c r="AL15" s="55"/>
      <c r="AM15" s="56"/>
      <c r="AN15" s="45">
        <v>0.25346367668816727</v>
      </c>
      <c r="AO15" s="48">
        <v>45230</v>
      </c>
      <c r="AP15" s="45">
        <v>0.3740144308981132</v>
      </c>
      <c r="AQ15" s="48">
        <v>66742</v>
      </c>
      <c r="AR15" s="45">
        <v>0.37252189241371952</v>
      </c>
      <c r="AS15" s="48">
        <v>66475.66</v>
      </c>
      <c r="AT15" s="45">
        <v>0</v>
      </c>
      <c r="AU15" s="48">
        <v>0</v>
      </c>
      <c r="AV15" s="39">
        <f t="shared" si="0"/>
        <v>0</v>
      </c>
      <c r="AW15" s="40">
        <f t="shared" si="2"/>
        <v>0</v>
      </c>
      <c r="AX15" s="40">
        <f t="shared" si="3"/>
        <v>178448.65999999997</v>
      </c>
      <c r="AY15" s="40">
        <f t="shared" si="4"/>
        <v>178448.65999999997</v>
      </c>
      <c r="AZ15" s="41">
        <f t="shared" si="1"/>
        <v>-0.99999999997089617</v>
      </c>
    </row>
    <row r="16" spans="1:52" ht="14.4">
      <c r="A16" s="30">
        <v>24.4</v>
      </c>
      <c r="B16" s="31" t="s">
        <v>76</v>
      </c>
      <c r="C16" s="32">
        <f>SUM(C17:C18)</f>
        <v>3291251.87</v>
      </c>
      <c r="D16" s="33">
        <v>5.149350663338932E-3</v>
      </c>
      <c r="E16" s="76">
        <v>16947.810000000001</v>
      </c>
      <c r="F16" s="33">
        <v>1.4793635347026783E-2</v>
      </c>
      <c r="G16" s="76">
        <v>48689.58</v>
      </c>
      <c r="H16" s="33">
        <v>1.7466031853709207E-2</v>
      </c>
      <c r="I16" s="76">
        <v>57485.11</v>
      </c>
      <c r="J16" s="33">
        <v>9.2257636909447466E-2</v>
      </c>
      <c r="K16" s="76">
        <v>303643.12</v>
      </c>
      <c r="L16" s="33">
        <v>0.11365547980075619</v>
      </c>
      <c r="M16" s="76">
        <v>374068.81042998604</v>
      </c>
      <c r="N16" s="33">
        <v>8.5111353085231978E-3</v>
      </c>
      <c r="O16" s="76">
        <v>28012.29</v>
      </c>
      <c r="P16" s="35">
        <v>7.4342137783578377E-3</v>
      </c>
      <c r="Q16" s="76">
        <v>24467.87</v>
      </c>
      <c r="R16" s="36">
        <v>5.6599509049424401E-2</v>
      </c>
      <c r="S16" s="76">
        <v>186283.24</v>
      </c>
      <c r="T16" s="36">
        <v>5.2674975008825446E-2</v>
      </c>
      <c r="U16" s="76">
        <v>173366.61000000002</v>
      </c>
      <c r="V16" s="35">
        <v>7.3080558551509453E-2</v>
      </c>
      <c r="W16" s="76">
        <v>240526.5249933</v>
      </c>
      <c r="X16" s="33">
        <v>0.18299169853566996</v>
      </c>
      <c r="Y16" s="76">
        <v>602271.77</v>
      </c>
      <c r="Z16" s="33">
        <v>0.14786679331229671</v>
      </c>
      <c r="AA16" s="76">
        <v>486666.86000000004</v>
      </c>
      <c r="AB16" s="33">
        <v>0.10487740945818284</v>
      </c>
      <c r="AC16" s="76">
        <v>345177.97</v>
      </c>
      <c r="AD16" s="33">
        <v>0</v>
      </c>
      <c r="AE16" s="76">
        <v>0</v>
      </c>
      <c r="AF16" s="33">
        <v>0</v>
      </c>
      <c r="AG16" s="76">
        <v>0</v>
      </c>
      <c r="AH16" s="33">
        <v>0</v>
      </c>
      <c r="AI16" s="77">
        <v>0</v>
      </c>
      <c r="AJ16" s="78"/>
      <c r="AK16" s="77">
        <v>403644</v>
      </c>
      <c r="AL16" s="78"/>
      <c r="AM16" s="77">
        <v>0</v>
      </c>
      <c r="AN16" s="78"/>
      <c r="AO16" s="77">
        <v>0</v>
      </c>
      <c r="AP16" s="78"/>
      <c r="AQ16" s="77">
        <v>0</v>
      </c>
      <c r="AR16" s="78"/>
      <c r="AS16" s="77">
        <v>0</v>
      </c>
      <c r="AT16" s="33">
        <v>9.2541296236409261E-8</v>
      </c>
      <c r="AU16" s="76">
        <v>0.30457671429030597</v>
      </c>
      <c r="AV16" s="39">
        <f t="shared" si="0"/>
        <v>0</v>
      </c>
      <c r="AW16" s="40">
        <f t="shared" si="2"/>
        <v>2887608.4427817138</v>
      </c>
      <c r="AX16" s="40">
        <f t="shared" si="3"/>
        <v>403644.30457680684</v>
      </c>
      <c r="AY16" s="40">
        <f t="shared" si="4"/>
        <v>3291252.7473585205</v>
      </c>
      <c r="AZ16" s="41">
        <f t="shared" si="1"/>
        <v>-0.87735852040350437</v>
      </c>
    </row>
    <row r="17" spans="1:52" ht="13.8">
      <c r="A17" s="42" t="s">
        <v>77</v>
      </c>
      <c r="B17" s="43" t="s">
        <v>76</v>
      </c>
      <c r="C17" s="44">
        <v>2754315.69</v>
      </c>
      <c r="D17" s="45">
        <v>6.1531835517373108E-3</v>
      </c>
      <c r="E17" s="46">
        <v>16947.810000000001</v>
      </c>
      <c r="F17" s="45">
        <v>1.7677559684525487E-2</v>
      </c>
      <c r="G17" s="46">
        <v>48689.58</v>
      </c>
      <c r="H17" s="45">
        <v>2.0870922751777956E-2</v>
      </c>
      <c r="I17" s="47">
        <v>57485.11</v>
      </c>
      <c r="J17" s="45">
        <v>5.6948399404427023E-2</v>
      </c>
      <c r="K17" s="46">
        <v>156853.87</v>
      </c>
      <c r="L17" s="45">
        <v>0.13222121986677063</v>
      </c>
      <c r="M17" s="46">
        <v>364178.98042998603</v>
      </c>
      <c r="N17" s="45">
        <v>1.0170326553961577E-2</v>
      </c>
      <c r="O17" s="46">
        <v>28012.29</v>
      </c>
      <c r="P17" s="49">
        <v>8.8834660779207927E-3</v>
      </c>
      <c r="Q17" s="46">
        <v>24467.87</v>
      </c>
      <c r="R17" s="50">
        <v>6.763322035899233E-2</v>
      </c>
      <c r="S17" s="46">
        <v>186283.24</v>
      </c>
      <c r="T17" s="50">
        <v>5.02948447423614E-2</v>
      </c>
      <c r="U17" s="46">
        <v>138527.88</v>
      </c>
      <c r="V17" s="49">
        <v>8.2363843259448594E-2</v>
      </c>
      <c r="W17" s="51">
        <v>226856.02577820001</v>
      </c>
      <c r="X17" s="45">
        <v>0.14564740035300747</v>
      </c>
      <c r="Y17" s="46">
        <v>401158.92</v>
      </c>
      <c r="Z17" s="45">
        <v>0.17443680539030731</v>
      </c>
      <c r="AA17" s="46">
        <v>480454.03</v>
      </c>
      <c r="AB17" s="45">
        <v>0.12422937982101827</v>
      </c>
      <c r="AC17" s="46">
        <v>342166.93</v>
      </c>
      <c r="AD17" s="52">
        <v>0</v>
      </c>
      <c r="AE17" s="53">
        <v>0</v>
      </c>
      <c r="AF17" s="52">
        <v>0</v>
      </c>
      <c r="AG17" s="53"/>
      <c r="AH17" s="52">
        <v>0</v>
      </c>
      <c r="AI17" s="56"/>
      <c r="AJ17" s="45">
        <v>0.10246934330174766</v>
      </c>
      <c r="AK17" s="48">
        <v>282232.92</v>
      </c>
      <c r="AL17" s="55"/>
      <c r="AM17" s="56"/>
      <c r="AN17" s="55"/>
      <c r="AO17" s="56"/>
      <c r="AP17" s="55"/>
      <c r="AQ17" s="56"/>
      <c r="AR17" s="55"/>
      <c r="AS17" s="56"/>
      <c r="AT17" s="52">
        <v>8.488199629203686E-8</v>
      </c>
      <c r="AU17" s="56">
        <v>0.23379181418567896</v>
      </c>
      <c r="AV17" s="39">
        <f t="shared" si="0"/>
        <v>0</v>
      </c>
      <c r="AW17" s="40">
        <f t="shared" si="2"/>
        <v>2472083.4337387579</v>
      </c>
      <c r="AX17" s="40">
        <f t="shared" si="3"/>
        <v>282233.25626124232</v>
      </c>
      <c r="AY17" s="40">
        <f t="shared" si="4"/>
        <v>2754316.6900000004</v>
      </c>
      <c r="AZ17" s="41">
        <f t="shared" si="1"/>
        <v>-1.0000000004656613</v>
      </c>
    </row>
    <row r="18" spans="1:52" ht="14.25" customHeight="1">
      <c r="A18" s="42"/>
      <c r="B18" s="43" t="s">
        <v>78</v>
      </c>
      <c r="C18" s="58">
        <v>536936.18000000005</v>
      </c>
      <c r="D18" s="52">
        <v>0</v>
      </c>
      <c r="E18" s="53"/>
      <c r="F18" s="52">
        <v>0</v>
      </c>
      <c r="G18" s="53"/>
      <c r="H18" s="52">
        <v>0</v>
      </c>
      <c r="I18" s="73"/>
      <c r="J18" s="66">
        <v>0.27338304898731164</v>
      </c>
      <c r="K18" s="79">
        <v>146789.25</v>
      </c>
      <c r="L18" s="66">
        <v>1.8419004657127036E-2</v>
      </c>
      <c r="M18" s="79">
        <v>9889.8300000000017</v>
      </c>
      <c r="N18" s="52">
        <v>0</v>
      </c>
      <c r="O18" s="53"/>
      <c r="P18" s="74">
        <v>0</v>
      </c>
      <c r="Q18" s="53"/>
      <c r="R18" s="75">
        <v>0</v>
      </c>
      <c r="S18" s="53"/>
      <c r="T18" s="64">
        <v>6.4884303382200845E-2</v>
      </c>
      <c r="U18" s="79">
        <v>34838.730000000003</v>
      </c>
      <c r="V18" s="62">
        <v>2.5460193826201093E-2</v>
      </c>
      <c r="W18" s="65">
        <v>13670.499215100001</v>
      </c>
      <c r="X18" s="66">
        <v>0.37455633926549703</v>
      </c>
      <c r="Y18" s="79">
        <v>201112.85</v>
      </c>
      <c r="Z18" s="66">
        <v>1.1570890976279526E-2</v>
      </c>
      <c r="AA18" s="79">
        <v>6212.83</v>
      </c>
      <c r="AB18" s="66">
        <v>5.6078173014900944E-3</v>
      </c>
      <c r="AC18" s="79">
        <v>3011.04</v>
      </c>
      <c r="AD18" s="52">
        <v>0</v>
      </c>
      <c r="AE18" s="53">
        <v>0</v>
      </c>
      <c r="AF18" s="52">
        <v>0</v>
      </c>
      <c r="AG18" s="53"/>
      <c r="AH18" s="52">
        <v>0</v>
      </c>
      <c r="AI18" s="54"/>
      <c r="AJ18" s="80">
        <v>0.22611826977276889</v>
      </c>
      <c r="AK18" s="68">
        <v>121411.08</v>
      </c>
      <c r="AL18" s="55"/>
      <c r="AM18" s="56"/>
      <c r="AN18" s="55"/>
      <c r="AO18" s="56"/>
      <c r="AP18" s="55"/>
      <c r="AQ18" s="56"/>
      <c r="AR18" s="55"/>
      <c r="AS18" s="56"/>
      <c r="AT18" s="52">
        <v>2.5699632166938356E-8</v>
      </c>
      <c r="AU18" s="56">
        <v>7.0784900104627013E-2</v>
      </c>
      <c r="AV18" s="39">
        <f t="shared" si="0"/>
        <v>0</v>
      </c>
      <c r="AW18" s="40">
        <f t="shared" si="2"/>
        <v>415525.80309669842</v>
      </c>
      <c r="AX18" s="40">
        <f t="shared" si="3"/>
        <v>121411.37690319557</v>
      </c>
      <c r="AY18" s="40">
        <f t="shared" si="4"/>
        <v>536937.179999894</v>
      </c>
      <c r="AZ18" s="41">
        <f t="shared" si="1"/>
        <v>-0.99999989394564182</v>
      </c>
    </row>
    <row r="19" spans="1:52" ht="14.4">
      <c r="A19" s="30">
        <v>24.5</v>
      </c>
      <c r="B19" s="31" t="s">
        <v>79</v>
      </c>
      <c r="C19" s="32">
        <f>C20+C21</f>
        <v>36901319.259999998</v>
      </c>
      <c r="D19" s="33">
        <v>2.9964711890357498E-3</v>
      </c>
      <c r="E19" s="76">
        <v>110573.74</v>
      </c>
      <c r="F19" s="33">
        <v>3.7252562715016604E-2</v>
      </c>
      <c r="G19" s="76">
        <v>1374668.71</v>
      </c>
      <c r="H19" s="33">
        <v>1.1883468363564414E-2</v>
      </c>
      <c r="I19" s="81">
        <v>438515.66000000015</v>
      </c>
      <c r="J19" s="33">
        <v>3.4943339584005979E-2</v>
      </c>
      <c r="K19" s="76">
        <v>1289455.33</v>
      </c>
      <c r="L19" s="33">
        <v>9.7692788252684015E-2</v>
      </c>
      <c r="M19" s="76">
        <v>3604992.7687118701</v>
      </c>
      <c r="N19" s="33">
        <v>4.198598589615845E-2</v>
      </c>
      <c r="O19" s="76">
        <v>1549338.27</v>
      </c>
      <c r="P19" s="35">
        <v>3.2254547367637935E-2</v>
      </c>
      <c r="Q19" s="76">
        <v>1190235.3500000001</v>
      </c>
      <c r="R19" s="36">
        <v>3.9477778280385522E-3</v>
      </c>
      <c r="S19" s="76">
        <v>145678.21</v>
      </c>
      <c r="T19" s="36">
        <v>5.4143557739024857E-2</v>
      </c>
      <c r="U19" s="76">
        <v>1997968.71</v>
      </c>
      <c r="V19" s="35">
        <v>7.3880321734445767E-2</v>
      </c>
      <c r="W19" s="76">
        <v>2726281.3393542999</v>
      </c>
      <c r="X19" s="33">
        <v>4.8758241333402126E-2</v>
      </c>
      <c r="Y19" s="76">
        <v>1799243.43</v>
      </c>
      <c r="Z19" s="33">
        <v>0.12551532934001669</v>
      </c>
      <c r="AA19" s="76">
        <v>4631681.24</v>
      </c>
      <c r="AB19" s="33">
        <v>1.4068973424556095E-2</v>
      </c>
      <c r="AC19" s="76">
        <v>519163.68</v>
      </c>
      <c r="AD19" s="33">
        <v>6.3193944193961599E-2</v>
      </c>
      <c r="AE19" s="76">
        <v>2331939.91</v>
      </c>
      <c r="AF19" s="33">
        <v>0</v>
      </c>
      <c r="AG19" s="76">
        <v>0</v>
      </c>
      <c r="AH19" s="33">
        <v>2.0469232947418477E-2</v>
      </c>
      <c r="AI19" s="77">
        <v>755341.7</v>
      </c>
      <c r="AJ19" s="78"/>
      <c r="AK19" s="77">
        <v>2177895.52</v>
      </c>
      <c r="AL19" s="78"/>
      <c r="AM19" s="77">
        <v>4905650.74</v>
      </c>
      <c r="AN19" s="78"/>
      <c r="AO19" s="77">
        <v>5249460.79128813</v>
      </c>
      <c r="AP19" s="78"/>
      <c r="AQ19" s="77">
        <v>0</v>
      </c>
      <c r="AR19" s="78"/>
      <c r="AS19" s="77">
        <v>0</v>
      </c>
      <c r="AT19" s="33">
        <v>2.7975737105313723E-3</v>
      </c>
      <c r="AU19" s="82">
        <v>103234.16064570099</v>
      </c>
      <c r="AV19" s="39">
        <f t="shared" si="0"/>
        <v>0</v>
      </c>
      <c r="AW19" s="40">
        <f t="shared" si="2"/>
        <v>24465078.711052708</v>
      </c>
      <c r="AX19" s="40">
        <f t="shared" si="3"/>
        <v>12436241.214731405</v>
      </c>
      <c r="AY19" s="40">
        <f t="shared" si="4"/>
        <v>36901319.925784111</v>
      </c>
      <c r="AZ19" s="41">
        <f t="shared" si="1"/>
        <v>-0.66578411310911179</v>
      </c>
    </row>
    <row r="20" spans="1:52" ht="13.8">
      <c r="A20" s="42" t="s">
        <v>80</v>
      </c>
      <c r="B20" s="43" t="s">
        <v>79</v>
      </c>
      <c r="C20" s="58">
        <v>36899802.57</v>
      </c>
      <c r="D20" s="45">
        <v>2.9965943527811129E-3</v>
      </c>
      <c r="E20" s="46">
        <v>110573.74</v>
      </c>
      <c r="F20" s="45">
        <v>3.7254093904492129E-2</v>
      </c>
      <c r="G20" s="46">
        <v>1374668.71</v>
      </c>
      <c r="H20" s="45">
        <v>1.1883956808932058E-2</v>
      </c>
      <c r="I20" s="47">
        <v>438515.66000000015</v>
      </c>
      <c r="J20" s="45">
        <v>3.4944775857644925E-2</v>
      </c>
      <c r="K20" s="46">
        <v>1289455.33</v>
      </c>
      <c r="L20" s="45">
        <v>9.7696803712515642E-2</v>
      </c>
      <c r="M20" s="46">
        <v>3604992.7687118701</v>
      </c>
      <c r="N20" s="45">
        <v>4.1987711643195383E-2</v>
      </c>
      <c r="O20" s="46">
        <v>1549338.27</v>
      </c>
      <c r="P20" s="49">
        <v>3.2255873124038777E-2</v>
      </c>
      <c r="Q20" s="46">
        <v>1190235.3500000001</v>
      </c>
      <c r="R20" s="50">
        <v>3.9479400932740548E-3</v>
      </c>
      <c r="S20" s="46">
        <v>145678.21</v>
      </c>
      <c r="T20" s="50">
        <v>5.4145783197885544E-2</v>
      </c>
      <c r="U20" s="46">
        <v>1997968.71</v>
      </c>
      <c r="V20" s="49">
        <v>7.3883358432134283E-2</v>
      </c>
      <c r="W20" s="51">
        <v>2726281.3393542999</v>
      </c>
      <c r="X20" s="45">
        <v>4.8760245439979866E-2</v>
      </c>
      <c r="Y20" s="46">
        <v>1799243.43</v>
      </c>
      <c r="Z20" s="45">
        <v>0.1255204883878055</v>
      </c>
      <c r="AA20" s="46">
        <v>4631681.24</v>
      </c>
      <c r="AB20" s="45">
        <v>1.4069551700585155E-2</v>
      </c>
      <c r="AC20" s="46">
        <v>519163.68</v>
      </c>
      <c r="AD20" s="45">
        <v>6.3196541650222718E-2</v>
      </c>
      <c r="AE20" s="46">
        <v>2331939.91</v>
      </c>
      <c r="AF20" s="52">
        <v>0</v>
      </c>
      <c r="AG20" s="53"/>
      <c r="AH20" s="45">
        <v>2.047007429286633E-2</v>
      </c>
      <c r="AI20" s="83">
        <v>755341.7</v>
      </c>
      <c r="AJ20" s="45">
        <v>5.902187459860981E-2</v>
      </c>
      <c r="AK20" s="48">
        <v>2177895.52</v>
      </c>
      <c r="AL20" s="45">
        <v>0.13294517580937831</v>
      </c>
      <c r="AM20" s="48">
        <v>4905650.74</v>
      </c>
      <c r="AN20" s="45">
        <v>0.14222146829465082</v>
      </c>
      <c r="AO20" s="48">
        <v>5247944.1012881296</v>
      </c>
      <c r="AP20" s="55"/>
      <c r="AQ20" s="56"/>
      <c r="AR20" s="55"/>
      <c r="AS20" s="56"/>
      <c r="AT20" s="45">
        <v>2.7976886990076109E-3</v>
      </c>
      <c r="AU20" s="48">
        <v>103234.16064570099</v>
      </c>
      <c r="AV20" s="39">
        <f t="shared" si="0"/>
        <v>0</v>
      </c>
      <c r="AW20" s="40">
        <f t="shared" si="2"/>
        <v>24465078.711079959</v>
      </c>
      <c r="AX20" s="40">
        <f t="shared" si="3"/>
        <v>12434724.85892004</v>
      </c>
      <c r="AY20" s="40">
        <f t="shared" si="4"/>
        <v>36899803.57</v>
      </c>
      <c r="AZ20" s="41">
        <f t="shared" si="1"/>
        <v>-1</v>
      </c>
    </row>
    <row r="21" spans="1:52" ht="13.8">
      <c r="A21" s="42"/>
      <c r="B21" s="43" t="s">
        <v>81</v>
      </c>
      <c r="C21" s="58">
        <v>1516.69</v>
      </c>
      <c r="D21" s="52">
        <v>0</v>
      </c>
      <c r="E21" s="53"/>
      <c r="F21" s="52">
        <v>0</v>
      </c>
      <c r="G21" s="53"/>
      <c r="H21" s="52">
        <v>0</v>
      </c>
      <c r="I21" s="53"/>
      <c r="J21" s="52">
        <v>0</v>
      </c>
      <c r="K21" s="53"/>
      <c r="L21" s="52">
        <v>0</v>
      </c>
      <c r="M21" s="53"/>
      <c r="N21" s="52">
        <v>0</v>
      </c>
      <c r="O21" s="56"/>
      <c r="P21" s="74">
        <v>0</v>
      </c>
      <c r="Q21" s="56"/>
      <c r="R21" s="75">
        <v>0</v>
      </c>
      <c r="S21" s="56"/>
      <c r="T21" s="75">
        <v>0</v>
      </c>
      <c r="U21" s="56"/>
      <c r="V21" s="74">
        <v>0</v>
      </c>
      <c r="W21" s="56"/>
      <c r="X21" s="52">
        <v>0</v>
      </c>
      <c r="Y21" s="56"/>
      <c r="Z21" s="52">
        <v>0</v>
      </c>
      <c r="AA21" s="56"/>
      <c r="AB21" s="52">
        <v>0</v>
      </c>
      <c r="AC21" s="56"/>
      <c r="AD21" s="52">
        <v>0</v>
      </c>
      <c r="AE21" s="56"/>
      <c r="AF21" s="52">
        <v>0</v>
      </c>
      <c r="AG21" s="56"/>
      <c r="AH21" s="84"/>
      <c r="AI21" s="56"/>
      <c r="AJ21" s="84"/>
      <c r="AK21" s="56"/>
      <c r="AL21" s="84"/>
      <c r="AM21" s="56"/>
      <c r="AN21" s="66">
        <v>1</v>
      </c>
      <c r="AO21" s="68">
        <v>1516.69</v>
      </c>
      <c r="AP21" s="55"/>
      <c r="AQ21" s="85"/>
      <c r="AR21" s="55"/>
      <c r="AS21" s="85"/>
      <c r="AT21" s="52"/>
      <c r="AU21" s="85"/>
      <c r="AV21" s="39">
        <f t="shared" si="0"/>
        <v>0</v>
      </c>
      <c r="AW21" s="40">
        <f t="shared" si="2"/>
        <v>0</v>
      </c>
      <c r="AX21" s="40">
        <f t="shared" si="3"/>
        <v>1517.69</v>
      </c>
      <c r="AY21" s="40">
        <f t="shared" si="4"/>
        <v>1517.69</v>
      </c>
      <c r="AZ21" s="41">
        <f t="shared" si="1"/>
        <v>-1</v>
      </c>
    </row>
    <row r="22" spans="1:52" ht="14.4">
      <c r="A22" s="30">
        <v>24.6</v>
      </c>
      <c r="B22" s="31" t="s">
        <v>82</v>
      </c>
      <c r="C22" s="32">
        <f>C23+C24</f>
        <v>2767995.93</v>
      </c>
      <c r="D22" s="33">
        <v>5.6791991020015695E-4</v>
      </c>
      <c r="E22" s="86">
        <v>1572</v>
      </c>
      <c r="F22" s="33">
        <v>3.0874828634592677E-2</v>
      </c>
      <c r="G22" s="86">
        <v>85461.4</v>
      </c>
      <c r="H22" s="33">
        <v>2.2778563117323659E-2</v>
      </c>
      <c r="I22" s="86">
        <v>63050.970000000008</v>
      </c>
      <c r="J22" s="33">
        <v>2.3836082735858643E-2</v>
      </c>
      <c r="K22" s="86">
        <v>65978.179999999993</v>
      </c>
      <c r="L22" s="33">
        <v>3.6488492958152579E-4</v>
      </c>
      <c r="M22" s="86">
        <v>1010</v>
      </c>
      <c r="N22" s="33">
        <v>0</v>
      </c>
      <c r="O22" s="87">
        <v>0</v>
      </c>
      <c r="P22" s="35">
        <v>0</v>
      </c>
      <c r="Q22" s="87">
        <v>0</v>
      </c>
      <c r="R22" s="36">
        <v>0</v>
      </c>
      <c r="S22" s="87">
        <v>0</v>
      </c>
      <c r="T22" s="36">
        <v>4.0098173121229985E-2</v>
      </c>
      <c r="U22" s="88">
        <v>110991.58</v>
      </c>
      <c r="V22" s="35">
        <v>2.1089253709126659E-2</v>
      </c>
      <c r="W22" s="88">
        <v>58374.968433599999</v>
      </c>
      <c r="X22" s="33">
        <v>8.2446074983932513E-3</v>
      </c>
      <c r="Y22" s="88">
        <v>22821.040000000001</v>
      </c>
      <c r="Z22" s="33">
        <v>0</v>
      </c>
      <c r="AA22" s="88">
        <v>0</v>
      </c>
      <c r="AB22" s="33">
        <v>0</v>
      </c>
      <c r="AC22" s="88">
        <v>0</v>
      </c>
      <c r="AD22" s="33">
        <v>3.8554644840102779E-3</v>
      </c>
      <c r="AE22" s="88">
        <v>10671.91</v>
      </c>
      <c r="AF22" s="33">
        <v>1.5936118085260333E-2</v>
      </c>
      <c r="AG22" s="88">
        <v>44111.11</v>
      </c>
      <c r="AH22" s="89">
        <v>0</v>
      </c>
      <c r="AI22" s="88">
        <v>0</v>
      </c>
      <c r="AJ22" s="38"/>
      <c r="AK22" s="90">
        <v>315789.21999999997</v>
      </c>
      <c r="AL22" s="71"/>
      <c r="AM22" s="91">
        <v>455703.41</v>
      </c>
      <c r="AN22" s="71"/>
      <c r="AO22" s="91">
        <v>495696.05</v>
      </c>
      <c r="AP22" s="38"/>
      <c r="AQ22" s="32">
        <v>492701.04</v>
      </c>
      <c r="AR22" s="38"/>
      <c r="AS22" s="32">
        <v>406805.54</v>
      </c>
      <c r="AT22" s="33">
        <v>4.95873242004371E-2</v>
      </c>
      <c r="AU22" s="32">
        <v>137257.51156640041</v>
      </c>
      <c r="AV22" s="39">
        <f t="shared" si="0"/>
        <v>0</v>
      </c>
      <c r="AW22" s="40">
        <f t="shared" si="2"/>
        <v>464043.32607949612</v>
      </c>
      <c r="AX22" s="40">
        <f t="shared" si="3"/>
        <v>2303952.8211537246</v>
      </c>
      <c r="AY22" s="40">
        <f t="shared" si="4"/>
        <v>2767996.1472332207</v>
      </c>
      <c r="AZ22" s="41">
        <f t="shared" si="1"/>
        <v>-0.21723322058096528</v>
      </c>
    </row>
    <row r="23" spans="1:52" ht="13.8">
      <c r="A23" s="42" t="s">
        <v>83</v>
      </c>
      <c r="B23" s="43" t="s">
        <v>82</v>
      </c>
      <c r="C23" s="58">
        <v>2731780.04</v>
      </c>
      <c r="D23" s="45">
        <v>5.7544896623521705E-4</v>
      </c>
      <c r="E23" s="46">
        <v>1572</v>
      </c>
      <c r="F23" s="45">
        <v>3.1284143945937898E-2</v>
      </c>
      <c r="G23" s="46">
        <v>85461.4</v>
      </c>
      <c r="H23" s="45">
        <v>2.3080544215412016E-2</v>
      </c>
      <c r="I23" s="47">
        <v>63050.970000000008</v>
      </c>
      <c r="J23" s="45">
        <v>2.4152083635547755E-2</v>
      </c>
      <c r="K23" s="46">
        <v>65978.179999999993</v>
      </c>
      <c r="L23" s="45">
        <v>3.6972230018929341E-4</v>
      </c>
      <c r="M23" s="46">
        <v>1010</v>
      </c>
      <c r="N23" s="52">
        <v>0</v>
      </c>
      <c r="O23" s="53"/>
      <c r="P23" s="74">
        <v>0</v>
      </c>
      <c r="Q23" s="53"/>
      <c r="R23" s="75">
        <v>0</v>
      </c>
      <c r="S23" s="53"/>
      <c r="T23" s="50">
        <v>4.0629764613112851E-2</v>
      </c>
      <c r="U23" s="48">
        <v>110991.58</v>
      </c>
      <c r="V23" s="49">
        <v>2.1368839210641571E-2</v>
      </c>
      <c r="W23" s="51">
        <v>58374.968433599999</v>
      </c>
      <c r="X23" s="45">
        <v>8.3539083183285876E-3</v>
      </c>
      <c r="Y23" s="48">
        <v>22821.040000000001</v>
      </c>
      <c r="Z23" s="52">
        <v>0</v>
      </c>
      <c r="AA23" s="56">
        <v>0</v>
      </c>
      <c r="AB23" s="52">
        <v>0</v>
      </c>
      <c r="AC23" s="92">
        <v>0</v>
      </c>
      <c r="AD23" s="45">
        <v>3.9065773392209131E-3</v>
      </c>
      <c r="AE23" s="46">
        <v>10671.91</v>
      </c>
      <c r="AF23" s="45">
        <v>3.445778892212713E-3</v>
      </c>
      <c r="AG23" s="46">
        <v>9413.11</v>
      </c>
      <c r="AH23" s="52">
        <v>0</v>
      </c>
      <c r="AI23" s="54"/>
      <c r="AJ23" s="45">
        <v>0.11559833345879486</v>
      </c>
      <c r="AK23" s="48">
        <v>315789.21999999997</v>
      </c>
      <c r="AL23" s="45">
        <v>0.16681555737554915</v>
      </c>
      <c r="AM23" s="48">
        <v>455703.41</v>
      </c>
      <c r="AN23" s="45">
        <v>0.1814553304957891</v>
      </c>
      <c r="AO23" s="48">
        <v>495696.05</v>
      </c>
      <c r="AP23" s="45">
        <v>0.18035897209352184</v>
      </c>
      <c r="AQ23" s="48">
        <v>492701.04</v>
      </c>
      <c r="AR23" s="45">
        <v>0.1483668282458056</v>
      </c>
      <c r="AS23" s="48">
        <v>405305.54</v>
      </c>
      <c r="AT23" s="45">
        <v>5.0238166893700704E-2</v>
      </c>
      <c r="AU23" s="48">
        <v>137239.6215664004</v>
      </c>
      <c r="AV23" s="39">
        <f t="shared" si="0"/>
        <v>0</v>
      </c>
      <c r="AW23" s="40">
        <f t="shared" si="2"/>
        <v>429345.31560041138</v>
      </c>
      <c r="AX23" s="40">
        <f t="shared" si="3"/>
        <v>2302435.724399589</v>
      </c>
      <c r="AY23" s="40">
        <f t="shared" si="4"/>
        <v>2731781.0400000005</v>
      </c>
      <c r="AZ23" s="41">
        <f t="shared" si="1"/>
        <v>-1.0000000004656613</v>
      </c>
    </row>
    <row r="24" spans="1:52" s="93" customFormat="1" ht="13.8">
      <c r="A24" s="42"/>
      <c r="B24" s="43" t="s">
        <v>84</v>
      </c>
      <c r="C24" s="44">
        <v>36215.89</v>
      </c>
      <c r="D24" s="52">
        <v>0</v>
      </c>
      <c r="E24" s="53"/>
      <c r="F24" s="52">
        <v>0</v>
      </c>
      <c r="G24" s="53"/>
      <c r="H24" s="52">
        <v>0</v>
      </c>
      <c r="I24" s="73"/>
      <c r="J24" s="52">
        <v>0</v>
      </c>
      <c r="K24" s="53"/>
      <c r="L24" s="52">
        <v>0</v>
      </c>
      <c r="M24" s="53"/>
      <c r="N24" s="52">
        <v>0</v>
      </c>
      <c r="O24" s="53"/>
      <c r="P24" s="74">
        <v>0</v>
      </c>
      <c r="Q24" s="53"/>
      <c r="R24" s="75">
        <v>0</v>
      </c>
      <c r="S24" s="53"/>
      <c r="T24" s="75">
        <v>0</v>
      </c>
      <c r="U24" s="53"/>
      <c r="V24" s="74">
        <v>0</v>
      </c>
      <c r="W24" s="53"/>
      <c r="X24" s="52">
        <v>0</v>
      </c>
      <c r="Y24" s="53">
        <v>0</v>
      </c>
      <c r="Z24" s="52">
        <v>0</v>
      </c>
      <c r="AA24" s="53"/>
      <c r="AB24" s="52">
        <v>0</v>
      </c>
      <c r="AC24" s="53">
        <v>0</v>
      </c>
      <c r="AD24" s="52">
        <v>0</v>
      </c>
      <c r="AE24" s="53"/>
      <c r="AF24" s="66">
        <v>0.95808773441713013</v>
      </c>
      <c r="AG24" s="79">
        <v>34698</v>
      </c>
      <c r="AH24" s="52"/>
      <c r="AI24" s="54"/>
      <c r="AJ24" s="55"/>
      <c r="AK24" s="56"/>
      <c r="AL24" s="55"/>
      <c r="AM24" s="56"/>
      <c r="AN24" s="55"/>
      <c r="AO24" s="56"/>
      <c r="AP24" s="55"/>
      <c r="AQ24" s="56"/>
      <c r="AR24" s="66">
        <v>4.1418283521404559E-2</v>
      </c>
      <c r="AS24" s="68">
        <v>1500</v>
      </c>
      <c r="AT24" s="66">
        <v>4.9398206146526898E-4</v>
      </c>
      <c r="AU24" s="68">
        <v>17.889999999999418</v>
      </c>
      <c r="AV24" s="39">
        <f t="shared" si="0"/>
        <v>0</v>
      </c>
      <c r="AW24" s="40">
        <f t="shared" si="2"/>
        <v>34698.95808773442</v>
      </c>
      <c r="AX24" s="40">
        <f t="shared" si="3"/>
        <v>1517.9319122655822</v>
      </c>
      <c r="AY24" s="40">
        <f t="shared" si="4"/>
        <v>36216.89</v>
      </c>
      <c r="AZ24" s="41">
        <f t="shared" si="1"/>
        <v>-1</v>
      </c>
    </row>
    <row r="25" spans="1:52" ht="14.4">
      <c r="A25" s="30">
        <v>24.7</v>
      </c>
      <c r="B25" s="31" t="s">
        <v>85</v>
      </c>
      <c r="C25" s="32">
        <f>SUM(C26:C31)</f>
        <v>9489213.1899999995</v>
      </c>
      <c r="D25" s="33">
        <v>0</v>
      </c>
      <c r="E25" s="76">
        <v>0</v>
      </c>
      <c r="F25" s="33">
        <v>0</v>
      </c>
      <c r="G25" s="76">
        <v>0</v>
      </c>
      <c r="H25" s="33">
        <v>0</v>
      </c>
      <c r="I25" s="81">
        <v>0</v>
      </c>
      <c r="J25" s="33">
        <v>0</v>
      </c>
      <c r="K25" s="76"/>
      <c r="L25" s="33">
        <v>0</v>
      </c>
      <c r="M25" s="76"/>
      <c r="N25" s="33">
        <v>0</v>
      </c>
      <c r="O25" s="76"/>
      <c r="P25" s="35">
        <v>0</v>
      </c>
      <c r="Q25" s="76">
        <v>0</v>
      </c>
      <c r="R25" s="36">
        <v>8.6370069213293765E-3</v>
      </c>
      <c r="S25" s="76">
        <v>81958.400000000009</v>
      </c>
      <c r="T25" s="36">
        <v>4.212477915674271E-2</v>
      </c>
      <c r="U25" s="76">
        <v>399731.01</v>
      </c>
      <c r="V25" s="35">
        <v>4.3140496854513176E-2</v>
      </c>
      <c r="W25" s="76">
        <v>409369.37177499995</v>
      </c>
      <c r="X25" s="33">
        <v>8.467812703868656E-2</v>
      </c>
      <c r="Y25" s="76">
        <v>803528.8</v>
      </c>
      <c r="Z25" s="33">
        <v>8.3413429981121542E-2</v>
      </c>
      <c r="AA25" s="76">
        <v>791527.82</v>
      </c>
      <c r="AB25" s="33">
        <v>0.10741426602936298</v>
      </c>
      <c r="AC25" s="76">
        <v>1019276.8700000001</v>
      </c>
      <c r="AD25" s="33">
        <v>6.0923823548325186E-2</v>
      </c>
      <c r="AE25" s="76">
        <v>578119.14999999991</v>
      </c>
      <c r="AF25" s="33">
        <v>9.0569662920598801E-2</v>
      </c>
      <c r="AG25" s="76">
        <v>859434.84</v>
      </c>
      <c r="AH25" s="33">
        <v>4.8934155098269011E-2</v>
      </c>
      <c r="AI25" s="77">
        <v>464346.63</v>
      </c>
      <c r="AJ25" s="78"/>
      <c r="AK25" s="77">
        <v>497859</v>
      </c>
      <c r="AL25" s="78"/>
      <c r="AM25" s="77">
        <v>687830</v>
      </c>
      <c r="AN25" s="78"/>
      <c r="AO25" s="77">
        <v>837156</v>
      </c>
      <c r="AP25" s="78"/>
      <c r="AQ25" s="77">
        <v>857331.19999999995</v>
      </c>
      <c r="AR25" s="78"/>
      <c r="AS25" s="77">
        <v>1157689.9500000002</v>
      </c>
      <c r="AT25" s="33">
        <v>4.6425501612109843E-3</v>
      </c>
      <c r="AU25" s="76">
        <v>44054.148224999895</v>
      </c>
      <c r="AV25" s="39">
        <f t="shared" si="0"/>
        <v>0</v>
      </c>
      <c r="AW25" s="40">
        <f t="shared" si="2"/>
        <v>5407293.4616107475</v>
      </c>
      <c r="AX25" s="40">
        <f t="shared" si="3"/>
        <v>4081920.3028675504</v>
      </c>
      <c r="AY25" s="40">
        <f t="shared" si="4"/>
        <v>9489213.7644782979</v>
      </c>
      <c r="AZ25" s="41">
        <f t="shared" si="1"/>
        <v>-0.57447829842567444</v>
      </c>
    </row>
    <row r="26" spans="1:52" ht="13.8">
      <c r="A26" s="42" t="s">
        <v>86</v>
      </c>
      <c r="B26" s="43" t="s">
        <v>87</v>
      </c>
      <c r="C26" s="58">
        <v>3622456.33</v>
      </c>
      <c r="D26" s="52"/>
      <c r="E26" s="53"/>
      <c r="F26" s="52">
        <v>0</v>
      </c>
      <c r="G26" s="53"/>
      <c r="H26" s="52">
        <v>0</v>
      </c>
      <c r="I26" s="73"/>
      <c r="J26" s="52">
        <v>0</v>
      </c>
      <c r="K26" s="53"/>
      <c r="L26" s="52">
        <v>0</v>
      </c>
      <c r="M26" s="53"/>
      <c r="N26" s="52">
        <v>0</v>
      </c>
      <c r="O26" s="53"/>
      <c r="P26" s="74">
        <v>0</v>
      </c>
      <c r="Q26" s="53"/>
      <c r="R26" s="75">
        <v>0</v>
      </c>
      <c r="S26" s="53"/>
      <c r="T26" s="50">
        <v>7.4547918704654201E-2</v>
      </c>
      <c r="U26" s="46">
        <v>270046.58</v>
      </c>
      <c r="V26" s="49">
        <v>5.9351729714599476E-2</v>
      </c>
      <c r="W26" s="51">
        <v>214999.04900109998</v>
      </c>
      <c r="X26" s="45">
        <v>0.10732036347281515</v>
      </c>
      <c r="Y26" s="46">
        <v>388763.33</v>
      </c>
      <c r="Z26" s="45">
        <v>5.7462945315892876E-2</v>
      </c>
      <c r="AA26" s="46">
        <v>208157.01</v>
      </c>
      <c r="AB26" s="45">
        <v>0.13050063187373193</v>
      </c>
      <c r="AC26" s="46">
        <v>472732.84</v>
      </c>
      <c r="AD26" s="45">
        <v>7.54831156239225E-2</v>
      </c>
      <c r="AE26" s="46">
        <v>273434.28999999998</v>
      </c>
      <c r="AF26" s="45">
        <v>5.0568107193717363E-2</v>
      </c>
      <c r="AG26" s="46">
        <v>183180.76</v>
      </c>
      <c r="AH26" s="52">
        <v>0</v>
      </c>
      <c r="AI26" s="54"/>
      <c r="AJ26" s="45">
        <v>5.1264662174685206E-2</v>
      </c>
      <c r="AK26" s="48">
        <v>185704</v>
      </c>
      <c r="AL26" s="45">
        <v>8.4668515520793033E-2</v>
      </c>
      <c r="AM26" s="48">
        <v>306708</v>
      </c>
      <c r="AN26" s="45">
        <v>0.1043239629613423</v>
      </c>
      <c r="AO26" s="48">
        <v>377909</v>
      </c>
      <c r="AP26" s="45">
        <v>7.492264233865864E-2</v>
      </c>
      <c r="AQ26" s="48">
        <v>271404</v>
      </c>
      <c r="AR26" s="45">
        <v>0.12452876139986482</v>
      </c>
      <c r="AS26" s="48">
        <v>451100</v>
      </c>
      <c r="AT26" s="45">
        <v>5.0566437053224632E-3</v>
      </c>
      <c r="AU26" s="48">
        <v>18317.470998900011</v>
      </c>
      <c r="AV26" s="39">
        <f t="shared" si="0"/>
        <v>0</v>
      </c>
      <c r="AW26" s="40">
        <f t="shared" si="2"/>
        <v>2011314.4142359123</v>
      </c>
      <c r="AX26" s="40">
        <f t="shared" si="3"/>
        <v>1611142.915764088</v>
      </c>
      <c r="AY26" s="40">
        <f t="shared" si="4"/>
        <v>3622457.33</v>
      </c>
      <c r="AZ26" s="41">
        <f t="shared" si="1"/>
        <v>-1</v>
      </c>
    </row>
    <row r="27" spans="1:52" ht="13.8">
      <c r="A27" s="42"/>
      <c r="B27" s="43" t="s">
        <v>88</v>
      </c>
      <c r="C27" s="94">
        <v>138133.35</v>
      </c>
      <c r="D27" s="52"/>
      <c r="E27" s="53"/>
      <c r="F27" s="52">
        <v>0</v>
      </c>
      <c r="G27" s="53"/>
      <c r="H27" s="52">
        <v>0</v>
      </c>
      <c r="I27" s="73"/>
      <c r="J27" s="52">
        <v>0</v>
      </c>
      <c r="K27" s="53"/>
      <c r="L27" s="52">
        <v>0</v>
      </c>
      <c r="M27" s="53"/>
      <c r="N27" s="52">
        <v>0</v>
      </c>
      <c r="O27" s="53"/>
      <c r="P27" s="74">
        <v>0</v>
      </c>
      <c r="Q27" s="53"/>
      <c r="R27" s="75">
        <v>0</v>
      </c>
      <c r="S27" s="53"/>
      <c r="T27" s="75">
        <v>0</v>
      </c>
      <c r="U27" s="53"/>
      <c r="V27" s="74">
        <v>0</v>
      </c>
      <c r="W27" s="95">
        <v>0</v>
      </c>
      <c r="X27" s="52">
        <v>0</v>
      </c>
      <c r="Y27" s="53"/>
      <c r="Z27" s="52">
        <v>0</v>
      </c>
      <c r="AA27" s="53"/>
      <c r="AB27" s="52">
        <v>0</v>
      </c>
      <c r="AC27" s="53"/>
      <c r="AD27" s="52">
        <v>0</v>
      </c>
      <c r="AE27" s="53"/>
      <c r="AF27" s="52">
        <v>0</v>
      </c>
      <c r="AG27" s="53"/>
      <c r="AH27" s="52"/>
      <c r="AI27" s="54"/>
      <c r="AJ27" s="55"/>
      <c r="AK27" s="56"/>
      <c r="AL27" s="55"/>
      <c r="AM27" s="56"/>
      <c r="AN27" s="55"/>
      <c r="AO27" s="56"/>
      <c r="AP27" s="96">
        <v>3.8132136709568006E-2</v>
      </c>
      <c r="AQ27" s="97">
        <v>138132</v>
      </c>
      <c r="AR27" s="55"/>
      <c r="AS27" s="56"/>
      <c r="AT27" s="52">
        <v>9.7731648440135608E-6</v>
      </c>
      <c r="AU27" s="56">
        <v>1.3500000000058208</v>
      </c>
      <c r="AV27" s="39">
        <f t="shared" si="0"/>
        <v>0</v>
      </c>
      <c r="AW27" s="40">
        <f t="shared" si="2"/>
        <v>0</v>
      </c>
      <c r="AX27" s="40">
        <f t="shared" si="3"/>
        <v>138133.38814190988</v>
      </c>
      <c r="AY27" s="40">
        <f t="shared" si="4"/>
        <v>138133.38814190988</v>
      </c>
      <c r="AZ27" s="41">
        <f t="shared" si="1"/>
        <v>-3.8141909870319068E-2</v>
      </c>
    </row>
    <row r="28" spans="1:52" ht="13.8">
      <c r="A28" s="42" t="s">
        <v>89</v>
      </c>
      <c r="B28" s="43" t="s">
        <v>90</v>
      </c>
      <c r="C28" s="44">
        <v>677604.14</v>
      </c>
      <c r="D28" s="52"/>
      <c r="E28" s="53"/>
      <c r="F28" s="52">
        <v>0</v>
      </c>
      <c r="G28" s="53"/>
      <c r="H28" s="52">
        <v>0</v>
      </c>
      <c r="I28" s="73"/>
      <c r="J28" s="52">
        <v>0</v>
      </c>
      <c r="K28" s="53"/>
      <c r="L28" s="52">
        <v>0</v>
      </c>
      <c r="M28" s="53"/>
      <c r="N28" s="52">
        <v>0</v>
      </c>
      <c r="O28" s="53"/>
      <c r="P28" s="74">
        <v>0</v>
      </c>
      <c r="Q28" s="53"/>
      <c r="R28" s="75">
        <v>0</v>
      </c>
      <c r="S28" s="53"/>
      <c r="T28" s="75">
        <v>0</v>
      </c>
      <c r="U28" s="53"/>
      <c r="V28" s="74">
        <v>0</v>
      </c>
      <c r="W28" s="95">
        <v>0</v>
      </c>
      <c r="X28" s="52">
        <v>0</v>
      </c>
      <c r="Y28" s="53"/>
      <c r="Z28" s="45">
        <v>0.43600481838850624</v>
      </c>
      <c r="AA28" s="46">
        <v>295438.67</v>
      </c>
      <c r="AB28" s="45">
        <v>8.0492380108539485E-2</v>
      </c>
      <c r="AC28" s="46">
        <v>54541.97</v>
      </c>
      <c r="AD28" s="52">
        <v>0</v>
      </c>
      <c r="AE28" s="53"/>
      <c r="AF28" s="45">
        <v>0.13093758547579123</v>
      </c>
      <c r="AG28" s="46">
        <v>88723.85</v>
      </c>
      <c r="AH28" s="45">
        <v>0.20989932263400868</v>
      </c>
      <c r="AI28" s="83">
        <v>142228.65</v>
      </c>
      <c r="AJ28" s="45">
        <v>4.1240893244837609E-2</v>
      </c>
      <c r="AK28" s="48">
        <v>27945</v>
      </c>
      <c r="AL28" s="45">
        <v>3.940944044409174E-2</v>
      </c>
      <c r="AM28" s="48">
        <v>26704</v>
      </c>
      <c r="AN28" s="45">
        <v>2.1406303686397194E-2</v>
      </c>
      <c r="AO28" s="48">
        <v>14505</v>
      </c>
      <c r="AP28" s="45">
        <v>2.0497513489218057E-2</v>
      </c>
      <c r="AQ28" s="48">
        <v>13889.2</v>
      </c>
      <c r="AR28" s="45">
        <v>1.8980167387997366E-2</v>
      </c>
      <c r="AS28" s="48">
        <v>12861.04</v>
      </c>
      <c r="AT28" s="45">
        <v>1.1315751406123483E-3</v>
      </c>
      <c r="AU28" s="48">
        <v>766.76000000000931</v>
      </c>
      <c r="AV28" s="39">
        <f t="shared" si="0"/>
        <v>0</v>
      </c>
      <c r="AW28" s="40">
        <f t="shared" si="2"/>
        <v>580933.99733410659</v>
      </c>
      <c r="AX28" s="40">
        <f t="shared" si="3"/>
        <v>96671.142665893392</v>
      </c>
      <c r="AY28" s="40">
        <f t="shared" si="4"/>
        <v>677605.14</v>
      </c>
      <c r="AZ28" s="41">
        <f t="shared" si="1"/>
        <v>-1</v>
      </c>
    </row>
    <row r="29" spans="1:52" ht="13.8">
      <c r="A29" s="42"/>
      <c r="B29" s="43" t="s">
        <v>91</v>
      </c>
      <c r="C29" s="44">
        <v>8763.09</v>
      </c>
      <c r="D29" s="52"/>
      <c r="E29" s="53"/>
      <c r="F29" s="52">
        <v>0</v>
      </c>
      <c r="G29" s="53"/>
      <c r="H29" s="52">
        <v>0</v>
      </c>
      <c r="I29" s="73"/>
      <c r="J29" s="52">
        <v>0</v>
      </c>
      <c r="K29" s="53"/>
      <c r="L29" s="52">
        <v>0</v>
      </c>
      <c r="M29" s="53"/>
      <c r="N29" s="52">
        <v>0</v>
      </c>
      <c r="O29" s="53"/>
      <c r="P29" s="74">
        <v>0</v>
      </c>
      <c r="Q29" s="53"/>
      <c r="R29" s="75">
        <v>0</v>
      </c>
      <c r="S29" s="53"/>
      <c r="T29" s="75">
        <v>0</v>
      </c>
      <c r="U29" s="53"/>
      <c r="V29" s="74">
        <v>0</v>
      </c>
      <c r="W29" s="95">
        <v>0</v>
      </c>
      <c r="X29" s="52">
        <v>0</v>
      </c>
      <c r="Y29" s="53"/>
      <c r="Z29" s="66">
        <v>7.4149643561802966E-2</v>
      </c>
      <c r="AA29" s="79">
        <v>649.78</v>
      </c>
      <c r="AB29" s="52">
        <v>0</v>
      </c>
      <c r="AC29" s="53">
        <v>0</v>
      </c>
      <c r="AD29" s="52">
        <v>0</v>
      </c>
      <c r="AE29" s="53"/>
      <c r="AF29" s="66">
        <v>7.0186429672638301E-2</v>
      </c>
      <c r="AG29" s="79">
        <v>615.04999999999995</v>
      </c>
      <c r="AH29" s="66">
        <v>0.30350024934127118</v>
      </c>
      <c r="AI29" s="68">
        <v>2659.6</v>
      </c>
      <c r="AJ29" s="98"/>
      <c r="AK29" s="56"/>
      <c r="AL29" s="55"/>
      <c r="AM29" s="56"/>
      <c r="AN29" s="55"/>
      <c r="AO29" s="56"/>
      <c r="AP29" s="55"/>
      <c r="AQ29" s="56"/>
      <c r="AR29" s="66">
        <v>0.47072436777438093</v>
      </c>
      <c r="AS29" s="68">
        <v>4125</v>
      </c>
      <c r="AT29" s="66">
        <v>8.1439309649906574E-2</v>
      </c>
      <c r="AU29" s="68">
        <v>713.65999999999985</v>
      </c>
      <c r="AV29" s="39">
        <f t="shared" si="0"/>
        <v>0</v>
      </c>
      <c r="AW29" s="40">
        <f t="shared" si="2"/>
        <v>3924.8778363225756</v>
      </c>
      <c r="AX29" s="40">
        <f t="shared" si="3"/>
        <v>4839.2121636774236</v>
      </c>
      <c r="AY29" s="40">
        <f t="shared" si="4"/>
        <v>8764.09</v>
      </c>
      <c r="AZ29" s="41">
        <f t="shared" si="1"/>
        <v>-1</v>
      </c>
    </row>
    <row r="30" spans="1:52" ht="13.8">
      <c r="A30" s="42" t="s">
        <v>92</v>
      </c>
      <c r="B30" s="43" t="s">
        <v>93</v>
      </c>
      <c r="C30" s="44">
        <v>3150677.75</v>
      </c>
      <c r="D30" s="52"/>
      <c r="E30" s="53"/>
      <c r="F30" s="52">
        <v>0</v>
      </c>
      <c r="G30" s="53"/>
      <c r="H30" s="52">
        <v>0</v>
      </c>
      <c r="I30" s="73"/>
      <c r="J30" s="52">
        <v>0</v>
      </c>
      <c r="K30" s="53"/>
      <c r="L30" s="52">
        <v>0</v>
      </c>
      <c r="M30" s="53"/>
      <c r="N30" s="52">
        <v>0</v>
      </c>
      <c r="O30" s="53"/>
      <c r="P30" s="74">
        <v>0</v>
      </c>
      <c r="Q30" s="53"/>
      <c r="R30" s="50">
        <v>2.4566765039680749E-2</v>
      </c>
      <c r="S30" s="46">
        <v>77401.960000000006</v>
      </c>
      <c r="T30" s="50">
        <v>4.1160804211093943E-2</v>
      </c>
      <c r="U30" s="46">
        <v>129684.43</v>
      </c>
      <c r="V30" s="49">
        <v>6.0342315848169494E-2</v>
      </c>
      <c r="W30" s="51">
        <v>190119.1919263</v>
      </c>
      <c r="X30" s="45">
        <v>0.1288036232839109</v>
      </c>
      <c r="Y30" s="46">
        <v>405818.71</v>
      </c>
      <c r="Z30" s="45">
        <v>8.9223510719241284E-2</v>
      </c>
      <c r="AA30" s="46">
        <v>281114.53000000003</v>
      </c>
      <c r="AB30" s="45">
        <v>0.15277230430817623</v>
      </c>
      <c r="AC30" s="46">
        <v>481336.3</v>
      </c>
      <c r="AD30" s="45">
        <v>9.4622790286946992E-2</v>
      </c>
      <c r="AE30" s="46">
        <v>298125.92</v>
      </c>
      <c r="AF30" s="45">
        <v>0.13606690179597072</v>
      </c>
      <c r="AG30" s="46">
        <v>428702.96</v>
      </c>
      <c r="AH30" s="45">
        <v>5.7103853289978641E-2</v>
      </c>
      <c r="AI30" s="48">
        <v>179915.84</v>
      </c>
      <c r="AJ30" s="45">
        <v>3.3866998933800831E-2</v>
      </c>
      <c r="AK30" s="48">
        <v>106704</v>
      </c>
      <c r="AL30" s="45">
        <v>4.9135142430862692E-2</v>
      </c>
      <c r="AM30" s="48">
        <v>154809</v>
      </c>
      <c r="AN30" s="45">
        <v>4.5798082650629693E-2</v>
      </c>
      <c r="AO30" s="48">
        <v>144295</v>
      </c>
      <c r="AP30" s="45">
        <v>4.5767613015961404E-2</v>
      </c>
      <c r="AQ30" s="48">
        <v>144199</v>
      </c>
      <c r="AR30" s="45">
        <v>3.3070979728091837E-2</v>
      </c>
      <c r="AS30" s="48">
        <v>104196</v>
      </c>
      <c r="AT30" s="45">
        <v>7.6983144574845948E-3</v>
      </c>
      <c r="AU30" s="48">
        <v>24254.908073700033</v>
      </c>
      <c r="AV30" s="39">
        <f t="shared" si="0"/>
        <v>0</v>
      </c>
      <c r="AW30" s="40">
        <f t="shared" si="2"/>
        <v>2472220.6265891688</v>
      </c>
      <c r="AX30" s="40">
        <f t="shared" si="3"/>
        <v>678458.12341083132</v>
      </c>
      <c r="AY30" s="40">
        <f t="shared" si="4"/>
        <v>3150678.75</v>
      </c>
      <c r="AZ30" s="41">
        <f t="shared" si="1"/>
        <v>-1</v>
      </c>
    </row>
    <row r="31" spans="1:52" ht="13.8">
      <c r="A31" s="42"/>
      <c r="B31" s="43" t="s">
        <v>94</v>
      </c>
      <c r="C31" s="44">
        <v>1891578.53</v>
      </c>
      <c r="D31" s="52"/>
      <c r="E31" s="53"/>
      <c r="F31" s="52">
        <v>0</v>
      </c>
      <c r="G31" s="53"/>
      <c r="H31" s="52">
        <v>0</v>
      </c>
      <c r="I31" s="73"/>
      <c r="J31" s="52">
        <v>0</v>
      </c>
      <c r="K31" s="53"/>
      <c r="L31" s="52">
        <v>0</v>
      </c>
      <c r="M31" s="53"/>
      <c r="N31" s="52">
        <v>0</v>
      </c>
      <c r="O31" s="53"/>
      <c r="P31" s="74">
        <v>0</v>
      </c>
      <c r="Q31" s="53"/>
      <c r="R31" s="64">
        <v>2.4088029800169064E-3</v>
      </c>
      <c r="S31" s="79">
        <v>4556.4399999999996</v>
      </c>
      <c r="T31" s="75">
        <v>0</v>
      </c>
      <c r="U31" s="53"/>
      <c r="V31" s="62">
        <v>2.2473985510926687E-3</v>
      </c>
      <c r="W31" s="65">
        <v>4251.1308476000004</v>
      </c>
      <c r="X31" s="66">
        <v>4.7297851281913206E-3</v>
      </c>
      <c r="Y31" s="79">
        <v>8946.76</v>
      </c>
      <c r="Z31" s="66">
        <v>3.2606787940228947E-3</v>
      </c>
      <c r="AA31" s="79">
        <v>6167.83</v>
      </c>
      <c r="AB31" s="66">
        <v>5.6385499363856709E-3</v>
      </c>
      <c r="AC31" s="79">
        <v>10665.76</v>
      </c>
      <c r="AD31" s="66">
        <v>3.4674426125993296E-3</v>
      </c>
      <c r="AE31" s="79">
        <v>6558.94</v>
      </c>
      <c r="AF31" s="66">
        <v>8.3640312834381766E-2</v>
      </c>
      <c r="AG31" s="79">
        <v>158212.22</v>
      </c>
      <c r="AH31" s="66">
        <v>7.377041861434111E-2</v>
      </c>
      <c r="AI31" s="68">
        <v>139542.54</v>
      </c>
      <c r="AJ31" s="66">
        <v>9.3840143131673201E-2</v>
      </c>
      <c r="AK31" s="68">
        <v>177506</v>
      </c>
      <c r="AL31" s="66">
        <v>0.10552509284401743</v>
      </c>
      <c r="AM31" s="68">
        <v>199609</v>
      </c>
      <c r="AN31" s="66">
        <v>0.15883400833482711</v>
      </c>
      <c r="AO31" s="68">
        <v>300447</v>
      </c>
      <c r="AP31" s="66">
        <v>0.15315621075483449</v>
      </c>
      <c r="AQ31" s="68">
        <v>289707</v>
      </c>
      <c r="AR31" s="66">
        <v>0.3094811559317075</v>
      </c>
      <c r="AS31" s="68">
        <v>585407.91</v>
      </c>
      <c r="AT31" s="66">
        <v>-4.4809145069816468E-10</v>
      </c>
      <c r="AU31" s="68">
        <v>-8.4760016761720181E-4</v>
      </c>
      <c r="AV31" s="39">
        <f t="shared" si="0"/>
        <v>0</v>
      </c>
      <c r="AW31" s="40">
        <f t="shared" si="2"/>
        <v>338901.80001098948</v>
      </c>
      <c r="AX31" s="40">
        <f t="shared" si="3"/>
        <v>1552677.7299890106</v>
      </c>
      <c r="AY31" s="40">
        <f t="shared" si="4"/>
        <v>1891579.53</v>
      </c>
      <c r="AZ31" s="41">
        <f t="shared" si="1"/>
        <v>-1</v>
      </c>
    </row>
    <row r="32" spans="1:52" ht="14.4">
      <c r="A32" s="30">
        <v>24.8</v>
      </c>
      <c r="B32" s="31" t="s">
        <v>95</v>
      </c>
      <c r="C32" s="32">
        <f>SUM(C33:C38)</f>
        <v>10165088.700000001</v>
      </c>
      <c r="D32" s="33">
        <v>0</v>
      </c>
      <c r="E32" s="76">
        <v>0</v>
      </c>
      <c r="F32" s="33">
        <v>0</v>
      </c>
      <c r="G32" s="76">
        <v>0</v>
      </c>
      <c r="H32" s="33">
        <v>0</v>
      </c>
      <c r="I32" s="81">
        <v>0</v>
      </c>
      <c r="J32" s="33">
        <v>2.6180242775451626E-2</v>
      </c>
      <c r="K32" s="76">
        <v>266124.49</v>
      </c>
      <c r="L32" s="33">
        <v>2.1648693532797209E-2</v>
      </c>
      <c r="M32" s="76">
        <v>220060.89</v>
      </c>
      <c r="N32" s="33">
        <v>9.0175179681412903E-3</v>
      </c>
      <c r="O32" s="76">
        <v>91663.87</v>
      </c>
      <c r="P32" s="35">
        <v>5.7094022209565175E-3</v>
      </c>
      <c r="Q32" s="76">
        <v>58036.58</v>
      </c>
      <c r="R32" s="36">
        <v>7.1056753297194528E-3</v>
      </c>
      <c r="S32" s="76">
        <v>72229.819999999992</v>
      </c>
      <c r="T32" s="36">
        <v>9.9363264778988096E-3</v>
      </c>
      <c r="U32" s="76">
        <v>101003.64</v>
      </c>
      <c r="V32" s="35">
        <v>7.1885250724137803E-2</v>
      </c>
      <c r="W32" s="76">
        <v>730719.94983260008</v>
      </c>
      <c r="X32" s="33">
        <v>7.9903894985195734E-2</v>
      </c>
      <c r="Y32" s="76">
        <v>812230.17999999993</v>
      </c>
      <c r="Z32" s="33">
        <v>9.823754218691666E-2</v>
      </c>
      <c r="AA32" s="76">
        <v>998593.33</v>
      </c>
      <c r="AB32" s="33">
        <v>7.4343790035004811E-2</v>
      </c>
      <c r="AC32" s="76">
        <v>755711.22000000009</v>
      </c>
      <c r="AD32" s="33">
        <v>5.9991923139834473E-2</v>
      </c>
      <c r="AE32" s="76">
        <v>609823.22</v>
      </c>
      <c r="AF32" s="33">
        <v>5.355216034661852E-2</v>
      </c>
      <c r="AG32" s="76">
        <v>544362.46000000008</v>
      </c>
      <c r="AH32" s="33">
        <v>3.3853779357577073E-2</v>
      </c>
      <c r="AI32" s="76">
        <v>344126.67</v>
      </c>
      <c r="AJ32" s="78"/>
      <c r="AK32" s="76">
        <v>1432239</v>
      </c>
      <c r="AL32" s="78"/>
      <c r="AM32" s="76">
        <v>1711839</v>
      </c>
      <c r="AN32" s="78"/>
      <c r="AO32" s="76">
        <v>1041642.32</v>
      </c>
      <c r="AP32" s="78"/>
      <c r="AQ32" s="76">
        <v>374682.06</v>
      </c>
      <c r="AR32" s="78"/>
      <c r="AS32" s="77">
        <v>0</v>
      </c>
      <c r="AT32" s="33">
        <v>1.6468232277751446E-11</v>
      </c>
      <c r="AU32" s="82">
        <v>1.6740104183554649E-4</v>
      </c>
      <c r="AV32" s="39">
        <f t="shared" si="0"/>
        <v>0</v>
      </c>
      <c r="AW32" s="40">
        <f t="shared" si="2"/>
        <v>5604686.8711987985</v>
      </c>
      <c r="AX32" s="40">
        <f t="shared" si="3"/>
        <v>4560402.3801674005</v>
      </c>
      <c r="AY32" s="40">
        <f t="shared" si="4"/>
        <v>10165089.251366198</v>
      </c>
      <c r="AZ32" s="41">
        <f t="shared" si="1"/>
        <v>-0.55136619694530964</v>
      </c>
    </row>
    <row r="33" spans="1:52" ht="13.8">
      <c r="A33" s="42" t="s">
        <v>96</v>
      </c>
      <c r="B33" s="43" t="s">
        <v>97</v>
      </c>
      <c r="C33" s="99">
        <v>79198.59</v>
      </c>
      <c r="D33" s="52"/>
      <c r="E33" s="53"/>
      <c r="F33" s="52">
        <v>0</v>
      </c>
      <c r="G33" s="53"/>
      <c r="H33" s="52">
        <v>0</v>
      </c>
      <c r="I33" s="73"/>
      <c r="J33" s="52">
        <v>0</v>
      </c>
      <c r="K33" s="53"/>
      <c r="L33" s="52">
        <v>0</v>
      </c>
      <c r="M33" s="53"/>
      <c r="N33" s="52">
        <v>0</v>
      </c>
      <c r="O33" s="53"/>
      <c r="P33" s="74">
        <v>0</v>
      </c>
      <c r="Q33" s="53"/>
      <c r="R33" s="50">
        <v>0.18929592054606023</v>
      </c>
      <c r="S33" s="46">
        <v>14991.97</v>
      </c>
      <c r="T33" s="75">
        <v>0</v>
      </c>
      <c r="U33" s="53"/>
      <c r="V33" s="49">
        <v>6.6911200710770224E-2</v>
      </c>
      <c r="W33" s="51">
        <v>5299.2727514999997</v>
      </c>
      <c r="X33" s="45">
        <v>0.13289390631828168</v>
      </c>
      <c r="Y33" s="46">
        <v>10525.01</v>
      </c>
      <c r="Z33" s="45">
        <v>0.22793764383936635</v>
      </c>
      <c r="AA33" s="46">
        <v>18052.34</v>
      </c>
      <c r="AB33" s="45">
        <v>0.10649520401815235</v>
      </c>
      <c r="AC33" s="46">
        <v>8434.27</v>
      </c>
      <c r="AD33" s="45">
        <v>0.13959541451432406</v>
      </c>
      <c r="AE33" s="46">
        <v>11055.76</v>
      </c>
      <c r="AF33" s="52">
        <v>0</v>
      </c>
      <c r="AG33" s="53">
        <v>0</v>
      </c>
      <c r="AH33" s="52">
        <v>0</v>
      </c>
      <c r="AI33" s="56"/>
      <c r="AJ33" s="52">
        <v>0</v>
      </c>
      <c r="AK33" s="56"/>
      <c r="AL33" s="45">
        <v>9.147890132892518E-2</v>
      </c>
      <c r="AM33" s="48">
        <v>7245</v>
      </c>
      <c r="AN33" s="45">
        <v>4.5391843465900084E-2</v>
      </c>
      <c r="AO33" s="48">
        <v>3594.97</v>
      </c>
      <c r="AP33" s="100"/>
      <c r="AQ33" s="101"/>
      <c r="AR33" s="55"/>
      <c r="AS33" s="56"/>
      <c r="AT33" s="52">
        <v>-3.4741780081193101E-8</v>
      </c>
      <c r="AU33" s="56">
        <v>-2.7514999965205789E-3</v>
      </c>
      <c r="AV33" s="39">
        <f t="shared" si="0"/>
        <v>0</v>
      </c>
      <c r="AW33" s="40">
        <f t="shared" si="2"/>
        <v>68359.485880789944</v>
      </c>
      <c r="AX33" s="40">
        <f t="shared" si="3"/>
        <v>10840.104119210057</v>
      </c>
      <c r="AY33" s="40">
        <f t="shared" si="4"/>
        <v>79199.59</v>
      </c>
      <c r="AZ33" s="41">
        <f t="shared" si="1"/>
        <v>-1</v>
      </c>
    </row>
    <row r="34" spans="1:52" ht="13.8">
      <c r="A34" s="42" t="s">
        <v>98</v>
      </c>
      <c r="B34" s="43" t="s">
        <v>99</v>
      </c>
      <c r="C34" s="44">
        <v>8107046.6500000004</v>
      </c>
      <c r="D34" s="52"/>
      <c r="E34" s="53"/>
      <c r="F34" s="52">
        <v>0</v>
      </c>
      <c r="G34" s="53"/>
      <c r="H34" s="52">
        <v>0</v>
      </c>
      <c r="I34" s="73"/>
      <c r="J34" s="45">
        <v>3.2826317830550532E-2</v>
      </c>
      <c r="K34" s="46">
        <v>266124.49</v>
      </c>
      <c r="L34" s="45">
        <v>2.7144396658923875E-2</v>
      </c>
      <c r="M34" s="46">
        <v>220060.89</v>
      </c>
      <c r="N34" s="45">
        <v>1.1306690828034151E-2</v>
      </c>
      <c r="O34" s="46">
        <v>91663.87</v>
      </c>
      <c r="P34" s="49">
        <v>7.1587820454937189E-3</v>
      </c>
      <c r="Q34" s="46">
        <v>58036.58</v>
      </c>
      <c r="R34" s="50">
        <v>7.0602591142114616E-3</v>
      </c>
      <c r="S34" s="46">
        <v>57237.85</v>
      </c>
      <c r="T34" s="50">
        <v>1.2458746613971932E-2</v>
      </c>
      <c r="U34" s="46">
        <v>101003.64</v>
      </c>
      <c r="V34" s="49">
        <v>7.1746414258760924E-2</v>
      </c>
      <c r="W34" s="51">
        <v>581651.52736599999</v>
      </c>
      <c r="X34" s="45">
        <v>5.7784279556353603E-2</v>
      </c>
      <c r="Y34" s="46">
        <v>468459.85</v>
      </c>
      <c r="Z34" s="45">
        <v>8.7594425030229711E-2</v>
      </c>
      <c r="AA34" s="46">
        <v>710132.09</v>
      </c>
      <c r="AB34" s="45">
        <v>6.8101237581999111E-2</v>
      </c>
      <c r="AC34" s="46">
        <v>552099.91</v>
      </c>
      <c r="AD34" s="45">
        <v>2.4510624963530955E-2</v>
      </c>
      <c r="AE34" s="46">
        <v>198708.78</v>
      </c>
      <c r="AF34" s="45">
        <v>4.7873021675532111E-2</v>
      </c>
      <c r="AG34" s="46">
        <v>388108.82</v>
      </c>
      <c r="AH34" s="45">
        <v>3.236157645645224E-2</v>
      </c>
      <c r="AI34" s="48">
        <v>262356.81</v>
      </c>
      <c r="AJ34" s="45">
        <v>0.16021728455207543</v>
      </c>
      <c r="AK34" s="48">
        <v>1298889</v>
      </c>
      <c r="AL34" s="45">
        <v>0.19371308292644399</v>
      </c>
      <c r="AM34" s="48">
        <v>1570441</v>
      </c>
      <c r="AN34" s="45">
        <v>0.11815424794675382</v>
      </c>
      <c r="AO34" s="48">
        <v>957882</v>
      </c>
      <c r="AP34" s="45">
        <v>3.9988611635779846E-2</v>
      </c>
      <c r="AQ34" s="48">
        <v>324189.54000000004</v>
      </c>
      <c r="AR34" s="52"/>
      <c r="AS34" s="56"/>
      <c r="AT34" s="52">
        <v>3.2490265298556744E-10</v>
      </c>
      <c r="AU34" s="56">
        <v>2.6340009644627571E-3</v>
      </c>
      <c r="AV34" s="39">
        <f t="shared" si="0"/>
        <v>0</v>
      </c>
      <c r="AW34" s="40">
        <f t="shared" si="2"/>
        <v>3955645.5952927722</v>
      </c>
      <c r="AX34" s="40">
        <f t="shared" si="3"/>
        <v>4151402.0547072282</v>
      </c>
      <c r="AY34" s="40">
        <f t="shared" si="4"/>
        <v>8107047.6500000004</v>
      </c>
      <c r="AZ34" s="41">
        <f t="shared" si="1"/>
        <v>-1</v>
      </c>
    </row>
    <row r="35" spans="1:52" ht="13.8">
      <c r="A35" s="42" t="s">
        <v>100</v>
      </c>
      <c r="B35" s="43" t="s">
        <v>101</v>
      </c>
      <c r="C35" s="99">
        <v>726886.88</v>
      </c>
      <c r="D35" s="52"/>
      <c r="E35" s="53"/>
      <c r="F35" s="52">
        <v>0</v>
      </c>
      <c r="G35" s="53"/>
      <c r="H35" s="52">
        <v>0</v>
      </c>
      <c r="I35" s="73"/>
      <c r="J35" s="52">
        <v>0</v>
      </c>
      <c r="K35" s="53"/>
      <c r="L35" s="52">
        <v>0</v>
      </c>
      <c r="M35" s="53"/>
      <c r="N35" s="52">
        <v>0</v>
      </c>
      <c r="O35" s="53"/>
      <c r="P35" s="74">
        <v>0</v>
      </c>
      <c r="Q35" s="53"/>
      <c r="R35" s="75">
        <v>0</v>
      </c>
      <c r="S35" s="53"/>
      <c r="T35" s="75">
        <v>0</v>
      </c>
      <c r="U35" s="53"/>
      <c r="V35" s="49">
        <v>0.10751636456541902</v>
      </c>
      <c r="W35" s="51">
        <v>78152.234787899986</v>
      </c>
      <c r="X35" s="45">
        <v>5.9270020116472588E-2</v>
      </c>
      <c r="Y35" s="46">
        <v>43082.6</v>
      </c>
      <c r="Z35" s="45">
        <v>0.23395671964804207</v>
      </c>
      <c r="AA35" s="46">
        <v>170060.07</v>
      </c>
      <c r="AB35" s="45">
        <v>0.17591468977951563</v>
      </c>
      <c r="AC35" s="46">
        <v>127870.08</v>
      </c>
      <c r="AD35" s="45">
        <v>0.31395729690429963</v>
      </c>
      <c r="AE35" s="46">
        <v>228211.44</v>
      </c>
      <c r="AF35" s="45">
        <v>0.10430984804678275</v>
      </c>
      <c r="AG35" s="46">
        <v>75821.460000000006</v>
      </c>
      <c r="AH35" s="52">
        <v>0</v>
      </c>
      <c r="AI35" s="56">
        <v>0</v>
      </c>
      <c r="AJ35" s="45">
        <v>5.0750675263254164E-3</v>
      </c>
      <c r="AK35" s="48">
        <v>3689</v>
      </c>
      <c r="AL35" s="52">
        <v>0</v>
      </c>
      <c r="AM35" s="56"/>
      <c r="AN35" s="52">
        <v>0</v>
      </c>
      <c r="AO35" s="56"/>
      <c r="AP35" s="52"/>
      <c r="AQ35" s="56"/>
      <c r="AR35" s="52"/>
      <c r="AS35" s="56"/>
      <c r="AT35" s="52">
        <v>-6.5868569577452722E-9</v>
      </c>
      <c r="AU35" s="56">
        <v>-4.7878999030217528E-3</v>
      </c>
      <c r="AV35" s="39">
        <f t="shared" si="0"/>
        <v>0</v>
      </c>
      <c r="AW35" s="40">
        <f t="shared" si="2"/>
        <v>723198.87971283903</v>
      </c>
      <c r="AX35" s="40">
        <f t="shared" si="3"/>
        <v>3689.0002871610363</v>
      </c>
      <c r="AY35" s="40">
        <f t="shared" si="4"/>
        <v>726887.88000000012</v>
      </c>
      <c r="AZ35" s="41">
        <f t="shared" si="1"/>
        <v>-1.0000000001164153</v>
      </c>
    </row>
    <row r="36" spans="1:52" ht="13.8">
      <c r="A36" s="42"/>
      <c r="B36" s="43" t="s">
        <v>102</v>
      </c>
      <c r="C36" s="102">
        <v>434939.98</v>
      </c>
      <c r="D36" s="52"/>
      <c r="E36" s="53"/>
      <c r="F36" s="52">
        <v>0</v>
      </c>
      <c r="G36" s="53"/>
      <c r="H36" s="52">
        <v>0</v>
      </c>
      <c r="I36" s="73"/>
      <c r="J36" s="52">
        <v>0</v>
      </c>
      <c r="K36" s="53"/>
      <c r="L36" s="52">
        <v>0</v>
      </c>
      <c r="M36" s="53"/>
      <c r="N36" s="52">
        <v>0</v>
      </c>
      <c r="O36" s="53"/>
      <c r="P36" s="74">
        <v>0</v>
      </c>
      <c r="Q36" s="53"/>
      <c r="R36" s="75">
        <v>0</v>
      </c>
      <c r="S36" s="103"/>
      <c r="T36" s="75">
        <v>0</v>
      </c>
      <c r="U36" s="103"/>
      <c r="V36" s="62">
        <v>2.1569980198877094E-2</v>
      </c>
      <c r="W36" s="65">
        <v>9381.6467562999987</v>
      </c>
      <c r="X36" s="66">
        <v>1.1224721167274621E-2</v>
      </c>
      <c r="Y36" s="79">
        <v>4882.08</v>
      </c>
      <c r="Z36" s="66">
        <v>4.5182165134600868E-2</v>
      </c>
      <c r="AA36" s="79">
        <v>19651.53</v>
      </c>
      <c r="AB36" s="66">
        <v>3.3833242922391274E-2</v>
      </c>
      <c r="AC36" s="79">
        <v>14715.43</v>
      </c>
      <c r="AD36" s="66">
        <v>0.39510564193247999</v>
      </c>
      <c r="AE36" s="79">
        <v>171847.24</v>
      </c>
      <c r="AF36" s="66">
        <v>2.0066768752782856E-2</v>
      </c>
      <c r="AG36" s="79">
        <v>8727.84</v>
      </c>
      <c r="AH36" s="66">
        <v>0.18800262969617096</v>
      </c>
      <c r="AI36" s="68">
        <v>81769.86</v>
      </c>
      <c r="AJ36" s="66">
        <v>0.13480020852532343</v>
      </c>
      <c r="AK36" s="68">
        <v>58630</v>
      </c>
      <c r="AL36" s="66">
        <v>0.13611763167874336</v>
      </c>
      <c r="AM36" s="68">
        <v>59203</v>
      </c>
      <c r="AN36" s="66">
        <v>1.4097002533544975E-2</v>
      </c>
      <c r="AO36" s="68">
        <v>6131.35</v>
      </c>
      <c r="AP36" s="52">
        <v>0</v>
      </c>
      <c r="AQ36" s="56">
        <v>0</v>
      </c>
      <c r="AR36" s="52"/>
      <c r="AS36" s="56"/>
      <c r="AT36" s="52">
        <v>7.4578106594935632E-9</v>
      </c>
      <c r="AU36" s="56">
        <v>3.2437000190839171E-3</v>
      </c>
      <c r="AV36" s="39">
        <f t="shared" si="0"/>
        <v>0</v>
      </c>
      <c r="AW36" s="40">
        <f t="shared" si="2"/>
        <v>310976.34174144978</v>
      </c>
      <c r="AX36" s="40">
        <f t="shared" si="3"/>
        <v>123964.63825855023</v>
      </c>
      <c r="AY36" s="40">
        <f t="shared" si="4"/>
        <v>434940.98</v>
      </c>
      <c r="AZ36" s="41">
        <f t="shared" si="1"/>
        <v>-1</v>
      </c>
    </row>
    <row r="37" spans="1:52" ht="13.8">
      <c r="A37" s="42" t="s">
        <v>103</v>
      </c>
      <c r="B37" s="43" t="s">
        <v>104</v>
      </c>
      <c r="C37" s="99">
        <v>573186.6</v>
      </c>
      <c r="D37" s="52"/>
      <c r="E37" s="53"/>
      <c r="F37" s="52">
        <v>0</v>
      </c>
      <c r="G37" s="53"/>
      <c r="H37" s="52">
        <v>0</v>
      </c>
      <c r="I37" s="73"/>
      <c r="J37" s="52">
        <v>0</v>
      </c>
      <c r="K37" s="53"/>
      <c r="L37" s="52">
        <v>0</v>
      </c>
      <c r="M37" s="53"/>
      <c r="N37" s="52">
        <v>0</v>
      </c>
      <c r="O37" s="53"/>
      <c r="P37" s="74">
        <v>0</v>
      </c>
      <c r="Q37" s="53"/>
      <c r="R37" s="75">
        <v>0</v>
      </c>
      <c r="S37" s="53"/>
      <c r="T37" s="75">
        <v>0</v>
      </c>
      <c r="U37" s="53"/>
      <c r="V37" s="49">
        <v>8.2602301250064125E-2</v>
      </c>
      <c r="W37" s="51">
        <v>47346.532205700001</v>
      </c>
      <c r="X37" s="45">
        <v>0.40969204444067603</v>
      </c>
      <c r="Y37" s="46">
        <v>234829.99</v>
      </c>
      <c r="Z37" s="45">
        <v>0.11588911883145907</v>
      </c>
      <c r="AA37" s="46">
        <v>66426.09</v>
      </c>
      <c r="AB37" s="45">
        <v>7.552577118864956E-2</v>
      </c>
      <c r="AC37" s="46">
        <v>43290.36</v>
      </c>
      <c r="AD37" s="45">
        <v>0</v>
      </c>
      <c r="AE37" s="46">
        <v>0</v>
      </c>
      <c r="AF37" s="45">
        <v>0.10297393553861867</v>
      </c>
      <c r="AG37" s="46">
        <v>59023.28</v>
      </c>
      <c r="AH37" s="52">
        <v>0</v>
      </c>
      <c r="AI37" s="56">
        <v>0</v>
      </c>
      <c r="AJ37" s="45">
        <v>7.1918987638580525E-2</v>
      </c>
      <c r="AK37" s="48">
        <v>41223</v>
      </c>
      <c r="AL37" s="45">
        <v>7.468597486403207E-2</v>
      </c>
      <c r="AM37" s="48">
        <v>42809</v>
      </c>
      <c r="AN37" s="45">
        <v>4.5001052013428092E-2</v>
      </c>
      <c r="AO37" s="48">
        <v>25794</v>
      </c>
      <c r="AP37" s="45">
        <v>2.1710818082627894E-2</v>
      </c>
      <c r="AQ37" s="48">
        <v>12444.35</v>
      </c>
      <c r="AR37" s="52"/>
      <c r="AS37" s="56"/>
      <c r="AT37" s="52">
        <v>-3.8481360720604482E-9</v>
      </c>
      <c r="AU37" s="56">
        <v>-2.2057000314816833E-3</v>
      </c>
      <c r="AV37" s="39">
        <f t="shared" si="0"/>
        <v>0</v>
      </c>
      <c r="AW37" s="40">
        <f t="shared" si="2"/>
        <v>450917.0388888712</v>
      </c>
      <c r="AX37" s="40">
        <f t="shared" si="3"/>
        <v>122270.56111112873</v>
      </c>
      <c r="AY37" s="40">
        <f t="shared" si="4"/>
        <v>573187.6</v>
      </c>
      <c r="AZ37" s="41">
        <f t="shared" si="1"/>
        <v>-1</v>
      </c>
    </row>
    <row r="38" spans="1:52" ht="13.8">
      <c r="A38" s="42"/>
      <c r="B38" s="43" t="s">
        <v>105</v>
      </c>
      <c r="C38" s="102">
        <v>243830</v>
      </c>
      <c r="D38" s="52"/>
      <c r="E38" s="53"/>
      <c r="F38" s="52">
        <v>0</v>
      </c>
      <c r="G38" s="53"/>
      <c r="H38" s="52">
        <v>0</v>
      </c>
      <c r="I38" s="73"/>
      <c r="J38" s="52">
        <v>0</v>
      </c>
      <c r="K38" s="53"/>
      <c r="L38" s="52">
        <v>0</v>
      </c>
      <c r="M38" s="53"/>
      <c r="N38" s="52">
        <v>0</v>
      </c>
      <c r="O38" s="53"/>
      <c r="P38" s="74">
        <v>0</v>
      </c>
      <c r="Q38" s="53"/>
      <c r="R38" s="75">
        <v>0</v>
      </c>
      <c r="S38" s="53"/>
      <c r="T38" s="75">
        <v>0</v>
      </c>
      <c r="U38" s="53"/>
      <c r="V38" s="62">
        <v>3.6454644486732558E-2</v>
      </c>
      <c r="W38" s="65">
        <v>8888.7359651999996</v>
      </c>
      <c r="X38" s="66">
        <v>0.2069091170077513</v>
      </c>
      <c r="Y38" s="79">
        <v>50450.65</v>
      </c>
      <c r="Z38" s="66">
        <v>5.852934421523192E-2</v>
      </c>
      <c r="AA38" s="79">
        <v>14271.21</v>
      </c>
      <c r="AB38" s="66">
        <v>3.8146126399540667E-2</v>
      </c>
      <c r="AC38" s="79">
        <v>9301.17</v>
      </c>
      <c r="AD38" s="52">
        <v>0</v>
      </c>
      <c r="AE38" s="53"/>
      <c r="AF38" s="66">
        <v>5.2007792314317347E-2</v>
      </c>
      <c r="AG38" s="79">
        <v>12681.06</v>
      </c>
      <c r="AH38" s="84">
        <v>0</v>
      </c>
      <c r="AI38" s="54">
        <v>0</v>
      </c>
      <c r="AJ38" s="67">
        <v>5.2004007072042509E-2</v>
      </c>
      <c r="AK38" s="68">
        <v>29808</v>
      </c>
      <c r="AL38" s="67">
        <v>5.6074234812886418E-2</v>
      </c>
      <c r="AM38" s="68">
        <v>32141</v>
      </c>
      <c r="AN38" s="67">
        <v>8.4161074247025319E-2</v>
      </c>
      <c r="AO38" s="68">
        <v>48240</v>
      </c>
      <c r="AP38" s="67">
        <v>6.6380075877558911E-2</v>
      </c>
      <c r="AQ38" s="68">
        <v>38048.170000000006</v>
      </c>
      <c r="AR38" s="55"/>
      <c r="AS38" s="56"/>
      <c r="AT38" s="52">
        <v>7.039243397024437E-9</v>
      </c>
      <c r="AU38" s="56">
        <v>4.0347999893128872E-3</v>
      </c>
      <c r="AV38" s="39">
        <f t="shared" si="0"/>
        <v>0</v>
      </c>
      <c r="AW38" s="40">
        <f t="shared" si="2"/>
        <v>95593.218012224432</v>
      </c>
      <c r="AX38" s="40">
        <f t="shared" si="3"/>
        <v>148237.43265419904</v>
      </c>
      <c r="AY38" s="40">
        <f t="shared" si="4"/>
        <v>243830.65066642349</v>
      </c>
      <c r="AZ38" s="41">
        <f t="shared" si="1"/>
        <v>-0.65066642349120229</v>
      </c>
    </row>
    <row r="39" spans="1:52" ht="14.4">
      <c r="A39" s="30">
        <v>24.9</v>
      </c>
      <c r="B39" s="31" t="s">
        <v>106</v>
      </c>
      <c r="C39" s="32">
        <f>SUM(C40:C45)</f>
        <v>1735429.6700000002</v>
      </c>
      <c r="D39" s="33">
        <v>0</v>
      </c>
      <c r="E39" s="76">
        <v>0</v>
      </c>
      <c r="F39" s="33">
        <v>0</v>
      </c>
      <c r="G39" s="76">
        <v>0</v>
      </c>
      <c r="H39" s="33">
        <v>0</v>
      </c>
      <c r="I39" s="81">
        <v>0</v>
      </c>
      <c r="J39" s="33">
        <v>0</v>
      </c>
      <c r="K39" s="76"/>
      <c r="L39" s="33">
        <v>0</v>
      </c>
      <c r="M39" s="76"/>
      <c r="N39" s="33">
        <v>0</v>
      </c>
      <c r="O39" s="76"/>
      <c r="P39" s="35">
        <v>1.3452898958446409E-2</v>
      </c>
      <c r="Q39" s="76">
        <v>23346.559999999998</v>
      </c>
      <c r="R39" s="36">
        <v>0.13258684807434459</v>
      </c>
      <c r="S39" s="76">
        <v>230095.15</v>
      </c>
      <c r="T39" s="36">
        <v>5.3676061675262239E-2</v>
      </c>
      <c r="U39" s="76">
        <v>93151.03</v>
      </c>
      <c r="V39" s="35">
        <v>0.2038732322291113</v>
      </c>
      <c r="W39" s="76">
        <v>353807.65612920001</v>
      </c>
      <c r="X39" s="33">
        <v>9.5898158753964374E-2</v>
      </c>
      <c r="Y39" s="76">
        <v>166424.51</v>
      </c>
      <c r="Z39" s="33">
        <v>2.9269840707517692E-2</v>
      </c>
      <c r="AA39" s="76">
        <v>50795.75</v>
      </c>
      <c r="AB39" s="33">
        <v>0</v>
      </c>
      <c r="AC39" s="76">
        <v>0</v>
      </c>
      <c r="AD39" s="33">
        <v>3.3024495887522771E-2</v>
      </c>
      <c r="AE39" s="76">
        <v>57311.69</v>
      </c>
      <c r="AF39" s="33">
        <v>0.11819448724764513</v>
      </c>
      <c r="AG39" s="76">
        <v>205118.22</v>
      </c>
      <c r="AH39" s="33">
        <v>3.3629746574518338E-2</v>
      </c>
      <c r="AI39" s="77">
        <v>58362.06</v>
      </c>
      <c r="AJ39" s="78"/>
      <c r="AK39" s="77">
        <v>0</v>
      </c>
      <c r="AL39" s="78"/>
      <c r="AM39" s="77">
        <v>178136.14</v>
      </c>
      <c r="AN39" s="78"/>
      <c r="AO39" s="77">
        <v>36174.910000000003</v>
      </c>
      <c r="AP39" s="78"/>
      <c r="AQ39" s="77">
        <v>18691.05</v>
      </c>
      <c r="AR39" s="78"/>
      <c r="AS39" s="77">
        <v>38710</v>
      </c>
      <c r="AT39" s="33">
        <v>0.12982660592105699</v>
      </c>
      <c r="AU39" s="76">
        <v>225304.94387080002</v>
      </c>
      <c r="AV39" s="39">
        <f t="shared" si="0"/>
        <v>0</v>
      </c>
      <c r="AW39" s="40">
        <f t="shared" si="2"/>
        <v>1238413.3397349704</v>
      </c>
      <c r="AX39" s="40">
        <f t="shared" si="3"/>
        <v>497017.1736974059</v>
      </c>
      <c r="AY39" s="40">
        <f t="shared" si="4"/>
        <v>1735430.5134323763</v>
      </c>
      <c r="AZ39" s="41">
        <f t="shared" si="1"/>
        <v>-0.84343237616121769</v>
      </c>
    </row>
    <row r="40" spans="1:52" ht="13.8">
      <c r="A40" s="42" t="s">
        <v>107</v>
      </c>
      <c r="B40" s="43" t="s">
        <v>108</v>
      </c>
      <c r="C40" s="58">
        <v>79871.399999999994</v>
      </c>
      <c r="D40" s="52"/>
      <c r="E40" s="53"/>
      <c r="F40" s="52">
        <v>0</v>
      </c>
      <c r="G40" s="53"/>
      <c r="H40" s="52">
        <v>0</v>
      </c>
      <c r="I40" s="73"/>
      <c r="J40" s="52">
        <v>0</v>
      </c>
      <c r="K40" s="53"/>
      <c r="L40" s="52">
        <v>0</v>
      </c>
      <c r="M40" s="53"/>
      <c r="N40" s="52">
        <v>0</v>
      </c>
      <c r="O40" s="53"/>
      <c r="P40" s="74">
        <v>0</v>
      </c>
      <c r="Q40" s="53"/>
      <c r="R40" s="75">
        <v>0</v>
      </c>
      <c r="S40" s="53"/>
      <c r="T40" s="75">
        <v>0</v>
      </c>
      <c r="U40" s="53"/>
      <c r="V40" s="74">
        <v>0</v>
      </c>
      <c r="W40" s="95">
        <v>0</v>
      </c>
      <c r="X40" s="52">
        <v>0</v>
      </c>
      <c r="Y40" s="53"/>
      <c r="Z40" s="52">
        <v>0</v>
      </c>
      <c r="AA40" s="53"/>
      <c r="AB40" s="52">
        <v>0</v>
      </c>
      <c r="AC40" s="53"/>
      <c r="AD40" s="52">
        <v>0</v>
      </c>
      <c r="AE40" s="53">
        <v>0</v>
      </c>
      <c r="AF40" s="52">
        <v>0</v>
      </c>
      <c r="AG40" s="53"/>
      <c r="AH40" s="52">
        <v>0</v>
      </c>
      <c r="AI40" s="54"/>
      <c r="AJ40" s="52">
        <v>0</v>
      </c>
      <c r="AK40" s="56"/>
      <c r="AL40" s="52">
        <v>0</v>
      </c>
      <c r="AM40" s="56"/>
      <c r="AN40" s="45">
        <v>0.34415623114156008</v>
      </c>
      <c r="AO40" s="83">
        <v>27488.240000000002</v>
      </c>
      <c r="AP40" s="45">
        <v>0.20717115262784927</v>
      </c>
      <c r="AQ40" s="48">
        <v>16547.05</v>
      </c>
      <c r="AR40" s="45">
        <v>0.44709370312777791</v>
      </c>
      <c r="AS40" s="46">
        <v>35710</v>
      </c>
      <c r="AT40" s="45">
        <v>1.5789131028125967E-3</v>
      </c>
      <c r="AU40" s="48">
        <v>126.10999999998603</v>
      </c>
      <c r="AV40" s="39">
        <f t="shared" si="0"/>
        <v>0</v>
      </c>
      <c r="AW40" s="40">
        <f t="shared" si="2"/>
        <v>0</v>
      </c>
      <c r="AX40" s="40">
        <f t="shared" si="3"/>
        <v>79872.399999999994</v>
      </c>
      <c r="AY40" s="40">
        <f t="shared" si="4"/>
        <v>79872.399999999994</v>
      </c>
      <c r="AZ40" s="41">
        <f t="shared" si="1"/>
        <v>-1</v>
      </c>
    </row>
    <row r="41" spans="1:52" ht="13.8">
      <c r="A41" s="42"/>
      <c r="B41" s="43" t="s">
        <v>109</v>
      </c>
      <c r="C41" s="44">
        <v>204438.07</v>
      </c>
      <c r="D41" s="52"/>
      <c r="E41" s="53"/>
      <c r="F41" s="52">
        <v>0</v>
      </c>
      <c r="G41" s="53"/>
      <c r="H41" s="52">
        <v>0</v>
      </c>
      <c r="I41" s="73"/>
      <c r="J41" s="52">
        <v>0</v>
      </c>
      <c r="K41" s="53"/>
      <c r="L41" s="52">
        <v>0</v>
      </c>
      <c r="M41" s="53"/>
      <c r="N41" s="52">
        <v>0</v>
      </c>
      <c r="O41" s="53"/>
      <c r="P41" s="74">
        <v>0</v>
      </c>
      <c r="Q41" s="53"/>
      <c r="R41" s="75">
        <v>0</v>
      </c>
      <c r="S41" s="53"/>
      <c r="T41" s="75">
        <v>0</v>
      </c>
      <c r="U41" s="53"/>
      <c r="V41" s="74">
        <v>0</v>
      </c>
      <c r="W41" s="95">
        <v>0</v>
      </c>
      <c r="X41" s="52">
        <v>0</v>
      </c>
      <c r="Y41" s="53"/>
      <c r="Z41" s="52">
        <v>0</v>
      </c>
      <c r="AA41" s="53"/>
      <c r="AB41" s="52">
        <v>0</v>
      </c>
      <c r="AC41" s="53"/>
      <c r="AD41" s="52">
        <v>0</v>
      </c>
      <c r="AE41" s="53"/>
      <c r="AF41" s="52">
        <v>0</v>
      </c>
      <c r="AG41" s="53"/>
      <c r="AH41" s="52"/>
      <c r="AI41" s="104"/>
      <c r="AJ41" s="100"/>
      <c r="AK41" s="101"/>
      <c r="AL41" s="100"/>
      <c r="AM41" s="101"/>
      <c r="AN41" s="66">
        <v>1.7716856747865013E-2</v>
      </c>
      <c r="AO41" s="68">
        <v>3622</v>
      </c>
      <c r="AP41" s="66">
        <v>1.0487283508399389E-2</v>
      </c>
      <c r="AQ41" s="68">
        <v>2144</v>
      </c>
      <c r="AR41" s="66">
        <v>1.4674370580782728E-2</v>
      </c>
      <c r="AS41" s="68">
        <v>3000</v>
      </c>
      <c r="AT41" s="66">
        <v>0.95712148916295292</v>
      </c>
      <c r="AU41" s="68">
        <v>195672.07</v>
      </c>
      <c r="AV41" s="39">
        <f t="shared" si="0"/>
        <v>0</v>
      </c>
      <c r="AW41" s="40">
        <f t="shared" si="2"/>
        <v>0</v>
      </c>
      <c r="AX41" s="40">
        <f t="shared" si="3"/>
        <v>204439.07</v>
      </c>
      <c r="AY41" s="40">
        <f t="shared" si="4"/>
        <v>204439.07</v>
      </c>
      <c r="AZ41" s="41">
        <f t="shared" si="1"/>
        <v>-1</v>
      </c>
    </row>
    <row r="42" spans="1:52" ht="13.8">
      <c r="A42" s="42" t="s">
        <v>110</v>
      </c>
      <c r="B42" s="43" t="s">
        <v>111</v>
      </c>
      <c r="C42" s="58">
        <v>5064.67</v>
      </c>
      <c r="D42" s="52"/>
      <c r="E42" s="53"/>
      <c r="F42" s="52">
        <v>0</v>
      </c>
      <c r="G42" s="53"/>
      <c r="H42" s="52">
        <v>0</v>
      </c>
      <c r="I42" s="73"/>
      <c r="J42" s="52">
        <v>0</v>
      </c>
      <c r="K42" s="53"/>
      <c r="L42" s="52">
        <v>0</v>
      </c>
      <c r="M42" s="53"/>
      <c r="N42" s="52">
        <v>0</v>
      </c>
      <c r="O42" s="53"/>
      <c r="P42" s="74">
        <v>0</v>
      </c>
      <c r="Q42" s="53"/>
      <c r="R42" s="75">
        <v>0</v>
      </c>
      <c r="S42" s="53"/>
      <c r="T42" s="75">
        <v>0</v>
      </c>
      <c r="U42" s="53"/>
      <c r="V42" s="74">
        <v>0</v>
      </c>
      <c r="W42" s="95">
        <v>0</v>
      </c>
      <c r="X42" s="52">
        <v>0</v>
      </c>
      <c r="Y42" s="53"/>
      <c r="Z42" s="52">
        <v>0</v>
      </c>
      <c r="AA42" s="53"/>
      <c r="AB42" s="52">
        <v>0</v>
      </c>
      <c r="AC42" s="53"/>
      <c r="AD42" s="52">
        <v>0</v>
      </c>
      <c r="AE42" s="53"/>
      <c r="AF42" s="52">
        <v>0</v>
      </c>
      <c r="AG42" s="53"/>
      <c r="AH42" s="52">
        <v>0</v>
      </c>
      <c r="AI42" s="104"/>
      <c r="AJ42" s="100"/>
      <c r="AK42" s="101"/>
      <c r="AL42" s="100"/>
      <c r="AM42" s="101"/>
      <c r="AN42" s="45">
        <v>1</v>
      </c>
      <c r="AO42" s="48">
        <v>5064.67</v>
      </c>
      <c r="AP42" s="100"/>
      <c r="AQ42" s="101"/>
      <c r="AR42" s="100"/>
      <c r="AS42" s="101"/>
      <c r="AT42" s="52">
        <v>0</v>
      </c>
      <c r="AU42" s="56">
        <v>0</v>
      </c>
      <c r="AV42" s="39">
        <f t="shared" si="0"/>
        <v>0</v>
      </c>
      <c r="AW42" s="40">
        <f t="shared" si="2"/>
        <v>0</v>
      </c>
      <c r="AX42" s="40">
        <f t="shared" si="3"/>
        <v>5065.67</v>
      </c>
      <c r="AY42" s="40">
        <f t="shared" si="4"/>
        <v>5065.67</v>
      </c>
      <c r="AZ42" s="41">
        <f t="shared" si="1"/>
        <v>-1</v>
      </c>
    </row>
    <row r="43" spans="1:52" ht="13.8">
      <c r="A43" s="42"/>
      <c r="B43" s="43" t="s">
        <v>112</v>
      </c>
      <c r="C43" s="44">
        <v>33978.339999999997</v>
      </c>
      <c r="D43" s="52"/>
      <c r="E43" s="53"/>
      <c r="F43" s="52">
        <v>0</v>
      </c>
      <c r="G43" s="53"/>
      <c r="H43" s="52">
        <v>0</v>
      </c>
      <c r="I43" s="73"/>
      <c r="J43" s="52">
        <v>0</v>
      </c>
      <c r="K43" s="53"/>
      <c r="L43" s="52">
        <v>0</v>
      </c>
      <c r="M43" s="53"/>
      <c r="N43" s="52">
        <v>0</v>
      </c>
      <c r="O43" s="53"/>
      <c r="P43" s="74">
        <v>0</v>
      </c>
      <c r="Q43" s="53"/>
      <c r="R43" s="75">
        <v>0</v>
      </c>
      <c r="S43" s="53"/>
      <c r="T43" s="75">
        <v>0</v>
      </c>
      <c r="U43" s="53"/>
      <c r="V43" s="49">
        <v>1.0000001219953654</v>
      </c>
      <c r="W43" s="51">
        <v>33978.344145199997</v>
      </c>
      <c r="X43" s="52">
        <v>0</v>
      </c>
      <c r="Y43" s="53"/>
      <c r="Z43" s="52">
        <v>0</v>
      </c>
      <c r="AA43" s="53"/>
      <c r="AB43" s="52">
        <v>0</v>
      </c>
      <c r="AC43" s="53"/>
      <c r="AD43" s="52">
        <v>0</v>
      </c>
      <c r="AE43" s="53"/>
      <c r="AF43" s="52">
        <v>0</v>
      </c>
      <c r="AG43" s="53"/>
      <c r="AH43" s="52"/>
      <c r="AI43" s="104"/>
      <c r="AJ43" s="100"/>
      <c r="AK43" s="101"/>
      <c r="AL43" s="100"/>
      <c r="AM43" s="101"/>
      <c r="AN43" s="55">
        <v>0</v>
      </c>
      <c r="AO43" s="56"/>
      <c r="AP43" s="100"/>
      <c r="AQ43" s="101"/>
      <c r="AR43" s="100"/>
      <c r="AS43" s="101"/>
      <c r="AT43" s="52"/>
      <c r="AU43" s="56">
        <v>-4.1452000004937872E-3</v>
      </c>
      <c r="AV43" s="39">
        <f t="shared" si="0"/>
        <v>0</v>
      </c>
      <c r="AW43" s="40">
        <f t="shared" si="2"/>
        <v>33979.344145321993</v>
      </c>
      <c r="AX43" s="40">
        <f t="shared" si="3"/>
        <v>-4.1452000004937872E-3</v>
      </c>
      <c r="AY43" s="40">
        <f t="shared" si="4"/>
        <v>33979.340000121992</v>
      </c>
      <c r="AZ43" s="41">
        <f t="shared" si="1"/>
        <v>-1.0000001219959813</v>
      </c>
    </row>
    <row r="44" spans="1:52" ht="13.8">
      <c r="A44" s="42" t="s">
        <v>113</v>
      </c>
      <c r="B44" s="43" t="s">
        <v>114</v>
      </c>
      <c r="C44" s="58">
        <v>1001732.39</v>
      </c>
      <c r="D44" s="52"/>
      <c r="E44" s="53"/>
      <c r="F44" s="52">
        <v>0</v>
      </c>
      <c r="G44" s="53"/>
      <c r="H44" s="52">
        <v>0</v>
      </c>
      <c r="I44" s="73"/>
      <c r="J44" s="52">
        <v>0</v>
      </c>
      <c r="K44" s="53"/>
      <c r="L44" s="52">
        <v>0</v>
      </c>
      <c r="M44" s="53"/>
      <c r="N44" s="52">
        <v>0</v>
      </c>
      <c r="O44" s="53"/>
      <c r="P44" s="49">
        <v>2.3377301396833141E-3</v>
      </c>
      <c r="Q44" s="46">
        <v>2341.7800000000002</v>
      </c>
      <c r="R44" s="50">
        <v>0.21050431443072334</v>
      </c>
      <c r="S44" s="46">
        <v>210868.99</v>
      </c>
      <c r="T44" s="50">
        <v>6.8113610662025217E-2</v>
      </c>
      <c r="U44" s="46">
        <v>68231.61</v>
      </c>
      <c r="V44" s="49">
        <v>0.25924906890162552</v>
      </c>
      <c r="W44" s="51">
        <v>259698.1893961</v>
      </c>
      <c r="X44" s="45">
        <v>0.12509624451696127</v>
      </c>
      <c r="Y44" s="46">
        <v>125312.96000000001</v>
      </c>
      <c r="Z44" s="45">
        <v>4.0189965306003529E-2</v>
      </c>
      <c r="AA44" s="46">
        <v>40259.589999999997</v>
      </c>
      <c r="AB44" s="45">
        <v>0</v>
      </c>
      <c r="AC44" s="46">
        <v>0</v>
      </c>
      <c r="AD44" s="45">
        <v>4.6427120121372935E-2</v>
      </c>
      <c r="AE44" s="46">
        <v>46507.55</v>
      </c>
      <c r="AF44" s="45">
        <v>0.12326572568947282</v>
      </c>
      <c r="AG44" s="46">
        <v>123479.27</v>
      </c>
      <c r="AH44" s="45">
        <v>4.7313344834542082E-2</v>
      </c>
      <c r="AI44" s="83">
        <v>47395.31</v>
      </c>
      <c r="AJ44" s="100"/>
      <c r="AK44" s="101"/>
      <c r="AL44" s="105">
        <v>7.7502874794734347E-2</v>
      </c>
      <c r="AM44" s="48">
        <v>77637.14</v>
      </c>
      <c r="AN44" s="100"/>
      <c r="AO44" s="101"/>
      <c r="AP44" s="100"/>
      <c r="AQ44" s="101"/>
      <c r="AR44" s="100"/>
      <c r="AS44" s="101"/>
      <c r="AT44" s="52">
        <v>6.0285567704863262E-10</v>
      </c>
      <c r="AU44" s="56">
        <v>6.0390005819499493E-4</v>
      </c>
      <c r="AV44" s="39">
        <f t="shared" si="0"/>
        <v>0</v>
      </c>
      <c r="AW44" s="40">
        <f t="shared" si="2"/>
        <v>924096.17189322435</v>
      </c>
      <c r="AX44" s="40">
        <f t="shared" si="3"/>
        <v>77637.218106775443</v>
      </c>
      <c r="AY44" s="40">
        <f t="shared" si="4"/>
        <v>1001733.3899999998</v>
      </c>
      <c r="AZ44" s="41">
        <f t="shared" si="1"/>
        <v>-0.99999999976716936</v>
      </c>
    </row>
    <row r="45" spans="1:52" ht="13.8">
      <c r="A45" s="42"/>
      <c r="B45" s="43" t="s">
        <v>115</v>
      </c>
      <c r="C45" s="44">
        <v>410344.8</v>
      </c>
      <c r="D45" s="52"/>
      <c r="E45" s="53"/>
      <c r="F45" s="52">
        <v>0</v>
      </c>
      <c r="G45" s="53"/>
      <c r="H45" s="52">
        <v>0</v>
      </c>
      <c r="I45" s="73"/>
      <c r="J45" s="52">
        <v>0</v>
      </c>
      <c r="K45" s="53"/>
      <c r="L45" s="52">
        <v>0</v>
      </c>
      <c r="M45" s="53"/>
      <c r="N45" s="52">
        <v>0</v>
      </c>
      <c r="O45" s="53"/>
      <c r="P45" s="62">
        <v>5.1188122768949428E-2</v>
      </c>
      <c r="Q45" s="79">
        <v>21004.78</v>
      </c>
      <c r="R45" s="64">
        <v>4.6853670376717338E-2</v>
      </c>
      <c r="S45" s="79">
        <v>19226.16</v>
      </c>
      <c r="T45" s="64">
        <v>6.072800240188251E-2</v>
      </c>
      <c r="U45" s="79">
        <v>24919.42</v>
      </c>
      <c r="V45" s="62">
        <v>0.1465380396873556</v>
      </c>
      <c r="W45" s="65">
        <v>60131.122587899998</v>
      </c>
      <c r="X45" s="66">
        <v>0.10018781765968524</v>
      </c>
      <c r="Y45" s="79">
        <v>41111.550000000003</v>
      </c>
      <c r="Z45" s="66">
        <v>2.5676358028662725E-2</v>
      </c>
      <c r="AA45" s="79">
        <v>10536.16</v>
      </c>
      <c r="AB45" s="66">
        <v>0</v>
      </c>
      <c r="AC45" s="79">
        <v>0</v>
      </c>
      <c r="AD45" s="66">
        <v>2.6329418576767634E-2</v>
      </c>
      <c r="AE45" s="79">
        <v>10804.14</v>
      </c>
      <c r="AF45" s="66">
        <v>0.19895207640013959</v>
      </c>
      <c r="AG45" s="79">
        <v>81638.95</v>
      </c>
      <c r="AH45" s="66">
        <v>2.672569507399631E-2</v>
      </c>
      <c r="AI45" s="106">
        <v>10966.75</v>
      </c>
      <c r="AJ45" s="100"/>
      <c r="AK45" s="101"/>
      <c r="AL45" s="66">
        <v>0.24491354587654091</v>
      </c>
      <c r="AM45" s="68">
        <v>100499</v>
      </c>
      <c r="AN45" s="100"/>
      <c r="AO45" s="101"/>
      <c r="AP45" s="100"/>
      <c r="AQ45" s="101"/>
      <c r="AR45" s="100"/>
      <c r="AS45" s="101"/>
      <c r="AT45" s="66">
        <v>2.945573858513249E-2</v>
      </c>
      <c r="AU45" s="68">
        <v>29506.767412099987</v>
      </c>
      <c r="AV45" s="39">
        <f t="shared" si="0"/>
        <v>0</v>
      </c>
      <c r="AW45" s="40">
        <f t="shared" si="2"/>
        <v>280339.71576710098</v>
      </c>
      <c r="AX45" s="40">
        <f t="shared" si="3"/>
        <v>130006.04178138444</v>
      </c>
      <c r="AY45" s="40">
        <f t="shared" si="4"/>
        <v>410345.75754848542</v>
      </c>
      <c r="AZ45" s="41">
        <f t="shared" si="1"/>
        <v>-0.95754848542856053</v>
      </c>
    </row>
    <row r="46" spans="1:52" ht="14.4">
      <c r="A46" s="30">
        <v>24.1</v>
      </c>
      <c r="B46" s="31" t="s">
        <v>116</v>
      </c>
      <c r="C46" s="32">
        <f>SUM(C47:C55)</f>
        <v>1530466.95</v>
      </c>
      <c r="D46" s="33">
        <v>1.0905168517360013E-3</v>
      </c>
      <c r="E46" s="76">
        <v>1669</v>
      </c>
      <c r="F46" s="33">
        <v>7.1873489329514766E-4</v>
      </c>
      <c r="G46" s="76">
        <v>1100</v>
      </c>
      <c r="H46" s="33">
        <v>7.2111978635017247E-4</v>
      </c>
      <c r="I46" s="76">
        <v>1103.6500000000001</v>
      </c>
      <c r="J46" s="33">
        <v>0</v>
      </c>
      <c r="K46" s="76">
        <v>0</v>
      </c>
      <c r="L46" s="33">
        <v>0</v>
      </c>
      <c r="M46" s="76">
        <v>0</v>
      </c>
      <c r="N46" s="33">
        <v>0</v>
      </c>
      <c r="O46" s="76">
        <v>0</v>
      </c>
      <c r="P46" s="35">
        <v>0</v>
      </c>
      <c r="Q46" s="76">
        <v>0</v>
      </c>
      <c r="R46" s="36">
        <v>0</v>
      </c>
      <c r="S46" s="76">
        <v>0</v>
      </c>
      <c r="T46" s="36">
        <v>8.827599968754634E-3</v>
      </c>
      <c r="U46" s="76">
        <v>13510.35</v>
      </c>
      <c r="V46" s="35">
        <v>5.7892679598863595E-3</v>
      </c>
      <c r="W46" s="76">
        <v>8860.2832772999991</v>
      </c>
      <c r="X46" s="33">
        <v>6.9868872372578833E-4</v>
      </c>
      <c r="Y46" s="76">
        <v>1069.32</v>
      </c>
      <c r="Z46" s="33">
        <v>0</v>
      </c>
      <c r="AA46" s="76">
        <v>0</v>
      </c>
      <c r="AB46" s="33">
        <v>0</v>
      </c>
      <c r="AC46" s="76">
        <v>0</v>
      </c>
      <c r="AD46" s="33">
        <v>0</v>
      </c>
      <c r="AE46" s="76">
        <v>0</v>
      </c>
      <c r="AF46" s="33">
        <v>0</v>
      </c>
      <c r="AG46" s="76">
        <v>0</v>
      </c>
      <c r="AH46" s="33">
        <v>0</v>
      </c>
      <c r="AI46" s="77">
        <v>0</v>
      </c>
      <c r="AJ46" s="78"/>
      <c r="AK46" s="77">
        <v>0</v>
      </c>
      <c r="AL46" s="78"/>
      <c r="AM46" s="77">
        <v>0</v>
      </c>
      <c r="AN46" s="78"/>
      <c r="AO46" s="77">
        <v>11934.1</v>
      </c>
      <c r="AP46" s="78"/>
      <c r="AQ46" s="77">
        <v>563447</v>
      </c>
      <c r="AR46" s="78"/>
      <c r="AS46" s="77">
        <v>276631</v>
      </c>
      <c r="AT46" s="33">
        <v>0.42545332110745676</v>
      </c>
      <c r="AU46" s="76">
        <v>651142.24672269996</v>
      </c>
      <c r="AV46" s="39">
        <f t="shared" si="0"/>
        <v>0</v>
      </c>
      <c r="AW46" s="40">
        <f t="shared" si="2"/>
        <v>27312.621123228186</v>
      </c>
      <c r="AX46" s="40">
        <f t="shared" si="3"/>
        <v>1503154.772176021</v>
      </c>
      <c r="AY46" s="40">
        <f t="shared" si="4"/>
        <v>1530467.3932992492</v>
      </c>
      <c r="AZ46" s="41">
        <f t="shared" si="1"/>
        <v>-0.44329924928024411</v>
      </c>
    </row>
    <row r="47" spans="1:52" ht="13.8">
      <c r="A47" s="42" t="s">
        <v>117</v>
      </c>
      <c r="B47" s="43" t="s">
        <v>118</v>
      </c>
      <c r="C47" s="58">
        <v>6878.3</v>
      </c>
      <c r="D47" s="45">
        <v>0.24264716572408879</v>
      </c>
      <c r="E47" s="46">
        <v>1669</v>
      </c>
      <c r="F47" s="45">
        <v>0.15992323684631377</v>
      </c>
      <c r="G47" s="46">
        <v>1100</v>
      </c>
      <c r="H47" s="45">
        <v>0.16045389122312201</v>
      </c>
      <c r="I47" s="47">
        <v>1103.6500000000001</v>
      </c>
      <c r="J47" s="52">
        <v>0</v>
      </c>
      <c r="K47" s="53"/>
      <c r="L47" s="52">
        <v>0</v>
      </c>
      <c r="M47" s="53"/>
      <c r="N47" s="52">
        <v>0</v>
      </c>
      <c r="O47" s="53"/>
      <c r="P47" s="74">
        <v>0</v>
      </c>
      <c r="Q47" s="53"/>
      <c r="R47" s="75">
        <v>0</v>
      </c>
      <c r="S47" s="53"/>
      <c r="T47" s="50">
        <v>0.28151287382056611</v>
      </c>
      <c r="U47" s="46">
        <v>1936.33</v>
      </c>
      <c r="V47" s="74">
        <v>0</v>
      </c>
      <c r="W47" s="95">
        <v>0</v>
      </c>
      <c r="X47" s="45">
        <v>0.1554628323859093</v>
      </c>
      <c r="Y47" s="46">
        <v>1069.32</v>
      </c>
      <c r="Z47" s="52">
        <v>0</v>
      </c>
      <c r="AA47" s="53"/>
      <c r="AB47" s="52">
        <v>0</v>
      </c>
      <c r="AC47" s="53"/>
      <c r="AD47" s="52">
        <v>0</v>
      </c>
      <c r="AE47" s="53"/>
      <c r="AF47" s="52">
        <v>0</v>
      </c>
      <c r="AG47" s="53"/>
      <c r="AH47" s="52">
        <v>0</v>
      </c>
      <c r="AI47" s="104"/>
      <c r="AJ47" s="100"/>
      <c r="AK47" s="101"/>
      <c r="AL47" s="100"/>
      <c r="AM47" s="101"/>
      <c r="AN47" s="100"/>
      <c r="AO47" s="101"/>
      <c r="AP47" s="100"/>
      <c r="AQ47" s="101"/>
      <c r="AR47" s="100"/>
      <c r="AS47" s="101"/>
      <c r="AT47" s="45">
        <v>0</v>
      </c>
      <c r="AU47" s="48">
        <v>0</v>
      </c>
      <c r="AV47" s="39">
        <f t="shared" si="0"/>
        <v>0</v>
      </c>
      <c r="AW47" s="40">
        <f t="shared" si="2"/>
        <v>6879.2999999999993</v>
      </c>
      <c r="AX47" s="40">
        <f t="shared" si="3"/>
        <v>0</v>
      </c>
      <c r="AY47" s="40">
        <f t="shared" si="4"/>
        <v>6879.2999999999993</v>
      </c>
      <c r="AZ47" s="41">
        <f t="shared" si="1"/>
        <v>-0.99999999999909051</v>
      </c>
    </row>
    <row r="48" spans="1:52" ht="13.8">
      <c r="A48" s="42" t="s">
        <v>119</v>
      </c>
      <c r="B48" s="43" t="s">
        <v>120</v>
      </c>
      <c r="C48" s="58">
        <v>17708.310000000001</v>
      </c>
      <c r="D48" s="52"/>
      <c r="E48" s="53"/>
      <c r="F48" s="52">
        <v>0</v>
      </c>
      <c r="G48" s="53"/>
      <c r="H48" s="52">
        <v>0</v>
      </c>
      <c r="I48" s="73"/>
      <c r="J48" s="52">
        <v>0</v>
      </c>
      <c r="K48" s="53"/>
      <c r="L48" s="52">
        <v>0</v>
      </c>
      <c r="M48" s="53"/>
      <c r="N48" s="52">
        <v>0</v>
      </c>
      <c r="O48" s="53"/>
      <c r="P48" s="74">
        <v>0</v>
      </c>
      <c r="Q48" s="53"/>
      <c r="R48" s="75">
        <v>0</v>
      </c>
      <c r="S48" s="53"/>
      <c r="T48" s="75">
        <v>0</v>
      </c>
      <c r="U48" s="53"/>
      <c r="V48" s="74">
        <v>0</v>
      </c>
      <c r="W48" s="95">
        <v>0</v>
      </c>
      <c r="X48" s="52">
        <v>0</v>
      </c>
      <c r="Y48" s="53"/>
      <c r="Z48" s="52">
        <v>0</v>
      </c>
      <c r="AA48" s="53"/>
      <c r="AB48" s="52">
        <v>0</v>
      </c>
      <c r="AC48" s="53"/>
      <c r="AD48" s="52">
        <v>0</v>
      </c>
      <c r="AE48" s="53"/>
      <c r="AF48" s="52">
        <v>0</v>
      </c>
      <c r="AG48" s="53"/>
      <c r="AH48" s="52">
        <v>0</v>
      </c>
      <c r="AI48" s="104"/>
      <c r="AJ48" s="100"/>
      <c r="AK48" s="101"/>
      <c r="AL48" s="100"/>
      <c r="AM48" s="101"/>
      <c r="AN48" s="100"/>
      <c r="AO48" s="101"/>
      <c r="AP48" s="100"/>
      <c r="AQ48" s="101"/>
      <c r="AR48" s="100"/>
      <c r="AS48" s="101"/>
      <c r="AT48" s="45">
        <v>1</v>
      </c>
      <c r="AU48" s="48">
        <v>17708.310000000001</v>
      </c>
      <c r="AV48" s="39">
        <f t="shared" si="0"/>
        <v>0</v>
      </c>
      <c r="AW48" s="40">
        <f t="shared" si="2"/>
        <v>0</v>
      </c>
      <c r="AX48" s="40">
        <f t="shared" si="3"/>
        <v>17709.310000000001</v>
      </c>
      <c r="AY48" s="40">
        <f t="shared" si="4"/>
        <v>17709.310000000001</v>
      </c>
      <c r="AZ48" s="41">
        <f t="shared" si="1"/>
        <v>-1</v>
      </c>
    </row>
    <row r="49" spans="1:52" ht="13.8">
      <c r="A49" s="42" t="s">
        <v>121</v>
      </c>
      <c r="B49" s="43" t="s">
        <v>122</v>
      </c>
      <c r="C49" s="58">
        <v>9100.36</v>
      </c>
      <c r="D49" s="52"/>
      <c r="E49" s="53"/>
      <c r="F49" s="52">
        <v>0</v>
      </c>
      <c r="G49" s="53"/>
      <c r="H49" s="52">
        <v>0</v>
      </c>
      <c r="I49" s="73"/>
      <c r="J49" s="52">
        <v>0</v>
      </c>
      <c r="K49" s="53"/>
      <c r="L49" s="52">
        <v>0</v>
      </c>
      <c r="M49" s="53"/>
      <c r="N49" s="52">
        <v>0</v>
      </c>
      <c r="O49" s="53"/>
      <c r="P49" s="74">
        <v>0</v>
      </c>
      <c r="Q49" s="53"/>
      <c r="R49" s="75">
        <v>0</v>
      </c>
      <c r="S49" s="53"/>
      <c r="T49" s="75">
        <v>0</v>
      </c>
      <c r="U49" s="53"/>
      <c r="V49" s="74">
        <v>0</v>
      </c>
      <c r="W49" s="95">
        <v>0</v>
      </c>
      <c r="X49" s="52">
        <v>0</v>
      </c>
      <c r="Y49" s="53"/>
      <c r="Z49" s="52">
        <v>0</v>
      </c>
      <c r="AA49" s="53"/>
      <c r="AB49" s="52">
        <v>0</v>
      </c>
      <c r="AC49" s="53"/>
      <c r="AD49" s="52">
        <v>0</v>
      </c>
      <c r="AE49" s="53"/>
      <c r="AF49" s="52">
        <v>0</v>
      </c>
      <c r="AG49" s="53"/>
      <c r="AH49" s="52">
        <v>0</v>
      </c>
      <c r="AI49" s="104"/>
      <c r="AJ49" s="100"/>
      <c r="AK49" s="101"/>
      <c r="AL49" s="100"/>
      <c r="AM49" s="101"/>
      <c r="AN49" s="100"/>
      <c r="AO49" s="101"/>
      <c r="AP49" s="100"/>
      <c r="AQ49" s="101"/>
      <c r="AR49" s="100"/>
      <c r="AS49" s="101"/>
      <c r="AT49" s="45">
        <v>1</v>
      </c>
      <c r="AU49" s="48">
        <v>9100.36</v>
      </c>
      <c r="AV49" s="39">
        <f t="shared" si="0"/>
        <v>0</v>
      </c>
      <c r="AW49" s="40">
        <f t="shared" si="2"/>
        <v>0</v>
      </c>
      <c r="AX49" s="40">
        <f t="shared" si="3"/>
        <v>9101.36</v>
      </c>
      <c r="AY49" s="40">
        <f t="shared" si="4"/>
        <v>9101.36</v>
      </c>
      <c r="AZ49" s="41">
        <f t="shared" si="1"/>
        <v>-1</v>
      </c>
    </row>
    <row r="50" spans="1:52" ht="13.8">
      <c r="A50" s="42" t="s">
        <v>123</v>
      </c>
      <c r="B50" s="43" t="s">
        <v>124</v>
      </c>
      <c r="C50" s="58">
        <v>130525.31</v>
      </c>
      <c r="D50" s="52"/>
      <c r="E50" s="53"/>
      <c r="F50" s="52">
        <v>0</v>
      </c>
      <c r="G50" s="53"/>
      <c r="H50" s="52">
        <v>0</v>
      </c>
      <c r="I50" s="73"/>
      <c r="J50" s="52">
        <v>0</v>
      </c>
      <c r="K50" s="53"/>
      <c r="L50" s="52">
        <v>0</v>
      </c>
      <c r="M50" s="53"/>
      <c r="N50" s="52">
        <v>0</v>
      </c>
      <c r="O50" s="53"/>
      <c r="P50" s="74">
        <v>0</v>
      </c>
      <c r="Q50" s="53"/>
      <c r="R50" s="75">
        <v>0</v>
      </c>
      <c r="S50" s="53"/>
      <c r="T50" s="75">
        <v>0</v>
      </c>
      <c r="U50" s="53"/>
      <c r="V50" s="74">
        <v>0</v>
      </c>
      <c r="W50" s="95">
        <v>0</v>
      </c>
      <c r="X50" s="52">
        <v>0</v>
      </c>
      <c r="Y50" s="53"/>
      <c r="Z50" s="52">
        <v>0</v>
      </c>
      <c r="AA50" s="53"/>
      <c r="AB50" s="52">
        <v>0</v>
      </c>
      <c r="AC50" s="53"/>
      <c r="AD50" s="52">
        <v>0</v>
      </c>
      <c r="AE50" s="53"/>
      <c r="AF50" s="52">
        <v>0</v>
      </c>
      <c r="AG50" s="53"/>
      <c r="AH50" s="52">
        <v>0</v>
      </c>
      <c r="AI50" s="104"/>
      <c r="AJ50" s="100"/>
      <c r="AK50" s="101"/>
      <c r="AL50" s="100"/>
      <c r="AM50" s="101"/>
      <c r="AN50" s="100"/>
      <c r="AO50" s="101"/>
      <c r="AP50" s="100"/>
      <c r="AQ50" s="101"/>
      <c r="AR50" s="100"/>
      <c r="AS50" s="101"/>
      <c r="AT50" s="45">
        <v>1</v>
      </c>
      <c r="AU50" s="48">
        <v>130525.31</v>
      </c>
      <c r="AV50" s="39">
        <f t="shared" si="0"/>
        <v>0</v>
      </c>
      <c r="AW50" s="40">
        <f t="shared" si="2"/>
        <v>0</v>
      </c>
      <c r="AX50" s="40">
        <f t="shared" si="3"/>
        <v>130526.31</v>
      </c>
      <c r="AY50" s="40">
        <f t="shared" si="4"/>
        <v>130526.31</v>
      </c>
      <c r="AZ50" s="41">
        <f t="shared" si="1"/>
        <v>-1</v>
      </c>
    </row>
    <row r="51" spans="1:52" ht="13.8">
      <c r="A51" s="42" t="s">
        <v>125</v>
      </c>
      <c r="B51" s="43" t="s">
        <v>126</v>
      </c>
      <c r="C51" s="58">
        <v>410646.25</v>
      </c>
      <c r="D51" s="52"/>
      <c r="E51" s="53"/>
      <c r="F51" s="52">
        <v>0</v>
      </c>
      <c r="G51" s="53"/>
      <c r="H51" s="52">
        <v>0</v>
      </c>
      <c r="I51" s="73"/>
      <c r="J51" s="52">
        <v>0</v>
      </c>
      <c r="K51" s="53"/>
      <c r="L51" s="52">
        <v>0</v>
      </c>
      <c r="M51" s="53"/>
      <c r="N51" s="52">
        <v>0</v>
      </c>
      <c r="O51" s="53"/>
      <c r="P51" s="74">
        <v>0</v>
      </c>
      <c r="Q51" s="53"/>
      <c r="R51" s="75">
        <v>0</v>
      </c>
      <c r="S51" s="53"/>
      <c r="T51" s="75">
        <v>0</v>
      </c>
      <c r="U51" s="53"/>
      <c r="V51" s="74">
        <v>0</v>
      </c>
      <c r="W51" s="95">
        <v>0</v>
      </c>
      <c r="X51" s="52">
        <v>0</v>
      </c>
      <c r="Y51" s="53"/>
      <c r="Z51" s="52">
        <v>0</v>
      </c>
      <c r="AA51" s="53"/>
      <c r="AB51" s="52">
        <v>0</v>
      </c>
      <c r="AC51" s="53"/>
      <c r="AD51" s="52">
        <v>0</v>
      </c>
      <c r="AE51" s="53"/>
      <c r="AF51" s="52">
        <v>0</v>
      </c>
      <c r="AG51" s="53"/>
      <c r="AH51" s="52">
        <v>0</v>
      </c>
      <c r="AI51" s="104"/>
      <c r="AJ51" s="100"/>
      <c r="AK51" s="101"/>
      <c r="AL51" s="100"/>
      <c r="AM51" s="101"/>
      <c r="AN51" s="100"/>
      <c r="AO51" s="101"/>
      <c r="AP51" s="100"/>
      <c r="AQ51" s="101"/>
      <c r="AR51" s="100"/>
      <c r="AS51" s="101"/>
      <c r="AT51" s="45">
        <v>1</v>
      </c>
      <c r="AU51" s="48">
        <v>410646.25</v>
      </c>
      <c r="AV51" s="39">
        <f t="shared" si="0"/>
        <v>0</v>
      </c>
      <c r="AW51" s="40">
        <f t="shared" si="2"/>
        <v>0</v>
      </c>
      <c r="AX51" s="40">
        <f t="shared" si="3"/>
        <v>410647.25</v>
      </c>
      <c r="AY51" s="40">
        <f t="shared" si="4"/>
        <v>410647.25</v>
      </c>
      <c r="AZ51" s="41">
        <f t="shared" si="1"/>
        <v>-1</v>
      </c>
    </row>
    <row r="52" spans="1:52" ht="13.8">
      <c r="A52" s="42" t="s">
        <v>127</v>
      </c>
      <c r="B52" s="43" t="s">
        <v>128</v>
      </c>
      <c r="C52" s="58">
        <v>81527.53</v>
      </c>
      <c r="D52" s="52"/>
      <c r="E52" s="53"/>
      <c r="F52" s="52">
        <v>0</v>
      </c>
      <c r="G52" s="53"/>
      <c r="H52" s="52">
        <v>0</v>
      </c>
      <c r="I52" s="73"/>
      <c r="J52" s="52">
        <v>0</v>
      </c>
      <c r="K52" s="53"/>
      <c r="L52" s="52">
        <v>0</v>
      </c>
      <c r="M52" s="53"/>
      <c r="N52" s="52">
        <v>0</v>
      </c>
      <c r="O52" s="53"/>
      <c r="P52" s="74">
        <v>0</v>
      </c>
      <c r="Q52" s="53"/>
      <c r="R52" s="75">
        <v>0</v>
      </c>
      <c r="S52" s="53"/>
      <c r="T52" s="75">
        <v>0</v>
      </c>
      <c r="U52" s="53"/>
      <c r="V52" s="74">
        <v>0</v>
      </c>
      <c r="W52" s="95">
        <v>0</v>
      </c>
      <c r="X52" s="52">
        <v>0</v>
      </c>
      <c r="Y52" s="53"/>
      <c r="Z52" s="52">
        <v>0</v>
      </c>
      <c r="AA52" s="53"/>
      <c r="AB52" s="52">
        <v>0</v>
      </c>
      <c r="AC52" s="53"/>
      <c r="AD52" s="52">
        <v>0</v>
      </c>
      <c r="AE52" s="53"/>
      <c r="AF52" s="52">
        <v>0</v>
      </c>
      <c r="AG52" s="53"/>
      <c r="AH52" s="52">
        <v>0</v>
      </c>
      <c r="AI52" s="104"/>
      <c r="AJ52" s="100"/>
      <c r="AK52" s="101"/>
      <c r="AL52" s="100"/>
      <c r="AM52" s="101"/>
      <c r="AN52" s="100"/>
      <c r="AO52" s="101"/>
      <c r="AP52" s="100"/>
      <c r="AQ52" s="101"/>
      <c r="AR52" s="100"/>
      <c r="AS52" s="101"/>
      <c r="AT52" s="45">
        <v>1</v>
      </c>
      <c r="AU52" s="48">
        <v>81527.53</v>
      </c>
      <c r="AV52" s="39">
        <f t="shared" si="0"/>
        <v>0</v>
      </c>
      <c r="AW52" s="40">
        <f t="shared" si="2"/>
        <v>0</v>
      </c>
      <c r="AX52" s="40">
        <f t="shared" si="3"/>
        <v>81528.53</v>
      </c>
      <c r="AY52" s="40">
        <f t="shared" si="4"/>
        <v>81528.53</v>
      </c>
      <c r="AZ52" s="41">
        <f t="shared" si="1"/>
        <v>-1</v>
      </c>
    </row>
    <row r="53" spans="1:52" ht="13.8">
      <c r="A53" s="42" t="s">
        <v>129</v>
      </c>
      <c r="B53" s="43" t="s">
        <v>130</v>
      </c>
      <c r="C53" s="58">
        <v>32368.400000000001</v>
      </c>
      <c r="D53" s="52"/>
      <c r="E53" s="53"/>
      <c r="F53" s="52">
        <v>0</v>
      </c>
      <c r="G53" s="53"/>
      <c r="H53" s="52">
        <v>0</v>
      </c>
      <c r="I53" s="73"/>
      <c r="J53" s="52">
        <v>0</v>
      </c>
      <c r="K53" s="53"/>
      <c r="L53" s="52">
        <v>0</v>
      </c>
      <c r="M53" s="53"/>
      <c r="N53" s="52">
        <v>0</v>
      </c>
      <c r="O53" s="53"/>
      <c r="P53" s="74">
        <v>0</v>
      </c>
      <c r="Q53" s="53"/>
      <c r="R53" s="75">
        <v>0</v>
      </c>
      <c r="S53" s="53"/>
      <c r="T53" s="50">
        <v>0.35757158216037865</v>
      </c>
      <c r="U53" s="46">
        <v>11574.02</v>
      </c>
      <c r="V53" s="49">
        <v>0.27373250692959794</v>
      </c>
      <c r="W53" s="51">
        <v>8860.2832772999991</v>
      </c>
      <c r="X53" s="52">
        <v>0</v>
      </c>
      <c r="Y53" s="53"/>
      <c r="Z53" s="52">
        <v>0</v>
      </c>
      <c r="AA53" s="53"/>
      <c r="AB53" s="52">
        <v>0</v>
      </c>
      <c r="AC53" s="92"/>
      <c r="AD53" s="52">
        <v>0</v>
      </c>
      <c r="AE53" s="53"/>
      <c r="AF53" s="52">
        <v>0</v>
      </c>
      <c r="AG53" s="53"/>
      <c r="AH53" s="52">
        <v>0</v>
      </c>
      <c r="AI53" s="104"/>
      <c r="AJ53" s="100"/>
      <c r="AK53" s="101"/>
      <c r="AL53" s="100"/>
      <c r="AM53" s="101"/>
      <c r="AN53" s="45">
        <v>0.36869601216000791</v>
      </c>
      <c r="AO53" s="48">
        <v>11934.1</v>
      </c>
      <c r="AP53" s="100"/>
      <c r="AQ53" s="101"/>
      <c r="AR53" s="100"/>
      <c r="AS53" s="101"/>
      <c r="AT53" s="52">
        <v>-1.0124998450477951E-7</v>
      </c>
      <c r="AU53" s="56">
        <v>-3.277299998444505E-3</v>
      </c>
      <c r="AV53" s="39">
        <f t="shared" si="0"/>
        <v>0</v>
      </c>
      <c r="AW53" s="40">
        <f t="shared" si="2"/>
        <v>20434.93458138909</v>
      </c>
      <c r="AX53" s="40">
        <f t="shared" si="3"/>
        <v>11934.465418610911</v>
      </c>
      <c r="AY53" s="40">
        <f t="shared" si="4"/>
        <v>32369.4</v>
      </c>
      <c r="AZ53" s="41">
        <f t="shared" si="1"/>
        <v>-1</v>
      </c>
    </row>
    <row r="54" spans="1:52" ht="13.8">
      <c r="A54" s="42" t="s">
        <v>131</v>
      </c>
      <c r="B54" s="43" t="s">
        <v>132</v>
      </c>
      <c r="C54" s="58">
        <v>837308.58</v>
      </c>
      <c r="D54" s="52"/>
      <c r="E54" s="53"/>
      <c r="F54" s="52">
        <v>0</v>
      </c>
      <c r="G54" s="53"/>
      <c r="H54" s="52">
        <v>0</v>
      </c>
      <c r="I54" s="73"/>
      <c r="J54" s="52">
        <v>0</v>
      </c>
      <c r="K54" s="53"/>
      <c r="L54" s="52">
        <v>0</v>
      </c>
      <c r="M54" s="53"/>
      <c r="N54" s="52">
        <v>0</v>
      </c>
      <c r="O54" s="53"/>
      <c r="P54" s="74">
        <v>0</v>
      </c>
      <c r="Q54" s="53"/>
      <c r="R54" s="75">
        <v>0</v>
      </c>
      <c r="S54" s="53"/>
      <c r="T54" s="75">
        <v>0</v>
      </c>
      <c r="U54" s="53"/>
      <c r="V54" s="74">
        <v>0</v>
      </c>
      <c r="W54" s="95">
        <v>0</v>
      </c>
      <c r="X54" s="52">
        <v>0</v>
      </c>
      <c r="Y54" s="53"/>
      <c r="Z54" s="52">
        <v>0</v>
      </c>
      <c r="AA54" s="53"/>
      <c r="AB54" s="52">
        <v>0</v>
      </c>
      <c r="AC54" s="53"/>
      <c r="AD54" s="52">
        <v>0</v>
      </c>
      <c r="AE54" s="53"/>
      <c r="AF54" s="52">
        <v>0</v>
      </c>
      <c r="AG54" s="53"/>
      <c r="AH54" s="52">
        <v>0</v>
      </c>
      <c r="AI54" s="104"/>
      <c r="AJ54" s="100"/>
      <c r="AK54" s="101"/>
      <c r="AL54" s="100"/>
      <c r="AM54" s="101"/>
      <c r="AN54" s="100"/>
      <c r="AO54" s="101"/>
      <c r="AP54" s="45">
        <v>0.67292634216169145</v>
      </c>
      <c r="AQ54" s="48">
        <v>563447</v>
      </c>
      <c r="AR54" s="45">
        <v>0.32585955347549406</v>
      </c>
      <c r="AS54" s="48">
        <v>272845</v>
      </c>
      <c r="AT54" s="45">
        <v>1.2141043628144336E-3</v>
      </c>
      <c r="AU54" s="48">
        <v>1016.5799999999581</v>
      </c>
      <c r="AV54" s="39">
        <f t="shared" si="0"/>
        <v>0</v>
      </c>
      <c r="AW54" s="40">
        <f t="shared" si="2"/>
        <v>0</v>
      </c>
      <c r="AX54" s="40">
        <f t="shared" si="3"/>
        <v>837309.58</v>
      </c>
      <c r="AY54" s="40">
        <f t="shared" si="4"/>
        <v>837309.58</v>
      </c>
      <c r="AZ54" s="41">
        <f t="shared" si="1"/>
        <v>-1</v>
      </c>
    </row>
    <row r="55" spans="1:52" ht="13.8">
      <c r="A55" s="42" t="s">
        <v>133</v>
      </c>
      <c r="B55" s="43" t="s">
        <v>134</v>
      </c>
      <c r="C55" s="58">
        <v>4403.91</v>
      </c>
      <c r="D55" s="52"/>
      <c r="E55" s="53"/>
      <c r="F55" s="52">
        <v>0</v>
      </c>
      <c r="G55" s="53"/>
      <c r="H55" s="52">
        <v>0</v>
      </c>
      <c r="I55" s="73"/>
      <c r="J55" s="52">
        <v>0</v>
      </c>
      <c r="K55" s="53"/>
      <c r="L55" s="52">
        <v>0</v>
      </c>
      <c r="M55" s="53"/>
      <c r="N55" s="52">
        <v>0</v>
      </c>
      <c r="O55" s="53"/>
      <c r="P55" s="74">
        <v>0</v>
      </c>
      <c r="Q55" s="53"/>
      <c r="R55" s="75">
        <v>0</v>
      </c>
      <c r="S55" s="53"/>
      <c r="T55" s="75">
        <v>0</v>
      </c>
      <c r="U55" s="53"/>
      <c r="V55" s="74">
        <v>0</v>
      </c>
      <c r="W55" s="95">
        <v>0</v>
      </c>
      <c r="X55" s="52">
        <v>0</v>
      </c>
      <c r="Y55" s="53"/>
      <c r="Z55" s="52">
        <v>0</v>
      </c>
      <c r="AA55" s="53"/>
      <c r="AB55" s="52">
        <v>0</v>
      </c>
      <c r="AC55" s="53"/>
      <c r="AD55" s="52">
        <v>0</v>
      </c>
      <c r="AE55" s="53"/>
      <c r="AF55" s="52">
        <v>0</v>
      </c>
      <c r="AG55" s="53"/>
      <c r="AH55" s="52">
        <v>0</v>
      </c>
      <c r="AI55" s="104"/>
      <c r="AJ55" s="100"/>
      <c r="AK55" s="101"/>
      <c r="AL55" s="100"/>
      <c r="AM55" s="101"/>
      <c r="AN55" s="100"/>
      <c r="AO55" s="101"/>
      <c r="AP55" s="100"/>
      <c r="AQ55" s="101"/>
      <c r="AR55" s="45">
        <v>0.85969059313201224</v>
      </c>
      <c r="AS55" s="48">
        <v>3786</v>
      </c>
      <c r="AT55" s="45">
        <v>0.14030940686798773</v>
      </c>
      <c r="AU55" s="48">
        <v>617.90999999999985</v>
      </c>
      <c r="AV55" s="39">
        <f t="shared" si="0"/>
        <v>0</v>
      </c>
      <c r="AW55" s="40">
        <f t="shared" si="2"/>
        <v>0</v>
      </c>
      <c r="AX55" s="40">
        <f t="shared" si="3"/>
        <v>4404.91</v>
      </c>
      <c r="AY55" s="40">
        <f t="shared" si="4"/>
        <v>4404.91</v>
      </c>
      <c r="AZ55" s="41">
        <f t="shared" si="1"/>
        <v>-1</v>
      </c>
    </row>
    <row r="56" spans="1:52" ht="14.4">
      <c r="A56" s="30">
        <v>24.11</v>
      </c>
      <c r="B56" s="31" t="s">
        <v>135</v>
      </c>
      <c r="C56" s="32">
        <f>C57</f>
        <v>21303.45</v>
      </c>
      <c r="D56" s="33">
        <v>0</v>
      </c>
      <c r="E56" s="76">
        <v>0</v>
      </c>
      <c r="F56" s="33">
        <v>0</v>
      </c>
      <c r="G56" s="76">
        <v>0</v>
      </c>
      <c r="H56" s="33">
        <v>0</v>
      </c>
      <c r="I56" s="81">
        <v>0</v>
      </c>
      <c r="J56" s="33">
        <v>0</v>
      </c>
      <c r="K56" s="76">
        <v>0</v>
      </c>
      <c r="L56" s="33">
        <v>0</v>
      </c>
      <c r="M56" s="76">
        <v>0</v>
      </c>
      <c r="N56" s="33">
        <v>0</v>
      </c>
      <c r="O56" s="76">
        <v>0</v>
      </c>
      <c r="P56" s="35">
        <v>0</v>
      </c>
      <c r="Q56" s="76">
        <v>0</v>
      </c>
      <c r="R56" s="36">
        <v>0</v>
      </c>
      <c r="S56" s="76">
        <v>0</v>
      </c>
      <c r="T56" s="36">
        <v>0</v>
      </c>
      <c r="U56" s="76">
        <v>0</v>
      </c>
      <c r="V56" s="35">
        <v>0</v>
      </c>
      <c r="W56" s="76">
        <v>0</v>
      </c>
      <c r="X56" s="33">
        <v>0</v>
      </c>
      <c r="Y56" s="76">
        <v>0</v>
      </c>
      <c r="Z56" s="33">
        <v>0</v>
      </c>
      <c r="AA56" s="76">
        <v>0</v>
      </c>
      <c r="AB56" s="33">
        <v>0</v>
      </c>
      <c r="AC56" s="76">
        <v>0</v>
      </c>
      <c r="AD56" s="33">
        <v>0</v>
      </c>
      <c r="AE56" s="76">
        <v>0</v>
      </c>
      <c r="AF56" s="33">
        <v>0</v>
      </c>
      <c r="AG56" s="76">
        <v>0</v>
      </c>
      <c r="AH56" s="33">
        <v>0</v>
      </c>
      <c r="AI56" s="77">
        <v>0</v>
      </c>
      <c r="AJ56" s="78"/>
      <c r="AK56" s="77">
        <v>0</v>
      </c>
      <c r="AL56" s="78"/>
      <c r="AM56" s="77">
        <v>0</v>
      </c>
      <c r="AN56" s="78"/>
      <c r="AO56" s="77">
        <v>0</v>
      </c>
      <c r="AP56" s="78"/>
      <c r="AQ56" s="77">
        <v>21303.45</v>
      </c>
      <c r="AR56" s="78"/>
      <c r="AS56" s="107">
        <v>0</v>
      </c>
      <c r="AT56" s="33">
        <v>0</v>
      </c>
      <c r="AU56" s="72">
        <v>0</v>
      </c>
      <c r="AV56" s="39">
        <f t="shared" si="0"/>
        <v>0</v>
      </c>
      <c r="AW56" s="40">
        <f t="shared" si="2"/>
        <v>0</v>
      </c>
      <c r="AX56" s="40">
        <f t="shared" si="3"/>
        <v>21303.45</v>
      </c>
      <c r="AY56" s="40">
        <f t="shared" si="4"/>
        <v>21303.45</v>
      </c>
      <c r="AZ56" s="41">
        <f t="shared" si="1"/>
        <v>0</v>
      </c>
    </row>
    <row r="57" spans="1:52" ht="13.8">
      <c r="A57" s="42" t="s">
        <v>136</v>
      </c>
      <c r="B57" s="43" t="s">
        <v>137</v>
      </c>
      <c r="C57" s="58">
        <v>21303.45</v>
      </c>
      <c r="D57" s="52"/>
      <c r="E57" s="53"/>
      <c r="F57" s="52">
        <v>0</v>
      </c>
      <c r="G57" s="53"/>
      <c r="H57" s="52">
        <v>0</v>
      </c>
      <c r="I57" s="73"/>
      <c r="J57" s="52">
        <v>0</v>
      </c>
      <c r="K57" s="53"/>
      <c r="L57" s="52">
        <v>0</v>
      </c>
      <c r="M57" s="53"/>
      <c r="N57" s="52">
        <v>0</v>
      </c>
      <c r="O57" s="53"/>
      <c r="P57" s="74">
        <v>0</v>
      </c>
      <c r="Q57" s="53"/>
      <c r="R57" s="75">
        <v>0</v>
      </c>
      <c r="S57" s="53"/>
      <c r="T57" s="75">
        <v>0</v>
      </c>
      <c r="U57" s="53"/>
      <c r="V57" s="74">
        <v>0</v>
      </c>
      <c r="W57" s="95">
        <v>0</v>
      </c>
      <c r="X57" s="52">
        <v>0</v>
      </c>
      <c r="Y57" s="53"/>
      <c r="Z57" s="52">
        <v>0</v>
      </c>
      <c r="AA57" s="53">
        <v>0</v>
      </c>
      <c r="AB57" s="52">
        <v>0</v>
      </c>
      <c r="AC57" s="53"/>
      <c r="AD57" s="52">
        <v>0</v>
      </c>
      <c r="AE57" s="53">
        <v>0</v>
      </c>
      <c r="AF57" s="52">
        <v>0</v>
      </c>
      <c r="AG57" s="53"/>
      <c r="AH57" s="52">
        <v>0</v>
      </c>
      <c r="AI57" s="104"/>
      <c r="AJ57" s="100"/>
      <c r="AK57" s="101"/>
      <c r="AL57" s="100"/>
      <c r="AM57" s="101"/>
      <c r="AN57" s="100"/>
      <c r="AO57" s="101"/>
      <c r="AP57" s="108">
        <v>1</v>
      </c>
      <c r="AQ57" s="48">
        <v>21303.45</v>
      </c>
      <c r="AR57" s="100"/>
      <c r="AS57" s="101"/>
      <c r="AT57" s="52">
        <v>0</v>
      </c>
      <c r="AU57" s="56">
        <v>0</v>
      </c>
      <c r="AV57" s="39">
        <f t="shared" si="0"/>
        <v>0</v>
      </c>
      <c r="AW57" s="40">
        <f t="shared" si="2"/>
        <v>0</v>
      </c>
      <c r="AX57" s="40">
        <f t="shared" si="3"/>
        <v>21304.45</v>
      </c>
      <c r="AY57" s="40">
        <f t="shared" si="4"/>
        <v>21304.45</v>
      </c>
      <c r="AZ57" s="41">
        <f t="shared" si="1"/>
        <v>-1</v>
      </c>
    </row>
    <row r="58" spans="1:52" ht="18" customHeight="1">
      <c r="A58" s="30">
        <v>24.12</v>
      </c>
      <c r="B58" s="31" t="s">
        <v>138</v>
      </c>
      <c r="C58" s="32">
        <v>740101.95</v>
      </c>
      <c r="D58" s="52"/>
      <c r="E58" s="53"/>
      <c r="F58" s="52">
        <v>0</v>
      </c>
      <c r="G58" s="53"/>
      <c r="H58" s="52">
        <v>0</v>
      </c>
      <c r="I58" s="73"/>
      <c r="J58" s="52">
        <v>0</v>
      </c>
      <c r="K58" s="53"/>
      <c r="L58" s="52">
        <v>0</v>
      </c>
      <c r="M58" s="53"/>
      <c r="N58" s="52">
        <v>0</v>
      </c>
      <c r="O58" s="53"/>
      <c r="P58" s="49">
        <v>1.1763960357083238E-2</v>
      </c>
      <c r="Q58" s="46">
        <v>8706.5300000000007</v>
      </c>
      <c r="R58" s="50">
        <v>0.10749366354189448</v>
      </c>
      <c r="S58" s="46">
        <v>79556.27</v>
      </c>
      <c r="T58" s="50">
        <v>6.724601928153276E-2</v>
      </c>
      <c r="U58" s="46">
        <v>49768.909999999996</v>
      </c>
      <c r="V58" s="74">
        <v>0</v>
      </c>
      <c r="W58" s="95">
        <v>0</v>
      </c>
      <c r="X58" s="45">
        <v>5.2054571670835353E-2</v>
      </c>
      <c r="Y58" s="46">
        <v>38525.69</v>
      </c>
      <c r="Z58" s="45">
        <v>4.0347481857060372E-2</v>
      </c>
      <c r="AA58" s="46">
        <v>29861.25</v>
      </c>
      <c r="AB58" s="45">
        <v>7.7864542851157209E-3</v>
      </c>
      <c r="AC58" s="46">
        <v>5762.77</v>
      </c>
      <c r="AD58" s="45">
        <v>1.3724487552019018E-2</v>
      </c>
      <c r="AE58" s="46">
        <v>10157.52</v>
      </c>
      <c r="AF58" s="45">
        <v>6.7073543043630682E-2</v>
      </c>
      <c r="AG58" s="83">
        <v>49641.26</v>
      </c>
      <c r="AH58" s="109">
        <v>7.6258953242860665E-3</v>
      </c>
      <c r="AI58" s="48">
        <v>5643.94</v>
      </c>
      <c r="AJ58" s="109">
        <v>0.12742189099758486</v>
      </c>
      <c r="AK58" s="48">
        <v>94305.19</v>
      </c>
      <c r="AL58" s="105">
        <v>0.27218866265654346</v>
      </c>
      <c r="AM58" s="48">
        <v>201447.36</v>
      </c>
      <c r="AN58" s="105">
        <v>0.16247331870967238</v>
      </c>
      <c r="AO58" s="48">
        <v>120246.82</v>
      </c>
      <c r="AP58" s="110"/>
      <c r="AQ58" s="72"/>
      <c r="AR58" s="110"/>
      <c r="AS58" s="72"/>
      <c r="AT58" s="33">
        <v>6.2800050722741571E-2</v>
      </c>
      <c r="AU58" s="111">
        <v>46478.439999999944</v>
      </c>
      <c r="AV58" s="39">
        <f t="shared" si="0"/>
        <v>0</v>
      </c>
      <c r="AW58" s="40">
        <f t="shared" si="2"/>
        <v>277624.51511607686</v>
      </c>
      <c r="AX58" s="40">
        <f t="shared" si="3"/>
        <v>462478.43488392298</v>
      </c>
      <c r="AY58" s="40">
        <f t="shared" si="4"/>
        <v>740102.94999999984</v>
      </c>
      <c r="AZ58" s="41">
        <f t="shared" si="1"/>
        <v>-0.99999999988358468</v>
      </c>
    </row>
    <row r="59" spans="1:52" s="93" customFormat="1" ht="14.4">
      <c r="A59" s="42"/>
      <c r="B59" s="112" t="s">
        <v>139</v>
      </c>
      <c r="C59" s="44">
        <v>14282.77</v>
      </c>
      <c r="D59" s="52"/>
      <c r="E59" s="53"/>
      <c r="F59" s="52">
        <v>0</v>
      </c>
      <c r="G59" s="53"/>
      <c r="H59" s="52">
        <v>0</v>
      </c>
      <c r="I59" s="73"/>
      <c r="J59" s="52">
        <v>0</v>
      </c>
      <c r="K59" s="53"/>
      <c r="L59" s="52">
        <v>0</v>
      </c>
      <c r="M59" s="53"/>
      <c r="N59" s="52">
        <v>0</v>
      </c>
      <c r="O59" s="53"/>
      <c r="P59" s="74">
        <v>0</v>
      </c>
      <c r="Q59" s="53"/>
      <c r="R59" s="75">
        <v>0</v>
      </c>
      <c r="S59" s="53"/>
      <c r="T59" s="64">
        <v>0.96611931719127309</v>
      </c>
      <c r="U59" s="79">
        <v>13798.86</v>
      </c>
      <c r="V59" s="74">
        <v>0</v>
      </c>
      <c r="W59" s="95">
        <v>0</v>
      </c>
      <c r="X59" s="52">
        <v>0</v>
      </c>
      <c r="Y59" s="53"/>
      <c r="Z59" s="66">
        <v>1.7959401432635264E-2</v>
      </c>
      <c r="AA59" s="79">
        <v>256.51</v>
      </c>
      <c r="AB59" s="52">
        <v>0</v>
      </c>
      <c r="AC59" s="53"/>
      <c r="AD59" s="52">
        <v>0</v>
      </c>
      <c r="AE59" s="53"/>
      <c r="AF59" s="52">
        <v>0</v>
      </c>
      <c r="AG59" s="53"/>
      <c r="AH59" s="52"/>
      <c r="AI59" s="54"/>
      <c r="AJ59" s="55"/>
      <c r="AK59" s="56"/>
      <c r="AL59" s="55"/>
      <c r="AM59" s="56"/>
      <c r="AN59" s="55"/>
      <c r="AO59" s="56"/>
      <c r="AP59" s="55"/>
      <c r="AQ59" s="56"/>
      <c r="AR59" s="55"/>
      <c r="AS59" s="56"/>
      <c r="AT59" s="52">
        <v>1.5921281376091587E-2</v>
      </c>
      <c r="AU59" s="56">
        <v>227.39999999999964</v>
      </c>
      <c r="AV59" s="39">
        <f t="shared" si="0"/>
        <v>0</v>
      </c>
      <c r="AW59" s="40">
        <f t="shared" si="2"/>
        <v>14056.354078718625</v>
      </c>
      <c r="AX59" s="40">
        <f t="shared" si="3"/>
        <v>227.41592128137572</v>
      </c>
      <c r="AY59" s="40">
        <f t="shared" si="4"/>
        <v>14283.77</v>
      </c>
      <c r="AZ59" s="41">
        <f t="shared" si="1"/>
        <v>-1</v>
      </c>
    </row>
    <row r="60" spans="1:52" ht="14.4">
      <c r="A60" s="30">
        <v>24.13</v>
      </c>
      <c r="B60" s="31" t="s">
        <v>140</v>
      </c>
      <c r="C60" s="32">
        <v>732353.56</v>
      </c>
      <c r="D60" s="45">
        <v>5.4095319752388446E-2</v>
      </c>
      <c r="E60" s="46">
        <v>39616.9</v>
      </c>
      <c r="F60" s="52">
        <v>0</v>
      </c>
      <c r="G60" s="53"/>
      <c r="H60" s="52">
        <v>0</v>
      </c>
      <c r="I60" s="73"/>
      <c r="J60" s="52">
        <v>0</v>
      </c>
      <c r="K60" s="53"/>
      <c r="L60" s="52">
        <v>0</v>
      </c>
      <c r="M60" s="53"/>
      <c r="N60" s="52">
        <v>0</v>
      </c>
      <c r="O60" s="53"/>
      <c r="P60" s="74">
        <v>0</v>
      </c>
      <c r="Q60" s="53"/>
      <c r="R60" s="75">
        <v>0</v>
      </c>
      <c r="S60" s="53"/>
      <c r="T60" s="75">
        <v>0</v>
      </c>
      <c r="U60" s="53"/>
      <c r="V60" s="74">
        <v>0</v>
      </c>
      <c r="W60" s="95">
        <v>0</v>
      </c>
      <c r="X60" s="52">
        <v>0</v>
      </c>
      <c r="Y60" s="53"/>
      <c r="Z60" s="45">
        <v>0.1377798723337946</v>
      </c>
      <c r="AA60" s="46">
        <v>100903.58</v>
      </c>
      <c r="AB60" s="45">
        <v>2.5581592038686887E-2</v>
      </c>
      <c r="AC60" s="46">
        <v>18734.77</v>
      </c>
      <c r="AD60" s="52">
        <v>0</v>
      </c>
      <c r="AE60" s="53"/>
      <c r="AF60" s="45">
        <v>5.2158645886830939E-2</v>
      </c>
      <c r="AG60" s="46">
        <v>38198.57</v>
      </c>
      <c r="AH60" s="45">
        <v>3.7490061494341607E-2</v>
      </c>
      <c r="AI60" s="48">
        <v>27455.98</v>
      </c>
      <c r="AJ60" s="109">
        <v>0.30655411847796571</v>
      </c>
      <c r="AK60" s="48">
        <v>224506</v>
      </c>
      <c r="AL60" s="45">
        <v>0.25354530945408388</v>
      </c>
      <c r="AM60" s="48">
        <v>185684.81</v>
      </c>
      <c r="AN60" s="105">
        <v>0.13279508056190784</v>
      </c>
      <c r="AO60" s="48">
        <v>97252.950000000012</v>
      </c>
      <c r="AP60" s="55"/>
      <c r="AQ60" s="56"/>
      <c r="AR60" s="55"/>
      <c r="AS60" s="56"/>
      <c r="AT60" s="52">
        <v>0</v>
      </c>
      <c r="AU60" s="56">
        <v>0</v>
      </c>
      <c r="AV60" s="39">
        <f t="shared" si="0"/>
        <v>0</v>
      </c>
      <c r="AW60" s="40">
        <f t="shared" si="2"/>
        <v>224910.10710549148</v>
      </c>
      <c r="AX60" s="40">
        <f t="shared" si="3"/>
        <v>507444.45289450849</v>
      </c>
      <c r="AY60" s="40">
        <f t="shared" si="4"/>
        <v>732354.55999999994</v>
      </c>
      <c r="AZ60" s="41">
        <f t="shared" si="1"/>
        <v>-0.99999999988358468</v>
      </c>
    </row>
    <row r="61" spans="1:52" s="93" customFormat="1" ht="14.4">
      <c r="A61" s="42"/>
      <c r="B61" s="112" t="s">
        <v>141</v>
      </c>
      <c r="C61" s="44">
        <v>39796.720000000001</v>
      </c>
      <c r="D61" s="52"/>
      <c r="E61" s="53"/>
      <c r="F61" s="52">
        <v>0</v>
      </c>
      <c r="G61" s="53"/>
      <c r="H61" s="52">
        <v>0</v>
      </c>
      <c r="I61" s="73"/>
      <c r="J61" s="52">
        <v>0</v>
      </c>
      <c r="K61" s="53"/>
      <c r="L61" s="52">
        <v>0</v>
      </c>
      <c r="M61" s="53"/>
      <c r="N61" s="52">
        <v>0</v>
      </c>
      <c r="O61" s="53"/>
      <c r="P61" s="74">
        <v>0</v>
      </c>
      <c r="Q61" s="53"/>
      <c r="R61" s="75">
        <v>0</v>
      </c>
      <c r="S61" s="53"/>
      <c r="T61" s="75">
        <v>0</v>
      </c>
      <c r="U61" s="53"/>
      <c r="V61" s="74">
        <v>0</v>
      </c>
      <c r="W61" s="95">
        <v>0</v>
      </c>
      <c r="X61" s="52">
        <v>0</v>
      </c>
      <c r="Y61" s="53"/>
      <c r="Z61" s="66">
        <v>6.1702321196319701E-2</v>
      </c>
      <c r="AA61" s="79">
        <v>2455.5500000000002</v>
      </c>
      <c r="AB61" s="52">
        <v>0</v>
      </c>
      <c r="AC61" s="53"/>
      <c r="AD61" s="52">
        <v>0</v>
      </c>
      <c r="AE61" s="53"/>
      <c r="AF61" s="52">
        <v>0</v>
      </c>
      <c r="AG61" s="53"/>
      <c r="AH61" s="66">
        <v>0.12536560801995744</v>
      </c>
      <c r="AI61" s="68">
        <v>4989.1400000000003</v>
      </c>
      <c r="AJ61" s="67">
        <v>0.16672052370145074</v>
      </c>
      <c r="AK61" s="68">
        <v>6634.9299999999994</v>
      </c>
      <c r="AL61" s="66">
        <v>0.56584185832400258</v>
      </c>
      <c r="AM61" s="68">
        <v>22518.65</v>
      </c>
      <c r="AN61" s="80">
        <v>8.0369688758269525E-2</v>
      </c>
      <c r="AO61" s="56">
        <v>3198.45</v>
      </c>
      <c r="AP61" s="55"/>
      <c r="AQ61" s="56"/>
      <c r="AR61" s="55"/>
      <c r="AS61" s="56"/>
      <c r="AT61" s="52">
        <v>0</v>
      </c>
      <c r="AU61" s="56">
        <v>0</v>
      </c>
      <c r="AV61" s="39">
        <f t="shared" si="0"/>
        <v>0</v>
      </c>
      <c r="AW61" s="40">
        <f t="shared" si="2"/>
        <v>7444.8770679292165</v>
      </c>
      <c r="AX61" s="40">
        <f t="shared" si="3"/>
        <v>32352.842932070787</v>
      </c>
      <c r="AY61" s="40">
        <f t="shared" si="4"/>
        <v>39797.72</v>
      </c>
      <c r="AZ61" s="41">
        <f t="shared" si="1"/>
        <v>-1</v>
      </c>
    </row>
    <row r="62" spans="1:52" ht="14.4">
      <c r="A62" s="30">
        <v>24.14</v>
      </c>
      <c r="B62" s="31" t="s">
        <v>142</v>
      </c>
      <c r="C62" s="32">
        <v>478663.39</v>
      </c>
      <c r="D62" s="52"/>
      <c r="E62" s="53"/>
      <c r="F62" s="45">
        <v>3.4986318882670342E-2</v>
      </c>
      <c r="G62" s="46">
        <v>16746.669999999998</v>
      </c>
      <c r="H62" s="45">
        <v>2.3998221380582292E-2</v>
      </c>
      <c r="I62" s="47">
        <v>11487.07</v>
      </c>
      <c r="J62" s="52">
        <v>0</v>
      </c>
      <c r="K62" s="53"/>
      <c r="L62" s="52">
        <v>0</v>
      </c>
      <c r="M62" s="53"/>
      <c r="N62" s="52">
        <v>0</v>
      </c>
      <c r="O62" s="53"/>
      <c r="P62" s="74">
        <v>0</v>
      </c>
      <c r="Q62" s="53"/>
      <c r="R62" s="50">
        <v>0.11622499477137786</v>
      </c>
      <c r="S62" s="46">
        <v>55632.65</v>
      </c>
      <c r="T62" s="50">
        <v>9.8706211895587009E-2</v>
      </c>
      <c r="U62" s="46">
        <v>47247.05</v>
      </c>
      <c r="V62" s="49">
        <v>0.12879522160155177</v>
      </c>
      <c r="W62" s="51">
        <v>61649.557387599998</v>
      </c>
      <c r="X62" s="45">
        <v>8.7303146371816728E-2</v>
      </c>
      <c r="Y62" s="46">
        <v>41788.82</v>
      </c>
      <c r="Z62" s="45">
        <v>0.13647101776469681</v>
      </c>
      <c r="AA62" s="46">
        <v>65323.68</v>
      </c>
      <c r="AB62" s="45">
        <v>3.9745759540958416E-2</v>
      </c>
      <c r="AC62" s="46">
        <v>19024.84</v>
      </c>
      <c r="AD62" s="45">
        <v>4.3012940680506193E-2</v>
      </c>
      <c r="AE62" s="46">
        <v>20588.72</v>
      </c>
      <c r="AF62" s="52">
        <v>0</v>
      </c>
      <c r="AG62" s="53"/>
      <c r="AH62" s="113">
        <v>0</v>
      </c>
      <c r="AI62" s="114">
        <v>0</v>
      </c>
      <c r="AJ62" s="109">
        <v>0.10750318715621847</v>
      </c>
      <c r="AK62" s="48">
        <v>51457.84</v>
      </c>
      <c r="AL62" s="45">
        <v>0.18325297449633654</v>
      </c>
      <c r="AM62" s="48">
        <v>87716.489999999991</v>
      </c>
      <c r="AN62" s="110"/>
      <c r="AO62" s="72"/>
      <c r="AP62" s="110"/>
      <c r="AQ62" s="72"/>
      <c r="AR62" s="110"/>
      <c r="AS62" s="72"/>
      <c r="AT62" s="33">
        <v>5.4576974961098394E-9</v>
      </c>
      <c r="AU62" s="111">
        <v>2.6123999850824475E-3</v>
      </c>
      <c r="AV62" s="39">
        <f t="shared" si="0"/>
        <v>0</v>
      </c>
      <c r="AW62" s="40">
        <f t="shared" si="2"/>
        <v>339489.76663143293</v>
      </c>
      <c r="AX62" s="40">
        <f t="shared" si="3"/>
        <v>139174.62336856709</v>
      </c>
      <c r="AY62" s="40">
        <f t="shared" si="4"/>
        <v>478664.39</v>
      </c>
      <c r="AZ62" s="41">
        <f t="shared" si="1"/>
        <v>-1</v>
      </c>
    </row>
    <row r="63" spans="1:52" s="93" customFormat="1" ht="14.4">
      <c r="A63" s="42"/>
      <c r="B63" s="112" t="s">
        <v>143</v>
      </c>
      <c r="C63" s="44">
        <v>76026.05</v>
      </c>
      <c r="D63" s="52"/>
      <c r="E63" s="53"/>
      <c r="F63" s="52">
        <v>0</v>
      </c>
      <c r="G63" s="53"/>
      <c r="H63" s="52">
        <v>0</v>
      </c>
      <c r="I63" s="73"/>
      <c r="J63" s="52">
        <v>0</v>
      </c>
      <c r="K63" s="53"/>
      <c r="L63" s="52">
        <v>0.2728189877022415</v>
      </c>
      <c r="M63" s="53">
        <v>20741.349999999999</v>
      </c>
      <c r="N63" s="52">
        <v>0</v>
      </c>
      <c r="O63" s="53"/>
      <c r="P63" s="74">
        <v>0</v>
      </c>
      <c r="Q63" s="53"/>
      <c r="R63" s="64">
        <v>5.0108482553019654E-2</v>
      </c>
      <c r="S63" s="79">
        <v>3809.55</v>
      </c>
      <c r="T63" s="75">
        <v>0</v>
      </c>
      <c r="U63" s="53"/>
      <c r="V63" s="62">
        <v>0.10828843066817227</v>
      </c>
      <c r="W63" s="65">
        <v>8232.7416443999991</v>
      </c>
      <c r="X63" s="52">
        <v>0</v>
      </c>
      <c r="Y63" s="53">
        <v>0</v>
      </c>
      <c r="Z63" s="66">
        <v>0.18768474753061615</v>
      </c>
      <c r="AA63" s="79">
        <v>14268.93</v>
      </c>
      <c r="AB63" s="52">
        <v>0</v>
      </c>
      <c r="AC63" s="53">
        <v>0</v>
      </c>
      <c r="AD63" s="52">
        <v>0</v>
      </c>
      <c r="AE63" s="53">
        <v>0</v>
      </c>
      <c r="AF63" s="52">
        <v>0</v>
      </c>
      <c r="AG63" s="53"/>
      <c r="AH63" s="113">
        <v>0</v>
      </c>
      <c r="AI63" s="115"/>
      <c r="AJ63" s="80">
        <v>2.3552321868622661E-2</v>
      </c>
      <c r="AK63" s="68">
        <v>1790.59</v>
      </c>
      <c r="AL63" s="66">
        <v>0.35754705130675601</v>
      </c>
      <c r="AM63" s="68">
        <v>27182.89</v>
      </c>
      <c r="AN63" s="55"/>
      <c r="AO63" s="56"/>
      <c r="AP63" s="55"/>
      <c r="AQ63" s="56"/>
      <c r="AR63" s="55"/>
      <c r="AS63" s="56"/>
      <c r="AT63" s="52">
        <v>-3.4353995447069517E-9</v>
      </c>
      <c r="AU63" s="56">
        <v>-1.6443999920738861E-3</v>
      </c>
      <c r="AV63" s="39">
        <f t="shared" si="0"/>
        <v>0</v>
      </c>
      <c r="AW63" s="40">
        <f t="shared" si="2"/>
        <v>47053.190545048448</v>
      </c>
      <c r="AX63" s="40">
        <f t="shared" si="3"/>
        <v>28973.859454969748</v>
      </c>
      <c r="AY63" s="40">
        <f t="shared" si="4"/>
        <v>76027.050000018193</v>
      </c>
      <c r="AZ63" s="41">
        <f t="shared" si="1"/>
        <v>-1.000000018189894</v>
      </c>
    </row>
    <row r="64" spans="1:52" ht="14.4">
      <c r="A64" s="116">
        <v>24.15</v>
      </c>
      <c r="B64" s="117" t="s">
        <v>144</v>
      </c>
      <c r="C64" s="118">
        <v>749116.97</v>
      </c>
      <c r="D64" s="52"/>
      <c r="E64" s="119"/>
      <c r="F64" s="52">
        <v>0</v>
      </c>
      <c r="G64" s="119"/>
      <c r="H64" s="52">
        <v>0</v>
      </c>
      <c r="I64" s="120"/>
      <c r="J64" s="52">
        <v>0</v>
      </c>
      <c r="K64" s="119"/>
      <c r="L64" s="52">
        <v>0</v>
      </c>
      <c r="M64" s="119"/>
      <c r="N64" s="52">
        <v>0</v>
      </c>
      <c r="O64" s="119"/>
      <c r="P64" s="74">
        <v>0</v>
      </c>
      <c r="Q64" s="119"/>
      <c r="R64" s="50">
        <v>8.3505824197254538E-2</v>
      </c>
      <c r="S64" s="121">
        <v>62555.63</v>
      </c>
      <c r="T64" s="50">
        <v>7.1671116995253761E-2</v>
      </c>
      <c r="U64" s="121">
        <v>53690.05</v>
      </c>
      <c r="V64" s="49">
        <v>4.5315109304892666E-2</v>
      </c>
      <c r="W64" s="51">
        <v>33946.317377699997</v>
      </c>
      <c r="X64" s="45">
        <v>3.2142603844630566E-2</v>
      </c>
      <c r="Y64" s="121">
        <v>24078.57</v>
      </c>
      <c r="Z64" s="45">
        <v>5.5977119300875011E-2</v>
      </c>
      <c r="AA64" s="121">
        <v>41933.410000000003</v>
      </c>
      <c r="AB64" s="45">
        <v>6.9827145952921083E-3</v>
      </c>
      <c r="AC64" s="121">
        <v>5230.87</v>
      </c>
      <c r="AD64" s="45">
        <v>2.1117703420868973E-2</v>
      </c>
      <c r="AE64" s="121">
        <v>15819.63</v>
      </c>
      <c r="AF64" s="45">
        <v>0.15164056422323474</v>
      </c>
      <c r="AG64" s="121">
        <v>113596.52</v>
      </c>
      <c r="AH64" s="122">
        <v>0</v>
      </c>
      <c r="AI64" s="123">
        <v>0</v>
      </c>
      <c r="AJ64" s="49">
        <v>0.16763191200968261</v>
      </c>
      <c r="AK64" s="48">
        <v>125575.91000000003</v>
      </c>
      <c r="AL64" s="105">
        <v>0.16215404918673784</v>
      </c>
      <c r="AM64" s="48">
        <v>121472.35</v>
      </c>
      <c r="AN64" s="105">
        <v>0.14345719601039075</v>
      </c>
      <c r="AO64" s="48">
        <v>107466.22</v>
      </c>
      <c r="AP64" s="108">
        <v>5.840408341036514E-2</v>
      </c>
      <c r="AQ64" s="48">
        <v>43751.49</v>
      </c>
      <c r="AR64" s="55"/>
      <c r="AS64" s="56"/>
      <c r="AT64" s="74">
        <v>3.5005213458862243E-9</v>
      </c>
      <c r="AU64" s="56">
        <v>2.6222999440506101E-3</v>
      </c>
      <c r="AV64" s="39">
        <f t="shared" si="0"/>
        <v>0</v>
      </c>
      <c r="AW64" s="40">
        <f t="shared" si="2"/>
        <v>350851.46573045594</v>
      </c>
      <c r="AX64" s="40">
        <f t="shared" si="3"/>
        <v>398266.50426954409</v>
      </c>
      <c r="AY64" s="40">
        <f t="shared" si="4"/>
        <v>749117.97</v>
      </c>
      <c r="AZ64" s="41">
        <f t="shared" si="1"/>
        <v>-1</v>
      </c>
    </row>
    <row r="65" spans="1:52" s="127" customFormat="1" ht="14.4">
      <c r="A65" s="124"/>
      <c r="B65" s="125" t="s">
        <v>145</v>
      </c>
      <c r="C65" s="44">
        <v>8290.36</v>
      </c>
      <c r="D65" s="52"/>
      <c r="E65" s="56"/>
      <c r="F65" s="52">
        <v>0</v>
      </c>
      <c r="G65" s="56"/>
      <c r="H65" s="52">
        <v>0</v>
      </c>
      <c r="I65" s="56"/>
      <c r="J65" s="52">
        <v>0</v>
      </c>
      <c r="K65" s="56"/>
      <c r="L65" s="52">
        <v>0</v>
      </c>
      <c r="M65" s="56"/>
      <c r="N65" s="52">
        <v>0</v>
      </c>
      <c r="O65" s="56"/>
      <c r="P65" s="74">
        <v>0</v>
      </c>
      <c r="Q65" s="56"/>
      <c r="R65" s="75">
        <v>0</v>
      </c>
      <c r="S65" s="56"/>
      <c r="T65" s="75">
        <v>0</v>
      </c>
      <c r="U65" s="56"/>
      <c r="V65" s="62">
        <v>0.94062301542996918</v>
      </c>
      <c r="W65" s="65">
        <v>7798.1034221999998</v>
      </c>
      <c r="X65" s="52">
        <v>0</v>
      </c>
      <c r="Y65" s="56"/>
      <c r="Z65" s="52">
        <v>0</v>
      </c>
      <c r="AA65" s="56"/>
      <c r="AB65" s="52">
        <v>0</v>
      </c>
      <c r="AC65" s="56">
        <v>0</v>
      </c>
      <c r="AD65" s="52">
        <v>0</v>
      </c>
      <c r="AE65" s="56"/>
      <c r="AF65" s="66">
        <v>3.1949155404590389E-2</v>
      </c>
      <c r="AG65" s="68">
        <v>264.87</v>
      </c>
      <c r="AH65" s="126">
        <v>0</v>
      </c>
      <c r="AI65" s="114">
        <v>0</v>
      </c>
      <c r="AJ65" s="55"/>
      <c r="AK65" s="56"/>
      <c r="AL65" s="55"/>
      <c r="AM65" s="56"/>
      <c r="AN65" s="55"/>
      <c r="AO65" s="56"/>
      <c r="AP65" s="55"/>
      <c r="AQ65" s="56"/>
      <c r="AR65" s="55"/>
      <c r="AS65" s="56"/>
      <c r="AT65" s="74">
        <v>3.0353948302626338E-4</v>
      </c>
      <c r="AU65" s="56">
        <v>227.38657780000085</v>
      </c>
      <c r="AV65" s="39">
        <f t="shared" si="0"/>
        <v>0</v>
      </c>
      <c r="AW65" s="40">
        <f t="shared" si="2"/>
        <v>8063.9459943708343</v>
      </c>
      <c r="AX65" s="40">
        <f t="shared" si="3"/>
        <v>227.38688133948386</v>
      </c>
      <c r="AY65" s="40">
        <f t="shared" si="4"/>
        <v>8291.3328757103191</v>
      </c>
      <c r="AZ65" s="41">
        <f t="shared" si="1"/>
        <v>-0.97287571031847619</v>
      </c>
    </row>
    <row r="66" spans="1:52" ht="14.4">
      <c r="A66" s="128">
        <v>24.16</v>
      </c>
      <c r="B66" s="129" t="s">
        <v>146</v>
      </c>
      <c r="C66" s="130">
        <f>C67+C68</f>
        <v>104621</v>
      </c>
      <c r="D66" s="33">
        <v>0.67383230900106095</v>
      </c>
      <c r="E66" s="131">
        <v>70497.009999999995</v>
      </c>
      <c r="F66" s="33">
        <v>0</v>
      </c>
      <c r="G66" s="131"/>
      <c r="H66" s="33">
        <v>0</v>
      </c>
      <c r="I66" s="131"/>
      <c r="J66" s="33">
        <v>0</v>
      </c>
      <c r="K66" s="131">
        <v>0</v>
      </c>
      <c r="L66" s="33">
        <v>6.4006270251670315E-3</v>
      </c>
      <c r="M66" s="131">
        <v>669.64</v>
      </c>
      <c r="N66" s="33">
        <v>2.3274486001854311E-3</v>
      </c>
      <c r="O66" s="131">
        <v>243.5</v>
      </c>
      <c r="P66" s="35">
        <v>0</v>
      </c>
      <c r="Q66" s="131">
        <v>0</v>
      </c>
      <c r="R66" s="36">
        <v>0</v>
      </c>
      <c r="S66" s="131">
        <v>0</v>
      </c>
      <c r="T66" s="36">
        <v>0</v>
      </c>
      <c r="U66" s="131">
        <v>0</v>
      </c>
      <c r="V66" s="35">
        <v>0</v>
      </c>
      <c r="W66" s="131">
        <v>0</v>
      </c>
      <c r="X66" s="33">
        <v>5.4031217442004949E-3</v>
      </c>
      <c r="Y66" s="131">
        <v>565.28</v>
      </c>
      <c r="Z66" s="33">
        <v>4.1988702077020868E-3</v>
      </c>
      <c r="AA66" s="131">
        <v>439.29</v>
      </c>
      <c r="AB66" s="33">
        <v>4.2618594737194255E-3</v>
      </c>
      <c r="AC66" s="131">
        <v>445.88</v>
      </c>
      <c r="AD66" s="33">
        <v>4.305636535685952E-3</v>
      </c>
      <c r="AE66" s="131">
        <v>450.46</v>
      </c>
      <c r="AF66" s="33">
        <v>4.3358407967807608E-3</v>
      </c>
      <c r="AG66" s="131">
        <v>453.62</v>
      </c>
      <c r="AH66" s="132">
        <v>3.1912331176341272E-3</v>
      </c>
      <c r="AI66" s="133">
        <v>333.87</v>
      </c>
      <c r="AJ66" s="134"/>
      <c r="AK66" s="82">
        <v>453</v>
      </c>
      <c r="AL66" s="134"/>
      <c r="AM66" s="82">
        <v>453</v>
      </c>
      <c r="AN66" s="134"/>
      <c r="AO66" s="82">
        <v>453</v>
      </c>
      <c r="AP66" s="134"/>
      <c r="AQ66" s="82">
        <v>453</v>
      </c>
      <c r="AR66" s="134"/>
      <c r="AS66" s="82">
        <v>453</v>
      </c>
      <c r="AT66" s="135">
        <v>0.27009348027642638</v>
      </c>
      <c r="AU66" s="131">
        <v>28257.450000000004</v>
      </c>
      <c r="AV66" s="39">
        <f t="shared" si="0"/>
        <v>0</v>
      </c>
      <c r="AW66" s="40">
        <f t="shared" si="2"/>
        <v>74099.258256946501</v>
      </c>
      <c r="AX66" s="40">
        <f t="shared" si="3"/>
        <v>30522.720093480282</v>
      </c>
      <c r="AY66" s="40">
        <f t="shared" si="4"/>
        <v>104621.97835042678</v>
      </c>
      <c r="AZ66" s="41">
        <f t="shared" si="1"/>
        <v>-0.97835042678343598</v>
      </c>
    </row>
    <row r="67" spans="1:52" ht="13.8">
      <c r="A67" s="124" t="s">
        <v>147</v>
      </c>
      <c r="B67" s="136" t="s">
        <v>146</v>
      </c>
      <c r="C67" s="44">
        <v>100779.54</v>
      </c>
      <c r="D67" s="45">
        <v>0.69951708451933792</v>
      </c>
      <c r="E67" s="46">
        <v>70497.009999999995</v>
      </c>
      <c r="F67" s="52">
        <v>0</v>
      </c>
      <c r="G67" s="53"/>
      <c r="H67" s="52">
        <v>0</v>
      </c>
      <c r="I67" s="73"/>
      <c r="J67" s="52">
        <v>0</v>
      </c>
      <c r="K67" s="53"/>
      <c r="L67" s="45">
        <v>6.6446026643900147E-3</v>
      </c>
      <c r="M67" s="46">
        <v>669.64</v>
      </c>
      <c r="N67" s="45">
        <v>2.4161650271473756E-3</v>
      </c>
      <c r="O67" s="46">
        <v>243.5</v>
      </c>
      <c r="P67" s="74">
        <v>0</v>
      </c>
      <c r="Q67" s="53"/>
      <c r="R67" s="75">
        <v>0</v>
      </c>
      <c r="S67" s="53"/>
      <c r="T67" s="75">
        <v>0</v>
      </c>
      <c r="U67" s="53"/>
      <c r="V67" s="74">
        <v>0</v>
      </c>
      <c r="W67" s="53"/>
      <c r="X67" s="45">
        <v>5.6090750166154762E-3</v>
      </c>
      <c r="Y67" s="46">
        <v>565.28</v>
      </c>
      <c r="Z67" s="45">
        <v>4.3589204713575793E-3</v>
      </c>
      <c r="AA67" s="46">
        <v>439.29</v>
      </c>
      <c r="AB67" s="45">
        <v>4.4243107281497817E-3</v>
      </c>
      <c r="AC67" s="46">
        <v>445.88</v>
      </c>
      <c r="AD67" s="45">
        <v>4.4697564604879126E-3</v>
      </c>
      <c r="AE67" s="46">
        <v>450.46</v>
      </c>
      <c r="AF67" s="45">
        <v>4.5011120312714271E-3</v>
      </c>
      <c r="AG67" s="46">
        <v>453.62</v>
      </c>
      <c r="AH67" s="45">
        <v>3.3128748156619888E-3</v>
      </c>
      <c r="AI67" s="83">
        <v>333.87</v>
      </c>
      <c r="AJ67" s="49">
        <v>4.49495998890251E-3</v>
      </c>
      <c r="AK67" s="48">
        <v>453</v>
      </c>
      <c r="AL67" s="105">
        <v>4.49495998890251E-3</v>
      </c>
      <c r="AM67" s="48">
        <v>453</v>
      </c>
      <c r="AN67" s="105">
        <v>4.49495998890251E-3</v>
      </c>
      <c r="AO67" s="48">
        <v>453</v>
      </c>
      <c r="AP67" s="45">
        <v>4.49495998890251E-3</v>
      </c>
      <c r="AQ67" s="48">
        <v>453</v>
      </c>
      <c r="AR67" s="45">
        <v>4.49495998890251E-3</v>
      </c>
      <c r="AS67" s="48">
        <v>453</v>
      </c>
      <c r="AT67" s="45">
        <v>0.242271298321068</v>
      </c>
      <c r="AU67" s="48">
        <v>24415.990000000005</v>
      </c>
      <c r="AV67" s="39">
        <f t="shared" si="0"/>
        <v>0</v>
      </c>
      <c r="AW67" s="40">
        <f t="shared" si="2"/>
        <v>74099.285253901719</v>
      </c>
      <c r="AX67" s="40">
        <f t="shared" si="3"/>
        <v>26681.254746098271</v>
      </c>
      <c r="AY67" s="40">
        <f t="shared" si="4"/>
        <v>100780.54</v>
      </c>
      <c r="AZ67" s="41">
        <f t="shared" si="1"/>
        <v>-1</v>
      </c>
    </row>
    <row r="68" spans="1:52" ht="14.4" thickBot="1">
      <c r="A68" s="137" t="s">
        <v>148</v>
      </c>
      <c r="B68" s="138" t="s">
        <v>146</v>
      </c>
      <c r="C68" s="139">
        <v>3841.46</v>
      </c>
      <c r="D68" s="74">
        <v>0</v>
      </c>
      <c r="E68" s="119"/>
      <c r="F68" s="74">
        <v>0</v>
      </c>
      <c r="G68" s="119"/>
      <c r="H68" s="74">
        <v>0</v>
      </c>
      <c r="I68" s="120"/>
      <c r="J68" s="74">
        <v>0</v>
      </c>
      <c r="K68" s="119"/>
      <c r="L68" s="74">
        <v>0</v>
      </c>
      <c r="M68" s="119"/>
      <c r="N68" s="74">
        <v>0</v>
      </c>
      <c r="O68" s="119"/>
      <c r="P68" s="74">
        <v>0</v>
      </c>
      <c r="Q68" s="119"/>
      <c r="R68" s="140">
        <v>0</v>
      </c>
      <c r="S68" s="119"/>
      <c r="T68" s="140">
        <v>0</v>
      </c>
      <c r="U68" s="119"/>
      <c r="V68" s="74">
        <v>0</v>
      </c>
      <c r="W68" s="119"/>
      <c r="X68" s="74">
        <v>0</v>
      </c>
      <c r="Y68" s="119"/>
      <c r="Z68" s="74">
        <v>0</v>
      </c>
      <c r="AA68" s="119"/>
      <c r="AB68" s="74">
        <v>0</v>
      </c>
      <c r="AC68" s="119"/>
      <c r="AD68" s="74">
        <v>0</v>
      </c>
      <c r="AE68" s="119"/>
      <c r="AF68" s="74">
        <v>0</v>
      </c>
      <c r="AG68" s="119"/>
      <c r="AH68" s="74">
        <v>0</v>
      </c>
      <c r="AI68" s="141"/>
      <c r="AJ68" s="142"/>
      <c r="AK68" s="143"/>
      <c r="AL68" s="142"/>
      <c r="AM68" s="143"/>
      <c r="AN68" s="142"/>
      <c r="AO68" s="143"/>
      <c r="AP68" s="142"/>
      <c r="AQ68" s="143"/>
      <c r="AR68" s="142"/>
      <c r="AS68" s="143"/>
      <c r="AT68" s="49">
        <v>1</v>
      </c>
      <c r="AU68" s="144">
        <v>3841.46</v>
      </c>
      <c r="AV68" s="39">
        <f t="shared" si="0"/>
        <v>0</v>
      </c>
      <c r="AW68" s="40">
        <f t="shared" si="2"/>
        <v>0</v>
      </c>
      <c r="AX68" s="40">
        <f t="shared" si="3"/>
        <v>3842.46</v>
      </c>
      <c r="AY68" s="40">
        <f t="shared" si="4"/>
        <v>3842.46</v>
      </c>
      <c r="AZ68" s="41">
        <f t="shared" si="1"/>
        <v>-1</v>
      </c>
    </row>
    <row r="69" spans="1:52" ht="15" thickBot="1">
      <c r="A69" s="145"/>
      <c r="B69" s="146" t="s">
        <v>149</v>
      </c>
      <c r="C69" s="147">
        <f>C66+C64+C62+C60+C58+C56+C46+C39+C32+C25+C22+C19+C16+C14+C11+C59+C61+C63+C65</f>
        <v>70645801.779999986</v>
      </c>
      <c r="D69" s="148"/>
      <c r="E69" s="149">
        <v>316505.05000000005</v>
      </c>
      <c r="F69" s="148"/>
      <c r="G69" s="149">
        <v>1592445.57</v>
      </c>
      <c r="H69" s="148"/>
      <c r="I69" s="149">
        <v>725240.56000000017</v>
      </c>
      <c r="J69" s="150"/>
      <c r="K69" s="151">
        <v>2006611.4300000002</v>
      </c>
      <c r="L69" s="150"/>
      <c r="M69" s="151">
        <v>4307535.6091418564</v>
      </c>
      <c r="N69" s="152"/>
      <c r="O69" s="151">
        <v>1724521.7500000002</v>
      </c>
      <c r="P69" s="152"/>
      <c r="Q69" s="151">
        <v>1370368.1700000002</v>
      </c>
      <c r="R69" s="152"/>
      <c r="S69" s="151">
        <v>1008768.9999999999</v>
      </c>
      <c r="T69" s="152"/>
      <c r="U69" s="151">
        <v>3191783.3</v>
      </c>
      <c r="V69" s="153">
        <v>6.9190744815355976E-2</v>
      </c>
      <c r="W69" s="149">
        <v>4888035.6432362003</v>
      </c>
      <c r="X69" s="152"/>
      <c r="Y69" s="151">
        <v>4656691.3600000003</v>
      </c>
      <c r="Z69" s="152"/>
      <c r="AA69" s="151">
        <v>7292769.0099999998</v>
      </c>
      <c r="AB69" s="152"/>
      <c r="AC69" s="151">
        <v>2706165.04</v>
      </c>
      <c r="AD69" s="152"/>
      <c r="AE69" s="151">
        <v>3634882.21</v>
      </c>
      <c r="AF69" s="152"/>
      <c r="AG69" s="151">
        <v>1855181.4700000002</v>
      </c>
      <c r="AH69" s="152"/>
      <c r="AI69" s="151">
        <v>1660599.99</v>
      </c>
      <c r="AJ69" s="151"/>
      <c r="AK69" s="151">
        <v>5447445.3999999994</v>
      </c>
      <c r="AL69" s="151"/>
      <c r="AM69" s="151">
        <v>8585634.8399999999</v>
      </c>
      <c r="AN69" s="151"/>
      <c r="AO69" s="151">
        <v>8045911.6112881303</v>
      </c>
      <c r="AP69" s="151"/>
      <c r="AQ69" s="151">
        <v>2439102.29</v>
      </c>
      <c r="AR69" s="151"/>
      <c r="AS69" s="151">
        <v>1946765.1500000001</v>
      </c>
      <c r="AT69" s="152"/>
      <c r="AU69" s="151">
        <v>1242837.3263338166</v>
      </c>
      <c r="AV69" s="39">
        <f t="shared" si="0"/>
        <v>0</v>
      </c>
      <c r="AW69" s="40">
        <f t="shared" si="2"/>
        <v>42938105.231568798</v>
      </c>
      <c r="AX69" s="40">
        <f t="shared" si="3"/>
        <v>27707696.617621943</v>
      </c>
      <c r="AY69" s="40">
        <f t="shared" si="4"/>
        <v>70645801.849190742</v>
      </c>
      <c r="AZ69" s="41">
        <f t="shared" si="1"/>
        <v>-6.9190755486488342E-2</v>
      </c>
    </row>
    <row r="70" spans="1:52" ht="14.4" hidden="1" thickBot="1">
      <c r="D70" s="779">
        <f>E69+G69+I69</f>
        <v>2634191.1800000002</v>
      </c>
      <c r="E70" s="779"/>
      <c r="F70" s="779"/>
      <c r="G70" s="779"/>
      <c r="H70" s="779"/>
      <c r="I70" s="779"/>
      <c r="J70" s="780">
        <f>K69+M69</f>
        <v>6314147.0391418561</v>
      </c>
      <c r="K70" s="781"/>
      <c r="L70" s="781"/>
      <c r="M70" s="782"/>
      <c r="N70" s="154"/>
      <c r="O70" s="155"/>
      <c r="P70" s="783">
        <f>Q69+S69+U69</f>
        <v>5570920.4699999997</v>
      </c>
      <c r="Q70" s="783"/>
      <c r="R70" s="783"/>
      <c r="S70" s="783"/>
      <c r="T70" s="783"/>
      <c r="U70" s="783"/>
    </row>
    <row r="72" spans="1:52">
      <c r="W72" s="39"/>
    </row>
    <row r="75" spans="1:52">
      <c r="B75" s="41"/>
    </row>
  </sheetData>
  <mergeCells count="47">
    <mergeCell ref="T8:U8"/>
    <mergeCell ref="V8:W8"/>
    <mergeCell ref="X8:Y8"/>
    <mergeCell ref="Z8:AA8"/>
    <mergeCell ref="D8:E8"/>
    <mergeCell ref="F8:G8"/>
    <mergeCell ref="H8:I8"/>
    <mergeCell ref="J8:K8"/>
    <mergeCell ref="L8:M8"/>
    <mergeCell ref="N8:O8"/>
    <mergeCell ref="AR8:AS8"/>
    <mergeCell ref="AT8:AU8"/>
    <mergeCell ref="D9:E9"/>
    <mergeCell ref="F9:G9"/>
    <mergeCell ref="H9:I9"/>
    <mergeCell ref="J9:K9"/>
    <mergeCell ref="L9:M9"/>
    <mergeCell ref="N9:O9"/>
    <mergeCell ref="AB8:AC8"/>
    <mergeCell ref="AD8:AE8"/>
    <mergeCell ref="AF8:AG8"/>
    <mergeCell ref="AH8:AI8"/>
    <mergeCell ref="AJ8:AK8"/>
    <mergeCell ref="AL8:AM8"/>
    <mergeCell ref="P8:Q8"/>
    <mergeCell ref="R8:S8"/>
    <mergeCell ref="Z9:AA9"/>
    <mergeCell ref="AN8:AO8"/>
    <mergeCell ref="AP8:AQ8"/>
    <mergeCell ref="AN9:AO9"/>
    <mergeCell ref="AP9:AQ9"/>
    <mergeCell ref="AR9:AS9"/>
    <mergeCell ref="AT9:AU9"/>
    <mergeCell ref="D70:I70"/>
    <mergeCell ref="J70:M70"/>
    <mergeCell ref="P70:U70"/>
    <mergeCell ref="AB9:AC9"/>
    <mergeCell ref="AD9:AE9"/>
    <mergeCell ref="AF9:AG9"/>
    <mergeCell ref="AH9:AI9"/>
    <mergeCell ref="AJ9:AK9"/>
    <mergeCell ref="AL9:AM9"/>
    <mergeCell ref="P9:Q9"/>
    <mergeCell ref="R9:S9"/>
    <mergeCell ref="T9:U9"/>
    <mergeCell ref="V9:W9"/>
    <mergeCell ref="X9:Y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A77"/>
  <sheetViews>
    <sheetView topLeftCell="A45" workbookViewId="0">
      <selection activeCell="BA74" sqref="BA74"/>
    </sheetView>
  </sheetViews>
  <sheetFormatPr defaultColWidth="9.109375" defaultRowHeight="13.2"/>
  <cols>
    <col min="1" max="1" width="9.6640625" style="18" customWidth="1"/>
    <col min="2" max="2" width="39.44140625" style="18" customWidth="1"/>
    <col min="3" max="3" width="13.109375" style="179" customWidth="1"/>
    <col min="4" max="4" width="15" style="18" customWidth="1"/>
    <col min="5" max="5" width="9.109375" style="18" hidden="1" customWidth="1"/>
    <col min="6" max="6" width="10.44140625" style="18" customWidth="1"/>
    <col min="7" max="7" width="9.109375" style="18" hidden="1" customWidth="1"/>
    <col min="8" max="8" width="11.33203125" style="18" customWidth="1"/>
    <col min="9" max="9" width="9.109375" style="18" hidden="1" customWidth="1"/>
    <col min="10" max="10" width="10.109375" style="18" customWidth="1"/>
    <col min="11" max="11" width="8" style="18" hidden="1" customWidth="1"/>
    <col min="12" max="12" width="11.44140625" style="18" customWidth="1"/>
    <col min="13" max="13" width="7.88671875" style="18" hidden="1" customWidth="1"/>
    <col min="14" max="14" width="11.5546875" style="18" customWidth="1"/>
    <col min="15" max="15" width="9.109375" style="18" hidden="1" customWidth="1"/>
    <col min="16" max="16" width="11.109375" style="18" customWidth="1"/>
    <col min="17" max="17" width="9.109375" style="18" hidden="1" customWidth="1"/>
    <col min="18" max="18" width="14.5546875" style="18" customWidth="1"/>
    <col min="19" max="19" width="9.109375" style="18" hidden="1" customWidth="1"/>
    <col min="20" max="20" width="10.6640625" style="18" customWidth="1"/>
    <col min="21" max="21" width="9.109375" style="18" hidden="1" customWidth="1"/>
    <col min="22" max="22" width="11.109375" style="18" customWidth="1"/>
    <col min="23" max="23" width="0" style="18" hidden="1" customWidth="1"/>
    <col min="24" max="24" width="11.33203125" style="18" customWidth="1"/>
    <col min="25" max="25" width="7.5546875" style="18" hidden="1" customWidth="1"/>
    <col min="26" max="26" width="10.33203125" style="18" customWidth="1"/>
    <col min="27" max="27" width="6.88671875" style="18" hidden="1" customWidth="1"/>
    <col min="28" max="28" width="11.109375" style="18" customWidth="1"/>
    <col min="29" max="29" width="7.6640625" style="18" hidden="1" customWidth="1"/>
    <col min="30" max="30" width="11.44140625" style="18" customWidth="1"/>
    <col min="31" max="31" width="6.44140625" style="18" hidden="1" customWidth="1"/>
    <col min="32" max="32" width="10.109375" style="18" customWidth="1"/>
    <col min="33" max="33" width="8.5546875" style="18" hidden="1" customWidth="1"/>
    <col min="34" max="34" width="10" style="18" customWidth="1"/>
    <col min="35" max="35" width="5.88671875" style="18" hidden="1" customWidth="1"/>
    <col min="36" max="36" width="17.5546875" style="18" customWidth="1"/>
    <col min="37" max="37" width="7.33203125" style="18" hidden="1" customWidth="1"/>
    <col min="38" max="38" width="11" style="18" customWidth="1"/>
    <col min="39" max="39" width="6.33203125" style="18" hidden="1" customWidth="1"/>
    <col min="40" max="40" width="11.44140625" style="18" customWidth="1"/>
    <col min="41" max="41" width="6.6640625" style="18" hidden="1" customWidth="1"/>
    <col min="42" max="42" width="12.44140625" style="18" customWidth="1"/>
    <col min="43" max="43" width="6.5546875" style="18" hidden="1" customWidth="1"/>
    <col min="44" max="44" width="11.109375" style="18" customWidth="1"/>
    <col min="45" max="45" width="6.33203125" style="18" hidden="1" customWidth="1"/>
    <col min="46" max="46" width="10.33203125" style="18" customWidth="1"/>
    <col min="47" max="47" width="7.44140625" style="18" hidden="1" customWidth="1"/>
    <col min="48" max="48" width="14" style="18" customWidth="1"/>
    <col min="49" max="49" width="11.44140625" style="18" customWidth="1"/>
    <col min="50" max="50" width="13" style="18" customWidth="1"/>
    <col min="51" max="51" width="11" style="18" customWidth="1"/>
    <col min="52" max="52" width="12.33203125" style="18" customWidth="1"/>
    <col min="53" max="53" width="11.88671875" style="18" customWidth="1"/>
    <col min="54" max="16384" width="9.109375" style="18"/>
  </cols>
  <sheetData>
    <row r="1" spans="1:53">
      <c r="A1" s="17" t="s">
        <v>19</v>
      </c>
      <c r="B1" s="18" t="s">
        <v>20</v>
      </c>
    </row>
    <row r="2" spans="1:53">
      <c r="A2" s="17" t="s">
        <v>21</v>
      </c>
      <c r="B2" s="18" t="s">
        <v>22</v>
      </c>
    </row>
    <row r="3" spans="1:53">
      <c r="A3" s="17" t="s">
        <v>23</v>
      </c>
      <c r="B3" s="18" t="s">
        <v>24</v>
      </c>
    </row>
    <row r="4" spans="1:53">
      <c r="A4" s="17" t="s">
        <v>25</v>
      </c>
      <c r="B4" s="18" t="s">
        <v>26</v>
      </c>
    </row>
    <row r="6" spans="1:53" ht="13.8">
      <c r="E6" s="19" t="s">
        <v>27</v>
      </c>
    </row>
    <row r="7" spans="1:53" ht="13.8" thickBot="1"/>
    <row r="8" spans="1:53" ht="55.95" customHeight="1">
      <c r="A8" s="240" t="s">
        <v>28</v>
      </c>
      <c r="B8" s="241" t="s">
        <v>29</v>
      </c>
      <c r="C8" s="242" t="s">
        <v>153</v>
      </c>
      <c r="D8" s="242" t="s">
        <v>150</v>
      </c>
      <c r="E8" s="798" t="s">
        <v>31</v>
      </c>
      <c r="F8" s="799"/>
      <c r="G8" s="798" t="s">
        <v>32</v>
      </c>
      <c r="H8" s="799"/>
      <c r="I8" s="798" t="s">
        <v>33</v>
      </c>
      <c r="J8" s="799"/>
      <c r="K8" s="798" t="s">
        <v>34</v>
      </c>
      <c r="L8" s="799"/>
      <c r="M8" s="798" t="s">
        <v>35</v>
      </c>
      <c r="N8" s="799"/>
      <c r="O8" s="798" t="s">
        <v>36</v>
      </c>
      <c r="P8" s="799"/>
      <c r="Q8" s="798" t="s">
        <v>37</v>
      </c>
      <c r="R8" s="799"/>
      <c r="S8" s="798" t="s">
        <v>38</v>
      </c>
      <c r="T8" s="799"/>
      <c r="U8" s="798" t="s">
        <v>39</v>
      </c>
      <c r="V8" s="799"/>
      <c r="W8" s="798" t="s">
        <v>40</v>
      </c>
      <c r="X8" s="799"/>
      <c r="Y8" s="798" t="s">
        <v>41</v>
      </c>
      <c r="Z8" s="799"/>
      <c r="AA8" s="798" t="s">
        <v>42</v>
      </c>
      <c r="AB8" s="799"/>
      <c r="AC8" s="798" t="s">
        <v>43</v>
      </c>
      <c r="AD8" s="799"/>
      <c r="AE8" s="798" t="s">
        <v>44</v>
      </c>
      <c r="AF8" s="799"/>
      <c r="AG8" s="798" t="s">
        <v>45</v>
      </c>
      <c r="AH8" s="799"/>
      <c r="AI8" s="798" t="s">
        <v>46</v>
      </c>
      <c r="AJ8" s="799"/>
      <c r="AK8" s="794" t="s">
        <v>47</v>
      </c>
      <c r="AL8" s="795"/>
      <c r="AM8" s="794" t="s">
        <v>48</v>
      </c>
      <c r="AN8" s="795"/>
      <c r="AO8" s="794" t="s">
        <v>49</v>
      </c>
      <c r="AP8" s="795"/>
      <c r="AQ8" s="794" t="s">
        <v>50</v>
      </c>
      <c r="AR8" s="795"/>
      <c r="AS8" s="794" t="s">
        <v>51</v>
      </c>
      <c r="AT8" s="795"/>
      <c r="AU8" s="794" t="s">
        <v>52</v>
      </c>
      <c r="AV8" s="796"/>
      <c r="AW8" s="243" t="s">
        <v>157</v>
      </c>
      <c r="AX8" s="244" t="s">
        <v>158</v>
      </c>
      <c r="AY8" s="243" t="s">
        <v>156</v>
      </c>
      <c r="AZ8" s="245" t="s">
        <v>151</v>
      </c>
      <c r="BA8" s="246" t="s">
        <v>159</v>
      </c>
    </row>
    <row r="9" spans="1:53" s="156" customFormat="1" ht="27" customHeight="1">
      <c r="A9" s="247"/>
      <c r="B9" s="20"/>
      <c r="C9" s="180"/>
      <c r="D9" s="21"/>
      <c r="E9" s="792" t="s">
        <v>56</v>
      </c>
      <c r="F9" s="793"/>
      <c r="G9" s="792" t="s">
        <v>57</v>
      </c>
      <c r="H9" s="793"/>
      <c r="I9" s="792" t="s">
        <v>58</v>
      </c>
      <c r="J9" s="797"/>
      <c r="K9" s="792" t="s">
        <v>59</v>
      </c>
      <c r="L9" s="793"/>
      <c r="M9" s="792" t="s">
        <v>60</v>
      </c>
      <c r="N9" s="793"/>
      <c r="O9" s="792" t="s">
        <v>61</v>
      </c>
      <c r="P9" s="793"/>
      <c r="Q9" s="792" t="s">
        <v>62</v>
      </c>
      <c r="R9" s="793"/>
      <c r="S9" s="792" t="s">
        <v>63</v>
      </c>
      <c r="T9" s="793"/>
      <c r="U9" s="792" t="s">
        <v>64</v>
      </c>
      <c r="V9" s="793"/>
      <c r="W9" s="792" t="s">
        <v>65</v>
      </c>
      <c r="X9" s="793"/>
      <c r="Y9" s="792" t="s">
        <v>57</v>
      </c>
      <c r="Z9" s="793"/>
      <c r="AA9" s="792" t="s">
        <v>58</v>
      </c>
      <c r="AB9" s="793"/>
      <c r="AC9" s="792" t="s">
        <v>59</v>
      </c>
      <c r="AD9" s="793"/>
      <c r="AE9" s="792" t="s">
        <v>60</v>
      </c>
      <c r="AF9" s="793"/>
      <c r="AG9" s="792" t="s">
        <v>61</v>
      </c>
      <c r="AH9" s="793"/>
      <c r="AI9" s="792" t="s">
        <v>66</v>
      </c>
      <c r="AJ9" s="793"/>
      <c r="AK9" s="789" t="s">
        <v>67</v>
      </c>
      <c r="AL9" s="790"/>
      <c r="AM9" s="789" t="s">
        <v>68</v>
      </c>
      <c r="AN9" s="790"/>
      <c r="AO9" s="789" t="s">
        <v>65</v>
      </c>
      <c r="AP9" s="790"/>
      <c r="AQ9" s="789" t="s">
        <v>57</v>
      </c>
      <c r="AR9" s="790"/>
      <c r="AS9" s="789" t="s">
        <v>58</v>
      </c>
      <c r="AT9" s="790"/>
      <c r="AU9" s="789" t="s">
        <v>59</v>
      </c>
      <c r="AV9" s="791"/>
      <c r="AW9" s="212"/>
      <c r="AX9" s="212"/>
      <c r="AY9" s="214" t="s">
        <v>152</v>
      </c>
      <c r="AZ9" s="216" t="s">
        <v>152</v>
      </c>
      <c r="BA9" s="248"/>
    </row>
    <row r="10" spans="1:53" s="162" customFormat="1" ht="13.8">
      <c r="A10" s="249"/>
      <c r="B10" s="24"/>
      <c r="C10" s="181"/>
      <c r="D10" s="25"/>
      <c r="E10" s="210" t="s">
        <v>69</v>
      </c>
      <c r="F10" s="211" t="s">
        <v>70</v>
      </c>
      <c r="G10" s="210" t="s">
        <v>69</v>
      </c>
      <c r="H10" s="211" t="s">
        <v>70</v>
      </c>
      <c r="I10" s="210" t="s">
        <v>69</v>
      </c>
      <c r="J10" s="160" t="s">
        <v>70</v>
      </c>
      <c r="K10" s="210" t="s">
        <v>69</v>
      </c>
      <c r="L10" s="211" t="s">
        <v>70</v>
      </c>
      <c r="M10" s="210" t="s">
        <v>69</v>
      </c>
      <c r="N10" s="211" t="s">
        <v>70</v>
      </c>
      <c r="O10" s="210" t="s">
        <v>69</v>
      </c>
      <c r="P10" s="211" t="s">
        <v>70</v>
      </c>
      <c r="Q10" s="210" t="s">
        <v>69</v>
      </c>
      <c r="R10" s="211" t="s">
        <v>70</v>
      </c>
      <c r="S10" s="210" t="s">
        <v>69</v>
      </c>
      <c r="T10" s="211" t="s">
        <v>70</v>
      </c>
      <c r="U10" s="210" t="s">
        <v>69</v>
      </c>
      <c r="V10" s="211" t="s">
        <v>70</v>
      </c>
      <c r="W10" s="210" t="s">
        <v>69</v>
      </c>
      <c r="X10" s="211" t="s">
        <v>70</v>
      </c>
      <c r="Y10" s="210" t="s">
        <v>69</v>
      </c>
      <c r="Z10" s="211" t="s">
        <v>70</v>
      </c>
      <c r="AA10" s="210" t="s">
        <v>69</v>
      </c>
      <c r="AB10" s="211" t="s">
        <v>70</v>
      </c>
      <c r="AC10" s="210" t="s">
        <v>69</v>
      </c>
      <c r="AD10" s="211" t="s">
        <v>70</v>
      </c>
      <c r="AE10" s="210" t="s">
        <v>69</v>
      </c>
      <c r="AF10" s="211" t="s">
        <v>70</v>
      </c>
      <c r="AG10" s="210" t="s">
        <v>69</v>
      </c>
      <c r="AH10" s="211" t="s">
        <v>70</v>
      </c>
      <c r="AI10" s="210" t="s">
        <v>69</v>
      </c>
      <c r="AJ10" s="211" t="s">
        <v>70</v>
      </c>
      <c r="AK10" s="210" t="s">
        <v>69</v>
      </c>
      <c r="AL10" s="211" t="s">
        <v>70</v>
      </c>
      <c r="AM10" s="210" t="s">
        <v>69</v>
      </c>
      <c r="AN10" s="211" t="s">
        <v>70</v>
      </c>
      <c r="AO10" s="210" t="s">
        <v>69</v>
      </c>
      <c r="AP10" s="211" t="s">
        <v>70</v>
      </c>
      <c r="AQ10" s="210" t="s">
        <v>69</v>
      </c>
      <c r="AR10" s="211" t="s">
        <v>70</v>
      </c>
      <c r="AS10" s="210" t="s">
        <v>69</v>
      </c>
      <c r="AT10" s="211" t="s">
        <v>70</v>
      </c>
      <c r="AU10" s="210" t="s">
        <v>69</v>
      </c>
      <c r="AV10" s="183" t="s">
        <v>70</v>
      </c>
      <c r="AW10" s="183" t="s">
        <v>70</v>
      </c>
      <c r="AX10" s="183" t="s">
        <v>70</v>
      </c>
      <c r="AY10" s="215" t="s">
        <v>70</v>
      </c>
      <c r="AZ10" s="183" t="s">
        <v>70</v>
      </c>
      <c r="BA10" s="211" t="s">
        <v>70</v>
      </c>
    </row>
    <row r="11" spans="1:53" s="232" customFormat="1" ht="14.4">
      <c r="A11" s="250">
        <v>24.2</v>
      </c>
      <c r="B11" s="219" t="s">
        <v>71</v>
      </c>
      <c r="C11" s="220">
        <f>SUM(C12:C13)</f>
        <v>1041342.57</v>
      </c>
      <c r="D11" s="220">
        <f>SUM(D12:D13)</f>
        <v>1651489.8096089996</v>
      </c>
      <c r="E11" s="221">
        <v>4.6625821570399892E-2</v>
      </c>
      <c r="F11" s="222">
        <v>75628.59</v>
      </c>
      <c r="G11" s="221">
        <v>4.0553575155928001E-2</v>
      </c>
      <c r="H11" s="222">
        <v>65779.210000000006</v>
      </c>
      <c r="I11" s="221">
        <v>9.4694844954169313E-2</v>
      </c>
      <c r="J11" s="222">
        <v>153598.1</v>
      </c>
      <c r="K11" s="221">
        <v>5.0190312791114342E-2</v>
      </c>
      <c r="L11" s="222">
        <v>81410.31</v>
      </c>
      <c r="M11" s="221">
        <v>5.3015065365559014E-2</v>
      </c>
      <c r="N11" s="222">
        <v>85992.15</v>
      </c>
      <c r="O11" s="221">
        <v>3.4070726568070316E-2</v>
      </c>
      <c r="P11" s="222">
        <v>55263.82</v>
      </c>
      <c r="Q11" s="224">
        <v>4.0427850164984069E-2</v>
      </c>
      <c r="R11" s="222">
        <v>65575.28</v>
      </c>
      <c r="S11" s="225">
        <v>5.6084011593036498E-2</v>
      </c>
      <c r="T11" s="222">
        <v>90970.08</v>
      </c>
      <c r="U11" s="225">
        <v>8.4804413238791607E-2</v>
      </c>
      <c r="V11" s="222">
        <v>137555.5</v>
      </c>
      <c r="W11" s="224">
        <v>0.15318364807747081</v>
      </c>
      <c r="X11" s="222">
        <v>248468.82960900001</v>
      </c>
      <c r="Y11" s="221">
        <v>0.21216836658243424</v>
      </c>
      <c r="Z11" s="222">
        <v>344143.94999999995</v>
      </c>
      <c r="AA11" s="221">
        <v>4.8125927305037126E-2</v>
      </c>
      <c r="AB11" s="222">
        <v>78061.81</v>
      </c>
      <c r="AC11" s="221">
        <v>1.0872884389425208E-2</v>
      </c>
      <c r="AD11" s="222">
        <v>17636.169999999998</v>
      </c>
      <c r="AE11" s="221">
        <v>0</v>
      </c>
      <c r="AF11" s="222">
        <v>0</v>
      </c>
      <c r="AG11" s="221">
        <v>0</v>
      </c>
      <c r="AH11" s="222">
        <v>0</v>
      </c>
      <c r="AI11" s="221">
        <v>0</v>
      </c>
      <c r="AJ11" s="220">
        <v>0</v>
      </c>
      <c r="AK11" s="228"/>
      <c r="AL11" s="220">
        <f>ROUND(centralizator!$R$18*Gantt!AK11,2)</f>
        <v>142613.24</v>
      </c>
      <c r="AM11" s="228"/>
      <c r="AN11" s="220">
        <f>ROUND(centralizator!$S$18*Gantt!AM11,2)</f>
        <v>0</v>
      </c>
      <c r="AO11" s="228"/>
      <c r="AP11" s="220">
        <f>ROUND(centralizator!$T$18*Gantt!AO11,2)</f>
        <v>0</v>
      </c>
      <c r="AQ11" s="228"/>
      <c r="AR11" s="220">
        <f>ROUND(centralizator!$U$18*Gantt!AQ11,2)</f>
        <v>0</v>
      </c>
      <c r="AS11" s="228"/>
      <c r="AT11" s="220">
        <f>ROUND(centralizator!$V$18*Gantt!AS11,2)</f>
        <v>0</v>
      </c>
      <c r="AU11" s="221">
        <v>4.1018481986732393E-3</v>
      </c>
      <c r="AV11" s="220">
        <f>ROUND(centralizator!$W$18*Gantt!AU11,2)</f>
        <v>8792.7800000000007</v>
      </c>
      <c r="AW11" s="228">
        <f>ROUND(C11*19%,2)</f>
        <v>197855.09</v>
      </c>
      <c r="AX11" s="228">
        <f>C11+AW11</f>
        <v>1239197.6599999999</v>
      </c>
      <c r="AY11" s="229">
        <f>ROUND(D11*19%,2)</f>
        <v>313783.06</v>
      </c>
      <c r="AZ11" s="230">
        <f>D11+AY11</f>
        <v>1965272.8696089997</v>
      </c>
      <c r="BA11" s="251">
        <f>AZ11-AX11</f>
        <v>726075.20960899978</v>
      </c>
    </row>
    <row r="12" spans="1:53" ht="14.4">
      <c r="A12" s="252" t="s">
        <v>72</v>
      </c>
      <c r="B12" s="43" t="s">
        <v>71</v>
      </c>
      <c r="C12" s="172">
        <v>1041342.57</v>
      </c>
      <c r="D12" s="165">
        <f>F12+H12+J12+L12+N12+P12+R12+T12+V12+X12+Z12+AB12+AD12+AF12+AH12+AJ12+AL12+AN12+AP12+AR12+AT12+AV12</f>
        <v>982613.08883019979</v>
      </c>
      <c r="E12" s="166">
        <v>7.7321411634552875E-2</v>
      </c>
      <c r="F12" s="187">
        <v>75628.59</v>
      </c>
      <c r="G12" s="173">
        <v>6.7251569458133459E-2</v>
      </c>
      <c r="H12" s="187">
        <v>65779.210000000006</v>
      </c>
      <c r="I12" s="173">
        <v>0.15703614091423915</v>
      </c>
      <c r="J12" s="188">
        <v>153598.1</v>
      </c>
      <c r="K12" s="173">
        <v>8.323254593013775E-2</v>
      </c>
      <c r="L12" s="187">
        <v>81410.31</v>
      </c>
      <c r="M12" s="173">
        <v>8.7916942884829874E-2</v>
      </c>
      <c r="N12" s="174">
        <v>85992.15</v>
      </c>
      <c r="O12" s="173">
        <v>5.6500809742953503E-2</v>
      </c>
      <c r="P12" s="174">
        <v>55263.82</v>
      </c>
      <c r="Q12" s="176">
        <v>4.6713779250400586E-2</v>
      </c>
      <c r="R12" s="174">
        <v>45691.06</v>
      </c>
      <c r="S12" s="186">
        <v>6.4833264763785647E-2</v>
      </c>
      <c r="T12" s="174">
        <v>63413.850000000006</v>
      </c>
      <c r="U12" s="186">
        <v>6.2973304067677954E-2</v>
      </c>
      <c r="V12" s="174">
        <v>61594.610000000015</v>
      </c>
      <c r="W12" s="176">
        <v>0.13876404304135781</v>
      </c>
      <c r="X12" s="200">
        <v>135726.03883020001</v>
      </c>
      <c r="Y12" s="173">
        <v>9.2683999533834091E-2</v>
      </c>
      <c r="Z12" s="187">
        <v>90654.84</v>
      </c>
      <c r="AA12" s="173">
        <v>3.7276823042688728E-2</v>
      </c>
      <c r="AB12" s="187">
        <v>36460.71</v>
      </c>
      <c r="AC12" s="173">
        <v>1.0399018945469027E-2</v>
      </c>
      <c r="AD12" s="187">
        <v>10171.35</v>
      </c>
      <c r="AE12" s="173">
        <v>0</v>
      </c>
      <c r="AF12" s="187"/>
      <c r="AG12" s="173">
        <v>0</v>
      </c>
      <c r="AH12" s="187"/>
      <c r="AI12" s="173">
        <v>0</v>
      </c>
      <c r="AJ12" s="175"/>
      <c r="AK12" s="173">
        <v>1.0520324730628312E-2</v>
      </c>
      <c r="AL12" s="196">
        <f>ROUND(centralizator!$R$18*Gantt!AK12,2)</f>
        <v>12728.11</v>
      </c>
      <c r="AM12" s="174"/>
      <c r="AN12" s="196">
        <f>ROUND(centralizator!$S$18*Gantt!AM12,2)</f>
        <v>0</v>
      </c>
      <c r="AO12" s="174"/>
      <c r="AP12" s="196">
        <f>ROUND(centralizator!$T$18*Gantt!AO12,2)</f>
        <v>0</v>
      </c>
      <c r="AQ12" s="174"/>
      <c r="AR12" s="196">
        <f>ROUND(centralizator!$U$18*Gantt!AQ12,2)</f>
        <v>0</v>
      </c>
      <c r="AS12" s="174"/>
      <c r="AT12" s="196">
        <f>ROUND(centralizator!$V$18*Gantt!AS12,2)</f>
        <v>0</v>
      </c>
      <c r="AU12" s="173">
        <v>6.5760220593114507E-3</v>
      </c>
      <c r="AV12" s="196">
        <f>ROUND(centralizator!$W$18*Gantt!AU12,2)</f>
        <v>8500.34</v>
      </c>
      <c r="AW12" s="192">
        <f t="shared" ref="AW12:AW69" si="0">ROUND(C12*19%,2)</f>
        <v>197855.09</v>
      </c>
      <c r="AX12" s="192">
        <f t="shared" ref="AX12:AX69" si="1">C12+AW12</f>
        <v>1239197.6599999999</v>
      </c>
      <c r="AY12" s="200">
        <f t="shared" ref="AY12:AY68" si="2">ROUND(D12*19%,2)</f>
        <v>186696.49</v>
      </c>
      <c r="AZ12" s="175">
        <f t="shared" ref="AZ12:AZ68" si="3">D12+AY12</f>
        <v>1169309.5788301998</v>
      </c>
      <c r="BA12" s="187">
        <f t="shared" ref="BA12:BA68" si="4">AZ12-AX12</f>
        <v>-69888.081169800134</v>
      </c>
    </row>
    <row r="13" spans="1:53" ht="14.4">
      <c r="A13" s="252"/>
      <c r="B13" s="57" t="s">
        <v>73</v>
      </c>
      <c r="C13" s="184">
        <v>0</v>
      </c>
      <c r="D13" s="165">
        <f>F13+H13+J13+L13+N13+P13+R13+T13+V13+X13+Z13+AB13+AD13+AF13+AH13+AJ13+AL13+AN13+AP13+AR13+AT13+AV13</f>
        <v>668876.72077879997</v>
      </c>
      <c r="E13" s="168">
        <v>0</v>
      </c>
      <c r="F13" s="189"/>
      <c r="G13" s="173">
        <v>0</v>
      </c>
      <c r="H13" s="189"/>
      <c r="I13" s="173">
        <v>0</v>
      </c>
      <c r="J13" s="190"/>
      <c r="K13" s="173">
        <v>0</v>
      </c>
      <c r="L13" s="189"/>
      <c r="M13" s="173">
        <v>0</v>
      </c>
      <c r="N13" s="189"/>
      <c r="O13" s="173">
        <v>0</v>
      </c>
      <c r="P13" s="191"/>
      <c r="Q13" s="176">
        <v>3.087968356097763E-2</v>
      </c>
      <c r="R13" s="189">
        <v>19884.22</v>
      </c>
      <c r="S13" s="186">
        <v>4.2794118277383705E-2</v>
      </c>
      <c r="T13" s="189">
        <v>27556.23</v>
      </c>
      <c r="U13" s="186">
        <v>0.11796531351042334</v>
      </c>
      <c r="V13" s="189">
        <v>75960.89</v>
      </c>
      <c r="W13" s="176">
        <v>0.17508666183691646</v>
      </c>
      <c r="X13" s="200">
        <v>112742.7907788</v>
      </c>
      <c r="Y13" s="173">
        <v>0.39366208495751154</v>
      </c>
      <c r="Z13" s="189">
        <v>253489.11</v>
      </c>
      <c r="AA13" s="173">
        <v>6.46054410878871E-2</v>
      </c>
      <c r="AB13" s="189">
        <v>41601.1</v>
      </c>
      <c r="AC13" s="173">
        <v>1.1592673961546243E-2</v>
      </c>
      <c r="AD13" s="189">
        <v>7464.82</v>
      </c>
      <c r="AE13" s="173">
        <v>0</v>
      </c>
      <c r="AF13" s="189">
        <v>0</v>
      </c>
      <c r="AG13" s="173">
        <v>0</v>
      </c>
      <c r="AH13" s="189"/>
      <c r="AI13" s="173">
        <v>0</v>
      </c>
      <c r="AJ13" s="174"/>
      <c r="AK13" s="178">
        <v>0.16307038185340778</v>
      </c>
      <c r="AL13" s="196">
        <f>ROUND(centralizator!$R$18*Gantt!AK13,2)</f>
        <v>129885.13</v>
      </c>
      <c r="AM13" s="174">
        <v>0</v>
      </c>
      <c r="AN13" s="196">
        <f>ROUND(centralizator!$S$18*Gantt!AM13,2)</f>
        <v>0</v>
      </c>
      <c r="AO13" s="174"/>
      <c r="AP13" s="196">
        <f>ROUND(centralizator!$T$18*Gantt!AO13,2)</f>
        <v>0</v>
      </c>
      <c r="AQ13" s="174"/>
      <c r="AR13" s="196">
        <f>ROUND(centralizator!$U$18*Gantt!AQ13,2)</f>
        <v>0</v>
      </c>
      <c r="AS13" s="174"/>
      <c r="AT13" s="196">
        <f>ROUND(centralizator!$V$18*Gantt!AS13,2)</f>
        <v>0</v>
      </c>
      <c r="AU13" s="173">
        <v>2.262321927275146E-4</v>
      </c>
      <c r="AV13" s="196">
        <f>ROUND(centralizator!$W$18*Gantt!AU13,2)</f>
        <v>292.43</v>
      </c>
      <c r="AW13" s="192">
        <f t="shared" si="0"/>
        <v>0</v>
      </c>
      <c r="AX13" s="192">
        <f t="shared" si="1"/>
        <v>0</v>
      </c>
      <c r="AY13" s="200">
        <f t="shared" si="2"/>
        <v>127086.58</v>
      </c>
      <c r="AZ13" s="175">
        <f t="shared" si="3"/>
        <v>795963.30077879992</v>
      </c>
      <c r="BA13" s="187">
        <f t="shared" si="4"/>
        <v>795963.30077879992</v>
      </c>
    </row>
    <row r="14" spans="1:53" ht="14.4">
      <c r="A14" s="250">
        <v>24.3</v>
      </c>
      <c r="B14" s="219" t="s">
        <v>74</v>
      </c>
      <c r="C14" s="220">
        <f>C15</f>
        <v>353369.24</v>
      </c>
      <c r="D14" s="220">
        <f>D15</f>
        <v>230148.97999999998</v>
      </c>
      <c r="E14" s="221">
        <v>0</v>
      </c>
      <c r="F14" s="222">
        <v>0</v>
      </c>
      <c r="G14" s="221">
        <v>0</v>
      </c>
      <c r="H14" s="222">
        <v>0</v>
      </c>
      <c r="I14" s="221">
        <v>0</v>
      </c>
      <c r="J14" s="223">
        <v>0</v>
      </c>
      <c r="K14" s="221">
        <v>0</v>
      </c>
      <c r="L14" s="222">
        <v>0</v>
      </c>
      <c r="M14" s="221">
        <v>0</v>
      </c>
      <c r="N14" s="222">
        <v>0</v>
      </c>
      <c r="O14" s="221">
        <v>0</v>
      </c>
      <c r="P14" s="222">
        <v>0</v>
      </c>
      <c r="Q14" s="224">
        <v>0</v>
      </c>
      <c r="R14" s="222">
        <v>0</v>
      </c>
      <c r="S14" s="225">
        <v>0</v>
      </c>
      <c r="T14" s="222">
        <v>0</v>
      </c>
      <c r="U14" s="225">
        <v>0</v>
      </c>
      <c r="V14" s="222">
        <v>0</v>
      </c>
      <c r="W14" s="224">
        <v>0</v>
      </c>
      <c r="X14" s="222">
        <v>0</v>
      </c>
      <c r="Y14" s="221">
        <v>0</v>
      </c>
      <c r="Z14" s="222">
        <v>0</v>
      </c>
      <c r="AA14" s="221">
        <v>0</v>
      </c>
      <c r="AB14" s="222">
        <v>0</v>
      </c>
      <c r="AC14" s="221">
        <v>0</v>
      </c>
      <c r="AD14" s="222">
        <v>0</v>
      </c>
      <c r="AE14" s="221">
        <v>0</v>
      </c>
      <c r="AF14" s="222">
        <v>0</v>
      </c>
      <c r="AG14" s="221">
        <v>0</v>
      </c>
      <c r="AH14" s="222">
        <v>0</v>
      </c>
      <c r="AI14" s="221">
        <v>0</v>
      </c>
      <c r="AJ14" s="226">
        <v>0</v>
      </c>
      <c r="AK14" s="227"/>
      <c r="AL14" s="220">
        <f>ROUND(centralizator!$R$18*Gantt!AK14,2)</f>
        <v>0</v>
      </c>
      <c r="AM14" s="228"/>
      <c r="AN14" s="220">
        <f>ROUND(centralizator!$S$18*Gantt!AM14,2)</f>
        <v>0</v>
      </c>
      <c r="AO14" s="228"/>
      <c r="AP14" s="220">
        <f>ROUND(centralizator!$T$18*Gantt!AO14,2)</f>
        <v>57477.83</v>
      </c>
      <c r="AQ14" s="228"/>
      <c r="AR14" s="220">
        <f>ROUND(centralizator!$U$18*Gantt!AQ14,2)</f>
        <v>85944.34</v>
      </c>
      <c r="AS14" s="228"/>
      <c r="AT14" s="220">
        <f>ROUND(centralizator!$V$18*Gantt!AS14,2)</f>
        <v>86726.81</v>
      </c>
      <c r="AU14" s="221">
        <v>0</v>
      </c>
      <c r="AV14" s="220">
        <f>ROUND(centralizator!$W$18*Gantt!AU14,2)</f>
        <v>0</v>
      </c>
      <c r="AW14" s="228">
        <f t="shared" si="0"/>
        <v>67140.160000000003</v>
      </c>
      <c r="AX14" s="228">
        <f t="shared" si="1"/>
        <v>420509.4</v>
      </c>
      <c r="AY14" s="229">
        <f t="shared" si="2"/>
        <v>43728.31</v>
      </c>
      <c r="AZ14" s="230">
        <f t="shared" si="3"/>
        <v>273877.28999999998</v>
      </c>
      <c r="BA14" s="251">
        <f t="shared" si="4"/>
        <v>-146632.11000000004</v>
      </c>
    </row>
    <row r="15" spans="1:53" ht="14.4">
      <c r="A15" s="252" t="s">
        <v>75</v>
      </c>
      <c r="B15" s="43" t="s">
        <v>74</v>
      </c>
      <c r="C15" s="172">
        <v>353369.24</v>
      </c>
      <c r="D15" s="165">
        <f>F15+H15+J15+L15+N15+P15+R15+T15+V15+X15+Z15+AB15+AD15+AF15+AH15+AJ15+AL15+AN15+AP15+AR15+AT15+AV15</f>
        <v>230148.97999999998</v>
      </c>
      <c r="E15" s="168">
        <v>0</v>
      </c>
      <c r="F15" s="187"/>
      <c r="G15" s="173">
        <v>0</v>
      </c>
      <c r="H15" s="187"/>
      <c r="I15" s="173">
        <v>0</v>
      </c>
      <c r="J15" s="188"/>
      <c r="K15" s="173">
        <v>0</v>
      </c>
      <c r="L15" s="187"/>
      <c r="M15" s="173">
        <v>0</v>
      </c>
      <c r="N15" s="187"/>
      <c r="O15" s="173">
        <v>0</v>
      </c>
      <c r="P15" s="187"/>
      <c r="Q15" s="176">
        <v>0</v>
      </c>
      <c r="R15" s="187"/>
      <c r="S15" s="186">
        <v>0</v>
      </c>
      <c r="T15" s="187"/>
      <c r="U15" s="186">
        <v>0</v>
      </c>
      <c r="V15" s="187"/>
      <c r="W15" s="176">
        <v>0</v>
      </c>
      <c r="X15" s="187"/>
      <c r="Y15" s="173">
        <v>0</v>
      </c>
      <c r="Z15" s="187"/>
      <c r="AA15" s="173">
        <v>0</v>
      </c>
      <c r="AB15" s="187"/>
      <c r="AC15" s="173">
        <v>0</v>
      </c>
      <c r="AD15" s="187"/>
      <c r="AE15" s="173">
        <v>0</v>
      </c>
      <c r="AF15" s="187"/>
      <c r="AG15" s="173">
        <v>0</v>
      </c>
      <c r="AH15" s="187"/>
      <c r="AI15" s="173">
        <v>0</v>
      </c>
      <c r="AJ15" s="175"/>
      <c r="AK15" s="174"/>
      <c r="AL15" s="196">
        <f>ROUND(centralizator!$R$18*Gantt!AK15,2)</f>
        <v>0</v>
      </c>
      <c r="AM15" s="174"/>
      <c r="AN15" s="196">
        <f>ROUND(centralizator!$S$18*Gantt!AM15,2)</f>
        <v>0</v>
      </c>
      <c r="AO15" s="173">
        <v>0.25346367668816727</v>
      </c>
      <c r="AP15" s="196">
        <f>ROUND(centralizator!$T$18*Gantt!AO15,2)</f>
        <v>57477.83</v>
      </c>
      <c r="AQ15" s="173">
        <v>0.3740144308981132</v>
      </c>
      <c r="AR15" s="196">
        <f>ROUND(centralizator!$U$18*Gantt!AQ15,2)</f>
        <v>85944.34</v>
      </c>
      <c r="AS15" s="173">
        <v>0.37252189241371952</v>
      </c>
      <c r="AT15" s="196">
        <f>ROUND(centralizator!$V$18*Gantt!AS15,2)</f>
        <v>86726.81</v>
      </c>
      <c r="AU15" s="173">
        <v>0</v>
      </c>
      <c r="AV15" s="196">
        <f>ROUND(centralizator!$W$18*Gantt!AU15,2)</f>
        <v>0</v>
      </c>
      <c r="AW15" s="192">
        <f t="shared" si="0"/>
        <v>67140.160000000003</v>
      </c>
      <c r="AX15" s="192">
        <f t="shared" si="1"/>
        <v>420509.4</v>
      </c>
      <c r="AY15" s="200">
        <f t="shared" si="2"/>
        <v>43728.31</v>
      </c>
      <c r="AZ15" s="175">
        <f t="shared" si="3"/>
        <v>273877.28999999998</v>
      </c>
      <c r="BA15" s="187">
        <f t="shared" si="4"/>
        <v>-146632.11000000004</v>
      </c>
    </row>
    <row r="16" spans="1:53" ht="14.4">
      <c r="A16" s="250">
        <v>24.4</v>
      </c>
      <c r="B16" s="219" t="s">
        <v>76</v>
      </c>
      <c r="C16" s="220">
        <f>SUM(C17:C18)</f>
        <v>2639997.2400000002</v>
      </c>
      <c r="D16" s="220">
        <f>SUM(D17:D18)</f>
        <v>3386891.3754232856</v>
      </c>
      <c r="E16" s="221">
        <v>5.149350663338932E-3</v>
      </c>
      <c r="F16" s="233">
        <v>16947.810000000001</v>
      </c>
      <c r="G16" s="221">
        <v>1.4793635347026783E-2</v>
      </c>
      <c r="H16" s="233">
        <v>48689.58</v>
      </c>
      <c r="I16" s="221">
        <v>1.7466031853709207E-2</v>
      </c>
      <c r="J16" s="233">
        <v>57485.11</v>
      </c>
      <c r="K16" s="221">
        <v>9.2257636909447466E-2</v>
      </c>
      <c r="L16" s="233">
        <v>303643.12</v>
      </c>
      <c r="M16" s="221">
        <v>0.11365547980075619</v>
      </c>
      <c r="N16" s="233">
        <v>374068.81042998604</v>
      </c>
      <c r="O16" s="221">
        <v>8.5111353085231978E-3</v>
      </c>
      <c r="P16" s="233">
        <v>28012.29</v>
      </c>
      <c r="Q16" s="224">
        <v>7.4342137783578377E-3</v>
      </c>
      <c r="R16" s="233">
        <v>24467.87</v>
      </c>
      <c r="S16" s="225">
        <v>5.6599509049424401E-2</v>
      </c>
      <c r="T16" s="233">
        <v>186283.24</v>
      </c>
      <c r="U16" s="225">
        <v>5.2674975008825446E-2</v>
      </c>
      <c r="V16" s="233">
        <v>173366.61000000002</v>
      </c>
      <c r="W16" s="224">
        <v>7.3080558551509453E-2</v>
      </c>
      <c r="X16" s="233">
        <v>240526.5249933</v>
      </c>
      <c r="Y16" s="221">
        <v>0.18299169853566996</v>
      </c>
      <c r="Z16" s="233">
        <v>602271.77</v>
      </c>
      <c r="AA16" s="221">
        <v>0.14786679331229671</v>
      </c>
      <c r="AB16" s="233">
        <v>486666.86000000004</v>
      </c>
      <c r="AC16" s="221">
        <v>0.10487740945818284</v>
      </c>
      <c r="AD16" s="233">
        <v>345177.97</v>
      </c>
      <c r="AE16" s="221">
        <v>0</v>
      </c>
      <c r="AF16" s="233">
        <v>0</v>
      </c>
      <c r="AG16" s="221">
        <v>0</v>
      </c>
      <c r="AH16" s="233">
        <v>0</v>
      </c>
      <c r="AI16" s="221">
        <v>0</v>
      </c>
      <c r="AJ16" s="234">
        <v>0</v>
      </c>
      <c r="AK16" s="235"/>
      <c r="AL16" s="220">
        <f>ROUND(centralizator!$R$18*Gantt!AK16,2)</f>
        <v>499283.41</v>
      </c>
      <c r="AM16" s="235"/>
      <c r="AN16" s="220">
        <f>ROUND(centralizator!$S$18*Gantt!AM16,2)</f>
        <v>0</v>
      </c>
      <c r="AO16" s="235"/>
      <c r="AP16" s="220">
        <f>ROUND(centralizator!$T$18*Gantt!AO16,2)</f>
        <v>0</v>
      </c>
      <c r="AQ16" s="235"/>
      <c r="AR16" s="220">
        <f>ROUND(centralizator!$U$18*Gantt!AQ16,2)</f>
        <v>0</v>
      </c>
      <c r="AS16" s="235"/>
      <c r="AT16" s="220">
        <f>ROUND(centralizator!$V$18*Gantt!AS16,2)</f>
        <v>0</v>
      </c>
      <c r="AU16" s="221">
        <v>9.2541296236409261E-8</v>
      </c>
      <c r="AV16" s="220">
        <f>ROUND(centralizator!$W$18*Gantt!AU16,2)</f>
        <v>0.4</v>
      </c>
      <c r="AW16" s="228">
        <f t="shared" si="0"/>
        <v>501599.48</v>
      </c>
      <c r="AX16" s="228">
        <f t="shared" si="1"/>
        <v>3141596.72</v>
      </c>
      <c r="AY16" s="229">
        <f t="shared" si="2"/>
        <v>643509.36</v>
      </c>
      <c r="AZ16" s="230">
        <f t="shared" si="3"/>
        <v>4030400.7354232855</v>
      </c>
      <c r="BA16" s="251">
        <f t="shared" si="4"/>
        <v>888804.01542328531</v>
      </c>
    </row>
    <row r="17" spans="1:53" ht="14.4">
      <c r="A17" s="252" t="s">
        <v>77</v>
      </c>
      <c r="B17" s="43" t="s">
        <v>76</v>
      </c>
      <c r="C17" s="172">
        <v>2639997.2400000002</v>
      </c>
      <c r="D17" s="165">
        <f t="shared" ref="D17:D18" si="5">F17+H17+J17+L17+N17+P17+R17+T17+V17+X17+Z17+AB17+AD17+AF17+AH17+AJ17+AL17+AN17+AP17+AR17+AT17+AV17</f>
        <v>2821188.0362081858</v>
      </c>
      <c r="E17" s="166">
        <v>6.1531835517373108E-3</v>
      </c>
      <c r="F17" s="187">
        <v>16947.810000000001</v>
      </c>
      <c r="G17" s="173">
        <v>1.7677559684525487E-2</v>
      </c>
      <c r="H17" s="187">
        <v>48689.58</v>
      </c>
      <c r="I17" s="173">
        <v>2.0870922751777956E-2</v>
      </c>
      <c r="J17" s="188">
        <v>57485.11</v>
      </c>
      <c r="K17" s="173">
        <v>5.6948399404427023E-2</v>
      </c>
      <c r="L17" s="187">
        <v>156853.87</v>
      </c>
      <c r="M17" s="173">
        <v>0.13222121986677063</v>
      </c>
      <c r="N17" s="187">
        <v>364178.98042998603</v>
      </c>
      <c r="O17" s="173">
        <v>1.0170326553961577E-2</v>
      </c>
      <c r="P17" s="187">
        <v>28012.29</v>
      </c>
      <c r="Q17" s="176">
        <v>8.8834660779207927E-3</v>
      </c>
      <c r="R17" s="187">
        <v>24467.87</v>
      </c>
      <c r="S17" s="186">
        <v>6.763322035899233E-2</v>
      </c>
      <c r="T17" s="187">
        <v>186283.24</v>
      </c>
      <c r="U17" s="186">
        <v>5.02948447423614E-2</v>
      </c>
      <c r="V17" s="187">
        <v>138527.88</v>
      </c>
      <c r="W17" s="176">
        <v>8.2363843259448594E-2</v>
      </c>
      <c r="X17" s="200">
        <v>226856.02577820001</v>
      </c>
      <c r="Y17" s="173">
        <v>0.14564740035300747</v>
      </c>
      <c r="Z17" s="187">
        <v>401158.92</v>
      </c>
      <c r="AA17" s="173">
        <v>0.17443680539030731</v>
      </c>
      <c r="AB17" s="187">
        <v>480454.03</v>
      </c>
      <c r="AC17" s="173">
        <v>0.12422937982101827</v>
      </c>
      <c r="AD17" s="187">
        <v>342166.93</v>
      </c>
      <c r="AE17" s="173">
        <v>0</v>
      </c>
      <c r="AF17" s="187">
        <v>0</v>
      </c>
      <c r="AG17" s="173">
        <v>0</v>
      </c>
      <c r="AH17" s="187"/>
      <c r="AI17" s="173">
        <v>0</v>
      </c>
      <c r="AJ17" s="174"/>
      <c r="AK17" s="173">
        <v>0.10246934330174766</v>
      </c>
      <c r="AL17" s="196">
        <f>ROUND(centralizator!$R$18*Gantt!AK17,2)</f>
        <v>349105.19</v>
      </c>
      <c r="AM17" s="174"/>
      <c r="AN17" s="196">
        <f>ROUND(centralizator!$S$18*Gantt!AM17,2)</f>
        <v>0</v>
      </c>
      <c r="AO17" s="174"/>
      <c r="AP17" s="196">
        <f>ROUND(centralizator!$T$18*Gantt!AO17,2)</f>
        <v>0</v>
      </c>
      <c r="AQ17" s="174"/>
      <c r="AR17" s="196">
        <f>ROUND(centralizator!$U$18*Gantt!AQ17,2)</f>
        <v>0</v>
      </c>
      <c r="AS17" s="174"/>
      <c r="AT17" s="196">
        <f>ROUND(centralizator!$V$18*Gantt!AS17,2)</f>
        <v>0</v>
      </c>
      <c r="AU17" s="173">
        <v>8.488199629203686E-8</v>
      </c>
      <c r="AV17" s="196">
        <f>ROUND(centralizator!$W$18*Gantt!AU17,2)</f>
        <v>0.31</v>
      </c>
      <c r="AW17" s="192">
        <f t="shared" si="0"/>
        <v>501599.48</v>
      </c>
      <c r="AX17" s="192">
        <f t="shared" si="1"/>
        <v>3141596.72</v>
      </c>
      <c r="AY17" s="200">
        <f t="shared" si="2"/>
        <v>536025.73</v>
      </c>
      <c r="AZ17" s="175">
        <f t="shared" si="3"/>
        <v>3357213.7662081858</v>
      </c>
      <c r="BA17" s="187">
        <f t="shared" si="4"/>
        <v>215617.04620818561</v>
      </c>
    </row>
    <row r="18" spans="1:53" ht="14.25" customHeight="1">
      <c r="A18" s="252"/>
      <c r="B18" s="43" t="s">
        <v>78</v>
      </c>
      <c r="C18" s="172">
        <v>0</v>
      </c>
      <c r="D18" s="165">
        <f t="shared" si="5"/>
        <v>565703.33921509993</v>
      </c>
      <c r="E18" s="168">
        <v>0</v>
      </c>
      <c r="F18" s="187"/>
      <c r="G18" s="173">
        <v>0</v>
      </c>
      <c r="H18" s="187"/>
      <c r="I18" s="173">
        <v>0</v>
      </c>
      <c r="J18" s="188"/>
      <c r="K18" s="173">
        <v>0.27338304898731164</v>
      </c>
      <c r="L18" s="187">
        <v>146789.25</v>
      </c>
      <c r="M18" s="173">
        <v>1.8419004657127036E-2</v>
      </c>
      <c r="N18" s="187">
        <v>9889.8300000000017</v>
      </c>
      <c r="O18" s="173">
        <v>0</v>
      </c>
      <c r="P18" s="187"/>
      <c r="Q18" s="176">
        <v>0</v>
      </c>
      <c r="R18" s="187"/>
      <c r="S18" s="186">
        <v>0</v>
      </c>
      <c r="T18" s="187"/>
      <c r="U18" s="186">
        <v>6.4884303382200845E-2</v>
      </c>
      <c r="V18" s="187">
        <v>34838.730000000003</v>
      </c>
      <c r="W18" s="176">
        <v>2.5460193826201093E-2</v>
      </c>
      <c r="X18" s="200">
        <v>13670.499215100001</v>
      </c>
      <c r="Y18" s="173">
        <v>0.37455633926549703</v>
      </c>
      <c r="Z18" s="187">
        <v>201112.85</v>
      </c>
      <c r="AA18" s="173">
        <v>1.1570890976279526E-2</v>
      </c>
      <c r="AB18" s="187">
        <v>6212.83</v>
      </c>
      <c r="AC18" s="173">
        <v>5.6078173014900944E-3</v>
      </c>
      <c r="AD18" s="187">
        <v>3011.04</v>
      </c>
      <c r="AE18" s="173">
        <v>0</v>
      </c>
      <c r="AF18" s="187">
        <v>0</v>
      </c>
      <c r="AG18" s="173">
        <v>0</v>
      </c>
      <c r="AH18" s="187"/>
      <c r="AI18" s="173">
        <v>0</v>
      </c>
      <c r="AJ18" s="175"/>
      <c r="AK18" s="174">
        <v>0.22611826977276889</v>
      </c>
      <c r="AL18" s="196">
        <f>ROUND(centralizator!$R$18*Gantt!AK18,2)</f>
        <v>150178.22</v>
      </c>
      <c r="AM18" s="174"/>
      <c r="AN18" s="196">
        <f>ROUND(centralizator!$S$18*Gantt!AM18,2)</f>
        <v>0</v>
      </c>
      <c r="AO18" s="174"/>
      <c r="AP18" s="196">
        <f>ROUND(centralizator!$T$18*Gantt!AO18,2)</f>
        <v>0</v>
      </c>
      <c r="AQ18" s="174"/>
      <c r="AR18" s="196">
        <f>ROUND(centralizator!$U$18*Gantt!AQ18,2)</f>
        <v>0</v>
      </c>
      <c r="AS18" s="174"/>
      <c r="AT18" s="196">
        <f>ROUND(centralizator!$V$18*Gantt!AS18,2)</f>
        <v>0</v>
      </c>
      <c r="AU18" s="173">
        <v>2.5699632166938356E-8</v>
      </c>
      <c r="AV18" s="196">
        <f>ROUND(centralizator!$W$18*Gantt!AU18,2)</f>
        <v>0.09</v>
      </c>
      <c r="AW18" s="192">
        <f t="shared" si="0"/>
        <v>0</v>
      </c>
      <c r="AX18" s="192">
        <f t="shared" si="1"/>
        <v>0</v>
      </c>
      <c r="AY18" s="200">
        <f t="shared" si="2"/>
        <v>107483.63</v>
      </c>
      <c r="AZ18" s="175">
        <f t="shared" si="3"/>
        <v>673186.96921509993</v>
      </c>
      <c r="BA18" s="187">
        <f t="shared" si="4"/>
        <v>673186.96921509993</v>
      </c>
    </row>
    <row r="19" spans="1:53" ht="14.4">
      <c r="A19" s="250">
        <v>24.5</v>
      </c>
      <c r="B19" s="219" t="s">
        <v>79</v>
      </c>
      <c r="C19" s="220">
        <f>C20+C21</f>
        <v>35513780</v>
      </c>
      <c r="D19" s="220">
        <f>D20+D21</f>
        <v>40117395.778066173</v>
      </c>
      <c r="E19" s="221">
        <v>2.9964711890357498E-3</v>
      </c>
      <c r="F19" s="233">
        <v>110573.74</v>
      </c>
      <c r="G19" s="221">
        <v>3.7252562715016604E-2</v>
      </c>
      <c r="H19" s="233">
        <v>1374668.71</v>
      </c>
      <c r="I19" s="221">
        <v>1.1883468363564414E-2</v>
      </c>
      <c r="J19" s="236">
        <v>438515.66000000015</v>
      </c>
      <c r="K19" s="221">
        <v>3.4943339584005979E-2</v>
      </c>
      <c r="L19" s="233">
        <v>1289455.33</v>
      </c>
      <c r="M19" s="221">
        <v>9.7692788252684015E-2</v>
      </c>
      <c r="N19" s="233">
        <v>3604992.7687118701</v>
      </c>
      <c r="O19" s="221">
        <v>4.198598589615845E-2</v>
      </c>
      <c r="P19" s="233">
        <v>1549338.27</v>
      </c>
      <c r="Q19" s="224">
        <v>3.2254547367637935E-2</v>
      </c>
      <c r="R19" s="233">
        <v>1190235.3500000001</v>
      </c>
      <c r="S19" s="225">
        <v>3.9477778280385522E-3</v>
      </c>
      <c r="T19" s="233">
        <v>145678.21</v>
      </c>
      <c r="U19" s="225">
        <v>5.4143557739024857E-2</v>
      </c>
      <c r="V19" s="233">
        <v>1997968.71</v>
      </c>
      <c r="W19" s="224">
        <v>7.3880321734445767E-2</v>
      </c>
      <c r="X19" s="233">
        <v>2726281.3393542999</v>
      </c>
      <c r="Y19" s="221">
        <v>4.8758241333402126E-2</v>
      </c>
      <c r="Z19" s="233">
        <v>1799243.43</v>
      </c>
      <c r="AA19" s="221">
        <v>0.12551532934001669</v>
      </c>
      <c r="AB19" s="233">
        <v>4631681.24</v>
      </c>
      <c r="AC19" s="221">
        <v>1.4068973424556095E-2</v>
      </c>
      <c r="AD19" s="233">
        <v>519163.68</v>
      </c>
      <c r="AE19" s="221">
        <v>6.3193944193961599E-2</v>
      </c>
      <c r="AF19" s="233">
        <v>2331939.91</v>
      </c>
      <c r="AG19" s="221">
        <v>0</v>
      </c>
      <c r="AH19" s="233">
        <v>0</v>
      </c>
      <c r="AI19" s="221">
        <v>2.0469232947418477E-2</v>
      </c>
      <c r="AJ19" s="234">
        <v>755341.7</v>
      </c>
      <c r="AK19" s="235"/>
      <c r="AL19" s="220">
        <f>ROUND(centralizator!$R$18*Gantt!AK19,2)</f>
        <v>2693926.08</v>
      </c>
      <c r="AM19" s="235"/>
      <c r="AN19" s="220">
        <f>ROUND(centralizator!$S$18*Gantt!AM19,2)</f>
        <v>6150999.2400000002</v>
      </c>
      <c r="AO19" s="235"/>
      <c r="AP19" s="220">
        <f>ROUND(centralizator!$T$18*Gantt!AO19,2)</f>
        <v>6670962.2800000003</v>
      </c>
      <c r="AQ19" s="235"/>
      <c r="AR19" s="220">
        <f>ROUND(centralizator!$U$18*Gantt!AQ19,2)</f>
        <v>0</v>
      </c>
      <c r="AS19" s="235"/>
      <c r="AT19" s="220">
        <f>ROUND(centralizator!$V$18*Gantt!AS19,2)</f>
        <v>0</v>
      </c>
      <c r="AU19" s="221">
        <v>2.7975737105313723E-3</v>
      </c>
      <c r="AV19" s="220">
        <f>ROUND(centralizator!$W$18*Gantt!AU19,2)</f>
        <v>136430.14000000001</v>
      </c>
      <c r="AW19" s="228">
        <f t="shared" si="0"/>
        <v>6747618.2000000002</v>
      </c>
      <c r="AX19" s="228">
        <f t="shared" si="1"/>
        <v>42261398.200000003</v>
      </c>
      <c r="AY19" s="229">
        <f t="shared" si="2"/>
        <v>7622305.2000000002</v>
      </c>
      <c r="AZ19" s="230">
        <f t="shared" si="3"/>
        <v>47739700.978066176</v>
      </c>
      <c r="BA19" s="251">
        <f t="shared" si="4"/>
        <v>5478302.7780661732</v>
      </c>
    </row>
    <row r="20" spans="1:53" ht="14.4">
      <c r="A20" s="252" t="s">
        <v>80</v>
      </c>
      <c r="B20" s="43" t="s">
        <v>79</v>
      </c>
      <c r="C20" s="172">
        <v>35513780</v>
      </c>
      <c r="D20" s="165">
        <f t="shared" ref="D20:D21" si="6">F20+H20+J20+L20+N20+P20+R20+T20+V20+X20+Z20+AB20+AD20+AF20+AH20+AJ20+AL20+AN20+AP20+AR20+AT20+AV20</f>
        <v>40115468.388066173</v>
      </c>
      <c r="E20" s="166">
        <v>2.9965943527811129E-3</v>
      </c>
      <c r="F20" s="187">
        <v>110573.74</v>
      </c>
      <c r="G20" s="173">
        <v>3.7254093904492129E-2</v>
      </c>
      <c r="H20" s="187">
        <v>1374668.71</v>
      </c>
      <c r="I20" s="173">
        <v>1.1883956808932058E-2</v>
      </c>
      <c r="J20" s="188">
        <v>438515.66000000015</v>
      </c>
      <c r="K20" s="173">
        <v>3.4944775857644925E-2</v>
      </c>
      <c r="L20" s="187">
        <v>1289455.33</v>
      </c>
      <c r="M20" s="173">
        <v>9.7696803712515642E-2</v>
      </c>
      <c r="N20" s="187">
        <v>3604992.7687118701</v>
      </c>
      <c r="O20" s="173">
        <v>4.1987711643195383E-2</v>
      </c>
      <c r="P20" s="187">
        <v>1549338.27</v>
      </c>
      <c r="Q20" s="176">
        <v>3.2255873124038777E-2</v>
      </c>
      <c r="R20" s="187">
        <v>1190235.3500000001</v>
      </c>
      <c r="S20" s="186">
        <v>3.9479400932740548E-3</v>
      </c>
      <c r="T20" s="187">
        <v>145678.21</v>
      </c>
      <c r="U20" s="186">
        <v>5.4145783197885544E-2</v>
      </c>
      <c r="V20" s="187">
        <v>1997968.71</v>
      </c>
      <c r="W20" s="176">
        <v>7.3883358432134283E-2</v>
      </c>
      <c r="X20" s="200">
        <v>2726281.3393542999</v>
      </c>
      <c r="Y20" s="173">
        <v>4.8760245439979866E-2</v>
      </c>
      <c r="Z20" s="187">
        <v>1799243.43</v>
      </c>
      <c r="AA20" s="173">
        <v>0.1255204883878055</v>
      </c>
      <c r="AB20" s="187">
        <v>4631681.24</v>
      </c>
      <c r="AC20" s="173">
        <v>1.4069551700585155E-2</v>
      </c>
      <c r="AD20" s="187">
        <v>519163.68</v>
      </c>
      <c r="AE20" s="173">
        <v>6.3196541650222718E-2</v>
      </c>
      <c r="AF20" s="187">
        <v>2331939.91</v>
      </c>
      <c r="AG20" s="173">
        <v>0</v>
      </c>
      <c r="AH20" s="187"/>
      <c r="AI20" s="173">
        <v>2.047007429286633E-2</v>
      </c>
      <c r="AJ20" s="175">
        <v>755341.7</v>
      </c>
      <c r="AK20" s="173">
        <v>5.902187459860981E-2</v>
      </c>
      <c r="AL20" s="196">
        <f>ROUND(centralizator!$R$18*Gantt!AK20,2)</f>
        <v>2693926.08</v>
      </c>
      <c r="AM20" s="173">
        <v>0.13294517580937831</v>
      </c>
      <c r="AN20" s="196">
        <f>ROUND(centralizator!$S$18*Gantt!AM20,2)</f>
        <v>6150999.2400000002</v>
      </c>
      <c r="AO20" s="173">
        <v>0.14222146829465082</v>
      </c>
      <c r="AP20" s="196">
        <f>ROUND(centralizator!$T$18*Gantt!AO20,2)</f>
        <v>6669034.8799999999</v>
      </c>
      <c r="AQ20" s="174"/>
      <c r="AR20" s="196">
        <f>ROUND(centralizator!$U$18*Gantt!AQ20,2)</f>
        <v>0</v>
      </c>
      <c r="AS20" s="174"/>
      <c r="AT20" s="196">
        <f>ROUND(centralizator!$V$18*Gantt!AS20,2)</f>
        <v>0</v>
      </c>
      <c r="AU20" s="173">
        <v>2.7976886990076109E-3</v>
      </c>
      <c r="AV20" s="196">
        <f>ROUND(centralizator!$W$18*Gantt!AU20,2)</f>
        <v>136430.14000000001</v>
      </c>
      <c r="AW20" s="192">
        <f t="shared" si="0"/>
        <v>6747618.2000000002</v>
      </c>
      <c r="AX20" s="192">
        <f t="shared" si="1"/>
        <v>42261398.200000003</v>
      </c>
      <c r="AY20" s="200">
        <f t="shared" si="2"/>
        <v>7621938.9900000002</v>
      </c>
      <c r="AZ20" s="175">
        <f t="shared" si="3"/>
        <v>47737407.378066175</v>
      </c>
      <c r="BA20" s="187">
        <f t="shared" si="4"/>
        <v>5476009.1780661717</v>
      </c>
    </row>
    <row r="21" spans="1:53" ht="14.4">
      <c r="A21" s="252"/>
      <c r="B21" s="43" t="s">
        <v>81</v>
      </c>
      <c r="C21" s="172">
        <v>0</v>
      </c>
      <c r="D21" s="165">
        <f t="shared" si="6"/>
        <v>1927.39</v>
      </c>
      <c r="E21" s="168">
        <v>0</v>
      </c>
      <c r="F21" s="187"/>
      <c r="G21" s="173">
        <v>0</v>
      </c>
      <c r="H21" s="187"/>
      <c r="I21" s="173">
        <v>0</v>
      </c>
      <c r="J21" s="187"/>
      <c r="K21" s="173">
        <v>0</v>
      </c>
      <c r="L21" s="187"/>
      <c r="M21" s="173">
        <v>0</v>
      </c>
      <c r="N21" s="187"/>
      <c r="O21" s="173">
        <v>0</v>
      </c>
      <c r="P21" s="174"/>
      <c r="Q21" s="176">
        <v>0</v>
      </c>
      <c r="R21" s="174"/>
      <c r="S21" s="186">
        <v>0</v>
      </c>
      <c r="T21" s="174"/>
      <c r="U21" s="186">
        <v>0</v>
      </c>
      <c r="V21" s="174"/>
      <c r="W21" s="176">
        <v>0</v>
      </c>
      <c r="X21" s="174"/>
      <c r="Y21" s="173">
        <v>0</v>
      </c>
      <c r="Z21" s="174"/>
      <c r="AA21" s="173">
        <v>0</v>
      </c>
      <c r="AB21" s="174"/>
      <c r="AC21" s="173">
        <v>0</v>
      </c>
      <c r="AD21" s="174"/>
      <c r="AE21" s="173">
        <v>0</v>
      </c>
      <c r="AF21" s="174"/>
      <c r="AG21" s="173">
        <v>0</v>
      </c>
      <c r="AH21" s="174"/>
      <c r="AI21" s="178"/>
      <c r="AJ21" s="174"/>
      <c r="AK21" s="178"/>
      <c r="AL21" s="196">
        <f>ROUND(centralizator!$R$18*Gantt!AK21,2)</f>
        <v>0</v>
      </c>
      <c r="AM21" s="178"/>
      <c r="AN21" s="196">
        <f>ROUND(centralizator!$S$18*Gantt!AM21,2)</f>
        <v>0</v>
      </c>
      <c r="AO21" s="173">
        <v>1</v>
      </c>
      <c r="AP21" s="196">
        <f>ROUND(centralizator!$T$18*Gantt!AO21,2)</f>
        <v>1927.39</v>
      </c>
      <c r="AQ21" s="174"/>
      <c r="AR21" s="196">
        <f>ROUND(centralizator!$U$18*Gantt!AQ21,2)</f>
        <v>0</v>
      </c>
      <c r="AS21" s="174"/>
      <c r="AT21" s="196">
        <f>ROUND(centralizator!$V$18*Gantt!AS21,2)</f>
        <v>0</v>
      </c>
      <c r="AU21" s="173"/>
      <c r="AV21" s="196">
        <f>ROUND(centralizator!$W$18*Gantt!AU21,2)</f>
        <v>0</v>
      </c>
      <c r="AW21" s="192">
        <f t="shared" si="0"/>
        <v>0</v>
      </c>
      <c r="AX21" s="192">
        <f t="shared" si="1"/>
        <v>0</v>
      </c>
      <c r="AY21" s="200">
        <f t="shared" si="2"/>
        <v>366.2</v>
      </c>
      <c r="AZ21" s="175">
        <f t="shared" si="3"/>
        <v>2293.59</v>
      </c>
      <c r="BA21" s="187">
        <f t="shared" si="4"/>
        <v>2293.59</v>
      </c>
    </row>
    <row r="22" spans="1:53" ht="14.4">
      <c r="A22" s="250">
        <v>24.6</v>
      </c>
      <c r="B22" s="219" t="s">
        <v>82</v>
      </c>
      <c r="C22" s="220">
        <f>C23+C24</f>
        <v>2722693.22</v>
      </c>
      <c r="D22" s="220">
        <f>D23+D24</f>
        <v>3402554.2084336001</v>
      </c>
      <c r="E22" s="221">
        <v>5.6791991020015695E-4</v>
      </c>
      <c r="F22" s="237">
        <v>1572</v>
      </c>
      <c r="G22" s="221">
        <v>3.0874828634592677E-2</v>
      </c>
      <c r="H22" s="237">
        <v>85461.4</v>
      </c>
      <c r="I22" s="221">
        <v>2.2778563117323659E-2</v>
      </c>
      <c r="J22" s="237">
        <v>63050.970000000008</v>
      </c>
      <c r="K22" s="221">
        <v>2.3836082735858643E-2</v>
      </c>
      <c r="L22" s="237">
        <v>65978.179999999993</v>
      </c>
      <c r="M22" s="221">
        <v>3.6488492958152579E-4</v>
      </c>
      <c r="N22" s="237">
        <v>1010</v>
      </c>
      <c r="O22" s="221">
        <v>0</v>
      </c>
      <c r="P22" s="238">
        <v>0</v>
      </c>
      <c r="Q22" s="224">
        <v>0</v>
      </c>
      <c r="R22" s="238">
        <v>0</v>
      </c>
      <c r="S22" s="225">
        <v>0</v>
      </c>
      <c r="T22" s="238">
        <v>0</v>
      </c>
      <c r="U22" s="225">
        <v>4.0098173121229985E-2</v>
      </c>
      <c r="V22" s="228">
        <v>110991.58</v>
      </c>
      <c r="W22" s="224">
        <v>2.1089253709126659E-2</v>
      </c>
      <c r="X22" s="228">
        <v>58374.968433599999</v>
      </c>
      <c r="Y22" s="221">
        <v>8.2446074983932513E-3</v>
      </c>
      <c r="Z22" s="228">
        <v>22821.040000000001</v>
      </c>
      <c r="AA22" s="221">
        <v>0</v>
      </c>
      <c r="AB22" s="228">
        <v>0</v>
      </c>
      <c r="AC22" s="221">
        <v>0</v>
      </c>
      <c r="AD22" s="228">
        <v>0</v>
      </c>
      <c r="AE22" s="221">
        <v>3.8554644840102779E-3</v>
      </c>
      <c r="AF22" s="228">
        <v>10671.91</v>
      </c>
      <c r="AG22" s="221">
        <v>1.5936118085260333E-2</v>
      </c>
      <c r="AH22" s="228">
        <v>44111.11</v>
      </c>
      <c r="AI22" s="239">
        <v>0</v>
      </c>
      <c r="AJ22" s="228">
        <v>0</v>
      </c>
      <c r="AK22" s="228"/>
      <c r="AL22" s="220">
        <f>ROUND(centralizator!$R$18*Gantt!AK22,2)</f>
        <v>390612.32</v>
      </c>
      <c r="AM22" s="227"/>
      <c r="AN22" s="220">
        <f>ROUND(centralizator!$S$18*Gantt!AM22,2)</f>
        <v>571388.28</v>
      </c>
      <c r="AO22" s="227"/>
      <c r="AP22" s="220">
        <f>ROUND(centralizator!$T$18*Gantt!AO22,2)</f>
        <v>629925.57999999996</v>
      </c>
      <c r="AQ22" s="228"/>
      <c r="AR22" s="220">
        <f>ROUND(centralizator!$U$18*Gantt!AQ22,2)</f>
        <v>634456.06000000006</v>
      </c>
      <c r="AS22" s="228"/>
      <c r="AT22" s="220">
        <f>ROUND(centralizator!$V$18*Gantt!AS22,2)</f>
        <v>530734.78</v>
      </c>
      <c r="AU22" s="221">
        <v>4.95873242004371E-2</v>
      </c>
      <c r="AV22" s="220">
        <f>ROUND(centralizator!$W$18*Gantt!AU22,2)</f>
        <v>181394.04</v>
      </c>
      <c r="AW22" s="228">
        <f t="shared" si="0"/>
        <v>517311.71</v>
      </c>
      <c r="AX22" s="228">
        <f t="shared" si="1"/>
        <v>3240004.93</v>
      </c>
      <c r="AY22" s="229">
        <f t="shared" si="2"/>
        <v>646485.30000000005</v>
      </c>
      <c r="AZ22" s="230">
        <f t="shared" si="3"/>
        <v>4049039.5084336</v>
      </c>
      <c r="BA22" s="251">
        <f t="shared" si="4"/>
        <v>809034.57843359979</v>
      </c>
    </row>
    <row r="23" spans="1:53" ht="14.4">
      <c r="A23" s="252" t="s">
        <v>83</v>
      </c>
      <c r="B23" s="43" t="s">
        <v>82</v>
      </c>
      <c r="C23" s="172">
        <v>2722693.22</v>
      </c>
      <c r="D23" s="165">
        <f t="shared" ref="D23:D24" si="7">F23+H23+J23+L23+N23+P23+R23+T23+V23+X23+Z23+AB23+AD23+AF23+AH23+AJ23+AL23+AN23+AP23+AR23+AT23+AV23</f>
        <v>3365875.6084336</v>
      </c>
      <c r="E23" s="166">
        <v>5.7544896623521705E-4</v>
      </c>
      <c r="F23" s="187">
        <v>1572</v>
      </c>
      <c r="G23" s="173">
        <v>3.1284143945937898E-2</v>
      </c>
      <c r="H23" s="187">
        <v>85461.4</v>
      </c>
      <c r="I23" s="173">
        <v>2.3080544215412016E-2</v>
      </c>
      <c r="J23" s="188">
        <v>63050.970000000008</v>
      </c>
      <c r="K23" s="173">
        <v>2.4152083635547755E-2</v>
      </c>
      <c r="L23" s="187">
        <v>65978.179999999993</v>
      </c>
      <c r="M23" s="173">
        <v>3.6972230018929341E-4</v>
      </c>
      <c r="N23" s="187">
        <v>1010</v>
      </c>
      <c r="O23" s="173">
        <v>0</v>
      </c>
      <c r="P23" s="187"/>
      <c r="Q23" s="176">
        <v>0</v>
      </c>
      <c r="R23" s="187"/>
      <c r="S23" s="186">
        <v>0</v>
      </c>
      <c r="T23" s="187"/>
      <c r="U23" s="186">
        <v>4.0629764613112851E-2</v>
      </c>
      <c r="V23" s="174">
        <v>110991.58</v>
      </c>
      <c r="W23" s="176">
        <v>2.1368839210641571E-2</v>
      </c>
      <c r="X23" s="200">
        <v>58374.968433599999</v>
      </c>
      <c r="Y23" s="173">
        <v>8.3539083183285876E-3</v>
      </c>
      <c r="Z23" s="174">
        <v>22821.040000000001</v>
      </c>
      <c r="AA23" s="173">
        <v>0</v>
      </c>
      <c r="AB23" s="174">
        <v>0</v>
      </c>
      <c r="AC23" s="173">
        <v>0</v>
      </c>
      <c r="AD23" s="218">
        <v>0</v>
      </c>
      <c r="AE23" s="173">
        <v>3.9065773392209131E-3</v>
      </c>
      <c r="AF23" s="187">
        <v>10671.91</v>
      </c>
      <c r="AG23" s="173">
        <v>3.445778892212713E-3</v>
      </c>
      <c r="AH23" s="187">
        <v>9413.11</v>
      </c>
      <c r="AI23" s="173">
        <v>0</v>
      </c>
      <c r="AJ23" s="175"/>
      <c r="AK23" s="173">
        <v>0.11559833345879486</v>
      </c>
      <c r="AL23" s="196">
        <f>ROUND(centralizator!$R$18*Gantt!AK23,2)</f>
        <v>390612.32</v>
      </c>
      <c r="AM23" s="173">
        <v>0.16681555737554915</v>
      </c>
      <c r="AN23" s="196">
        <f>ROUND(centralizator!$S$18*Gantt!AM23,2)</f>
        <v>571388.28</v>
      </c>
      <c r="AO23" s="173">
        <v>0.1814553304957891</v>
      </c>
      <c r="AP23" s="196">
        <f>ROUND(centralizator!$T$18*Gantt!AO23,2)</f>
        <v>629925.57999999996</v>
      </c>
      <c r="AQ23" s="173">
        <v>0.18035897209352184</v>
      </c>
      <c r="AR23" s="196">
        <f>ROUND(centralizator!$U$18*Gantt!AQ23,2)</f>
        <v>634456.06000000006</v>
      </c>
      <c r="AS23" s="173">
        <v>0.1483668282458056</v>
      </c>
      <c r="AT23" s="196">
        <f>ROUND(centralizator!$V$18*Gantt!AS23,2)</f>
        <v>528777.81999999995</v>
      </c>
      <c r="AU23" s="173">
        <v>5.0238166893700704E-2</v>
      </c>
      <c r="AV23" s="196">
        <f>ROUND(centralizator!$W$18*Gantt!AU23,2)</f>
        <v>181370.39</v>
      </c>
      <c r="AW23" s="192">
        <f t="shared" si="0"/>
        <v>517311.71</v>
      </c>
      <c r="AX23" s="192">
        <f t="shared" si="1"/>
        <v>3240004.93</v>
      </c>
      <c r="AY23" s="200">
        <f t="shared" si="2"/>
        <v>639516.37</v>
      </c>
      <c r="AZ23" s="175">
        <f t="shared" si="3"/>
        <v>4005391.9784336002</v>
      </c>
      <c r="BA23" s="187">
        <f t="shared" si="4"/>
        <v>765387.04843359999</v>
      </c>
    </row>
    <row r="24" spans="1:53" s="93" customFormat="1" ht="14.4">
      <c r="A24" s="252"/>
      <c r="B24" s="43" t="s">
        <v>84</v>
      </c>
      <c r="C24" s="172">
        <v>0</v>
      </c>
      <c r="D24" s="165">
        <f t="shared" si="7"/>
        <v>36678.6</v>
      </c>
      <c r="E24" s="168">
        <v>0</v>
      </c>
      <c r="F24" s="187"/>
      <c r="G24" s="173">
        <v>0</v>
      </c>
      <c r="H24" s="187"/>
      <c r="I24" s="173">
        <v>0</v>
      </c>
      <c r="J24" s="188"/>
      <c r="K24" s="173">
        <v>0</v>
      </c>
      <c r="L24" s="187"/>
      <c r="M24" s="173">
        <v>0</v>
      </c>
      <c r="N24" s="187"/>
      <c r="O24" s="173">
        <v>0</v>
      </c>
      <c r="P24" s="187"/>
      <c r="Q24" s="176">
        <v>0</v>
      </c>
      <c r="R24" s="187"/>
      <c r="S24" s="186">
        <v>0</v>
      </c>
      <c r="T24" s="187"/>
      <c r="U24" s="186">
        <v>0</v>
      </c>
      <c r="V24" s="187"/>
      <c r="W24" s="176">
        <v>0</v>
      </c>
      <c r="X24" s="187"/>
      <c r="Y24" s="173">
        <v>0</v>
      </c>
      <c r="Z24" s="187">
        <v>0</v>
      </c>
      <c r="AA24" s="173">
        <v>0</v>
      </c>
      <c r="AB24" s="187"/>
      <c r="AC24" s="173">
        <v>0</v>
      </c>
      <c r="AD24" s="187">
        <v>0</v>
      </c>
      <c r="AE24" s="173">
        <v>0</v>
      </c>
      <c r="AF24" s="187"/>
      <c r="AG24" s="173">
        <v>0.95808773441713013</v>
      </c>
      <c r="AH24" s="187">
        <v>34698</v>
      </c>
      <c r="AI24" s="173"/>
      <c r="AJ24" s="175"/>
      <c r="AK24" s="174"/>
      <c r="AL24" s="196">
        <f>ROUND(centralizator!$R$18*Gantt!AK24,2)</f>
        <v>0</v>
      </c>
      <c r="AM24" s="174"/>
      <c r="AN24" s="196">
        <f>ROUND(centralizator!$S$18*Gantt!AM24,2)</f>
        <v>0</v>
      </c>
      <c r="AO24" s="174"/>
      <c r="AP24" s="196">
        <f>ROUND(centralizator!$T$18*Gantt!AO24,2)</f>
        <v>0</v>
      </c>
      <c r="AQ24" s="174"/>
      <c r="AR24" s="196">
        <f>ROUND(centralizator!$U$18*Gantt!AQ24,2)</f>
        <v>0</v>
      </c>
      <c r="AS24" s="173">
        <v>4.1418283521404559E-2</v>
      </c>
      <c r="AT24" s="196">
        <f>ROUND(centralizator!$V$18*Gantt!AS24,2)</f>
        <v>1956.96</v>
      </c>
      <c r="AU24" s="173">
        <v>4.9398206146526898E-4</v>
      </c>
      <c r="AV24" s="196">
        <f>ROUND(centralizator!$W$18*Gantt!AU24,2)</f>
        <v>23.64</v>
      </c>
      <c r="AW24" s="192">
        <f t="shared" si="0"/>
        <v>0</v>
      </c>
      <c r="AX24" s="192">
        <f t="shared" si="1"/>
        <v>0</v>
      </c>
      <c r="AY24" s="200">
        <f t="shared" si="2"/>
        <v>6968.93</v>
      </c>
      <c r="AZ24" s="175">
        <f t="shared" si="3"/>
        <v>43647.53</v>
      </c>
      <c r="BA24" s="187">
        <f t="shared" si="4"/>
        <v>43647.53</v>
      </c>
    </row>
    <row r="25" spans="1:53" ht="14.4">
      <c r="A25" s="250">
        <v>24.7</v>
      </c>
      <c r="B25" s="219" t="s">
        <v>85</v>
      </c>
      <c r="C25" s="220">
        <f>SUM(C26:C31)</f>
        <v>7100896.2699999996</v>
      </c>
      <c r="D25" s="220">
        <f>SUM(D26:D31)</f>
        <v>10621989.371775001</v>
      </c>
      <c r="E25" s="221">
        <v>0</v>
      </c>
      <c r="F25" s="233">
        <v>0</v>
      </c>
      <c r="G25" s="221">
        <v>0</v>
      </c>
      <c r="H25" s="233">
        <v>0</v>
      </c>
      <c r="I25" s="221">
        <v>0</v>
      </c>
      <c r="J25" s="236">
        <v>0</v>
      </c>
      <c r="K25" s="221">
        <v>0</v>
      </c>
      <c r="L25" s="233"/>
      <c r="M25" s="221">
        <v>0</v>
      </c>
      <c r="N25" s="233"/>
      <c r="O25" s="221">
        <v>0</v>
      </c>
      <c r="P25" s="233"/>
      <c r="Q25" s="224">
        <v>0</v>
      </c>
      <c r="R25" s="233">
        <v>0</v>
      </c>
      <c r="S25" s="225">
        <v>8.6370069213293765E-3</v>
      </c>
      <c r="T25" s="233">
        <v>81958.400000000009</v>
      </c>
      <c r="U25" s="225">
        <v>4.212477915674271E-2</v>
      </c>
      <c r="V25" s="233">
        <v>399731.01</v>
      </c>
      <c r="W25" s="224">
        <v>4.3140496854513176E-2</v>
      </c>
      <c r="X25" s="233">
        <v>409369.37177499995</v>
      </c>
      <c r="Y25" s="221">
        <v>8.467812703868656E-2</v>
      </c>
      <c r="Z25" s="233">
        <v>803528.8</v>
      </c>
      <c r="AA25" s="221">
        <v>8.3413429981121542E-2</v>
      </c>
      <c r="AB25" s="233">
        <v>791527.82</v>
      </c>
      <c r="AC25" s="221">
        <v>0.10741426602936298</v>
      </c>
      <c r="AD25" s="233">
        <v>1019276.8700000001</v>
      </c>
      <c r="AE25" s="221">
        <v>6.0923823548325186E-2</v>
      </c>
      <c r="AF25" s="233">
        <v>578119.14999999991</v>
      </c>
      <c r="AG25" s="221">
        <v>9.0569662920598801E-2</v>
      </c>
      <c r="AH25" s="233">
        <v>859434.84</v>
      </c>
      <c r="AI25" s="221">
        <v>4.8934155098269011E-2</v>
      </c>
      <c r="AJ25" s="234">
        <v>464346.63</v>
      </c>
      <c r="AK25" s="235"/>
      <c r="AL25" s="220">
        <f>ROUND(centralizator!$R$18*Gantt!AK25,2)</f>
        <v>615821.71</v>
      </c>
      <c r="AM25" s="235"/>
      <c r="AN25" s="220">
        <f>ROUND(centralizator!$S$18*Gantt!AM25,2)</f>
        <v>862442.52</v>
      </c>
      <c r="AO25" s="235"/>
      <c r="AP25" s="220">
        <f>ROUND(centralizator!$T$18*Gantt!AO25,2)</f>
        <v>1063849.47</v>
      </c>
      <c r="AQ25" s="235"/>
      <c r="AR25" s="220">
        <f>ROUND(centralizator!$U$18*Gantt!AQ25,2)</f>
        <v>1103993.96</v>
      </c>
      <c r="AS25" s="235"/>
      <c r="AT25" s="220">
        <f>ROUND(centralizator!$V$18*Gantt!AS25,2)</f>
        <v>1510368.62</v>
      </c>
      <c r="AU25" s="221">
        <v>4.6425501612109843E-3</v>
      </c>
      <c r="AV25" s="220">
        <f>ROUND(centralizator!$W$18*Gantt!AU25,2)</f>
        <v>58220.2</v>
      </c>
      <c r="AW25" s="228">
        <f t="shared" si="0"/>
        <v>1349170.29</v>
      </c>
      <c r="AX25" s="228">
        <f t="shared" si="1"/>
        <v>8450066.5599999987</v>
      </c>
      <c r="AY25" s="229">
        <f t="shared" si="2"/>
        <v>2018177.98</v>
      </c>
      <c r="AZ25" s="230">
        <f t="shared" si="3"/>
        <v>12640167.351775002</v>
      </c>
      <c r="BA25" s="251">
        <f t="shared" si="4"/>
        <v>4190100.7917750031</v>
      </c>
    </row>
    <row r="26" spans="1:53" ht="14.4">
      <c r="A26" s="252" t="s">
        <v>86</v>
      </c>
      <c r="B26" s="43" t="s">
        <v>87</v>
      </c>
      <c r="C26" s="172">
        <v>3423944.96</v>
      </c>
      <c r="D26" s="165">
        <f t="shared" ref="D26:D31" si="8">F26+H26+J26+L26+N26+P26+R26+T26+V26+X26+Z26+AB26+AD26+AF26+AH26+AJ26+AL26+AN26+AP26+AR26+AT26+AV26</f>
        <v>4068050.8190011005</v>
      </c>
      <c r="E26" s="168"/>
      <c r="F26" s="187"/>
      <c r="G26" s="173">
        <v>0</v>
      </c>
      <c r="H26" s="187"/>
      <c r="I26" s="173">
        <v>0</v>
      </c>
      <c r="J26" s="188"/>
      <c r="K26" s="173">
        <v>0</v>
      </c>
      <c r="L26" s="187"/>
      <c r="M26" s="173">
        <v>0</v>
      </c>
      <c r="N26" s="187"/>
      <c r="O26" s="173">
        <v>0</v>
      </c>
      <c r="P26" s="187"/>
      <c r="Q26" s="176">
        <v>0</v>
      </c>
      <c r="R26" s="187"/>
      <c r="S26" s="186">
        <v>0</v>
      </c>
      <c r="T26" s="187"/>
      <c r="U26" s="186">
        <v>7.4547918704654201E-2</v>
      </c>
      <c r="V26" s="187">
        <v>270046.58</v>
      </c>
      <c r="W26" s="176">
        <v>5.9351729714599476E-2</v>
      </c>
      <c r="X26" s="200">
        <v>214999.04900109998</v>
      </c>
      <c r="Y26" s="173">
        <v>0.10732036347281515</v>
      </c>
      <c r="Z26" s="187">
        <v>388763.33</v>
      </c>
      <c r="AA26" s="173">
        <v>5.7462945315892876E-2</v>
      </c>
      <c r="AB26" s="187">
        <v>208157.01</v>
      </c>
      <c r="AC26" s="173">
        <v>0.13050063187373193</v>
      </c>
      <c r="AD26" s="187">
        <v>472732.84</v>
      </c>
      <c r="AE26" s="173">
        <v>7.54831156239225E-2</v>
      </c>
      <c r="AF26" s="187">
        <v>273434.28999999998</v>
      </c>
      <c r="AG26" s="173">
        <v>5.0568107193717363E-2</v>
      </c>
      <c r="AH26" s="187">
        <v>183180.76</v>
      </c>
      <c r="AI26" s="173">
        <v>0</v>
      </c>
      <c r="AJ26" s="175"/>
      <c r="AK26" s="173">
        <v>5.1264662174685206E-2</v>
      </c>
      <c r="AL26" s="196">
        <f>ROUND(centralizator!$R$18*Gantt!AK26,2)</f>
        <v>229704.71</v>
      </c>
      <c r="AM26" s="173">
        <v>8.4668515520793033E-2</v>
      </c>
      <c r="AN26" s="196">
        <f>ROUND(centralizator!$S$18*Gantt!AM26,2)</f>
        <v>384568.89</v>
      </c>
      <c r="AO26" s="173">
        <v>0.1043239629613423</v>
      </c>
      <c r="AP26" s="196">
        <f>ROUND(centralizator!$T$18*Gantt!AO26,2)</f>
        <v>480242.98</v>
      </c>
      <c r="AQ26" s="173">
        <v>7.492264233865864E-2</v>
      </c>
      <c r="AR26" s="196">
        <f>ROUND(centralizator!$U$18*Gantt!AQ26,2)</f>
        <v>349489.64</v>
      </c>
      <c r="AS26" s="173">
        <v>0.12452876139986482</v>
      </c>
      <c r="AT26" s="196">
        <f>ROUND(centralizator!$V$18*Gantt!AS26,2)</f>
        <v>588523.1</v>
      </c>
      <c r="AU26" s="173">
        <v>5.0566437053224632E-3</v>
      </c>
      <c r="AV26" s="196">
        <f>ROUND(centralizator!$W$18*Gantt!AU26,2)</f>
        <v>24207.64</v>
      </c>
      <c r="AW26" s="192">
        <f t="shared" si="0"/>
        <v>650549.54</v>
      </c>
      <c r="AX26" s="192">
        <f t="shared" si="1"/>
        <v>4074494.5</v>
      </c>
      <c r="AY26" s="200">
        <f t="shared" si="2"/>
        <v>772929.66</v>
      </c>
      <c r="AZ26" s="175">
        <f t="shared" si="3"/>
        <v>4840980.4790011002</v>
      </c>
      <c r="BA26" s="187">
        <f t="shared" si="4"/>
        <v>766485.97900110018</v>
      </c>
    </row>
    <row r="27" spans="1:53" ht="14.4">
      <c r="A27" s="252"/>
      <c r="B27" s="43" t="s">
        <v>88</v>
      </c>
      <c r="C27" s="172">
        <v>0</v>
      </c>
      <c r="D27" s="165">
        <f t="shared" si="8"/>
        <v>177875.74</v>
      </c>
      <c r="E27" s="168"/>
      <c r="F27" s="187"/>
      <c r="G27" s="173">
        <v>0</v>
      </c>
      <c r="H27" s="187"/>
      <c r="I27" s="173">
        <v>0</v>
      </c>
      <c r="J27" s="188"/>
      <c r="K27" s="173">
        <v>0</v>
      </c>
      <c r="L27" s="187"/>
      <c r="M27" s="173">
        <v>0</v>
      </c>
      <c r="N27" s="187"/>
      <c r="O27" s="173">
        <v>0</v>
      </c>
      <c r="P27" s="187"/>
      <c r="Q27" s="176">
        <v>0</v>
      </c>
      <c r="R27" s="187"/>
      <c r="S27" s="186">
        <v>0</v>
      </c>
      <c r="T27" s="187"/>
      <c r="U27" s="186">
        <v>0</v>
      </c>
      <c r="V27" s="187"/>
      <c r="W27" s="176">
        <v>0</v>
      </c>
      <c r="X27" s="200">
        <v>0</v>
      </c>
      <c r="Y27" s="173">
        <v>0</v>
      </c>
      <c r="Z27" s="187"/>
      <c r="AA27" s="173">
        <v>0</v>
      </c>
      <c r="AB27" s="187"/>
      <c r="AC27" s="173">
        <v>0</v>
      </c>
      <c r="AD27" s="187"/>
      <c r="AE27" s="173">
        <v>0</v>
      </c>
      <c r="AF27" s="187"/>
      <c r="AG27" s="173">
        <v>0</v>
      </c>
      <c r="AH27" s="187"/>
      <c r="AI27" s="173"/>
      <c r="AJ27" s="175"/>
      <c r="AK27" s="174"/>
      <c r="AL27" s="196">
        <f>ROUND(centralizator!$R$18*Gantt!AK27,2)</f>
        <v>0</v>
      </c>
      <c r="AM27" s="174"/>
      <c r="AN27" s="196">
        <f>ROUND(centralizator!$S$18*Gantt!AM27,2)</f>
        <v>0</v>
      </c>
      <c r="AO27" s="174"/>
      <c r="AP27" s="196">
        <f>ROUND(centralizator!$T$18*Gantt!AO27,2)</f>
        <v>0</v>
      </c>
      <c r="AQ27" s="199">
        <v>3.8132136709568006E-2</v>
      </c>
      <c r="AR27" s="196">
        <f>ROUND(centralizator!$U$18*Gantt!AQ27,2)</f>
        <v>177873.96</v>
      </c>
      <c r="AS27" s="174"/>
      <c r="AT27" s="196">
        <f>ROUND(centralizator!$V$18*Gantt!AS27,2)</f>
        <v>0</v>
      </c>
      <c r="AU27" s="173">
        <v>9.7731648440135608E-6</v>
      </c>
      <c r="AV27" s="196">
        <f>ROUND(centralizator!$W$18*Gantt!AU27,2)</f>
        <v>1.78</v>
      </c>
      <c r="AW27" s="192">
        <f t="shared" si="0"/>
        <v>0</v>
      </c>
      <c r="AX27" s="192">
        <f t="shared" si="1"/>
        <v>0</v>
      </c>
      <c r="AY27" s="200">
        <f t="shared" si="2"/>
        <v>33796.39</v>
      </c>
      <c r="AZ27" s="175">
        <f t="shared" si="3"/>
        <v>211672.13</v>
      </c>
      <c r="BA27" s="187">
        <f t="shared" si="4"/>
        <v>211672.13</v>
      </c>
    </row>
    <row r="28" spans="1:53" ht="14.4">
      <c r="A28" s="252" t="s">
        <v>89</v>
      </c>
      <c r="B28" s="43" t="s">
        <v>90</v>
      </c>
      <c r="C28" s="172">
        <v>685911.99</v>
      </c>
      <c r="D28" s="165">
        <f t="shared" si="8"/>
        <v>703092.93</v>
      </c>
      <c r="E28" s="168"/>
      <c r="F28" s="187"/>
      <c r="G28" s="173">
        <v>0</v>
      </c>
      <c r="H28" s="187"/>
      <c r="I28" s="173">
        <v>0</v>
      </c>
      <c r="J28" s="188"/>
      <c r="K28" s="173">
        <v>0</v>
      </c>
      <c r="L28" s="187"/>
      <c r="M28" s="173">
        <v>0</v>
      </c>
      <c r="N28" s="187"/>
      <c r="O28" s="173">
        <v>0</v>
      </c>
      <c r="P28" s="187"/>
      <c r="Q28" s="176">
        <v>0</v>
      </c>
      <c r="R28" s="187"/>
      <c r="S28" s="186">
        <v>0</v>
      </c>
      <c r="T28" s="187"/>
      <c r="U28" s="186">
        <v>0</v>
      </c>
      <c r="V28" s="187"/>
      <c r="W28" s="176">
        <v>0</v>
      </c>
      <c r="X28" s="200">
        <v>0</v>
      </c>
      <c r="Y28" s="173">
        <v>0</v>
      </c>
      <c r="Z28" s="187"/>
      <c r="AA28" s="173">
        <v>0.43600481838850624</v>
      </c>
      <c r="AB28" s="187">
        <v>295438.67</v>
      </c>
      <c r="AC28" s="173">
        <v>8.0492380108539485E-2</v>
      </c>
      <c r="AD28" s="187">
        <v>54541.97</v>
      </c>
      <c r="AE28" s="173">
        <v>0</v>
      </c>
      <c r="AF28" s="187"/>
      <c r="AG28" s="173">
        <v>0.13093758547579123</v>
      </c>
      <c r="AH28" s="187">
        <v>88723.85</v>
      </c>
      <c r="AI28" s="173">
        <v>0.20989932263400868</v>
      </c>
      <c r="AJ28" s="175">
        <v>142228.65</v>
      </c>
      <c r="AK28" s="173">
        <v>4.1240893244837609E-2</v>
      </c>
      <c r="AL28" s="196">
        <f>ROUND(centralizator!$R$18*Gantt!AK28,2)</f>
        <v>34566.29</v>
      </c>
      <c r="AM28" s="173">
        <v>3.940944044409174E-2</v>
      </c>
      <c r="AN28" s="196">
        <f>ROUND(centralizator!$S$18*Gantt!AM28,2)</f>
        <v>33483.08</v>
      </c>
      <c r="AO28" s="173">
        <v>2.1406303686397194E-2</v>
      </c>
      <c r="AP28" s="196">
        <f>ROUND(centralizator!$T$18*Gantt!AO28,2)</f>
        <v>18432.810000000001</v>
      </c>
      <c r="AQ28" s="173">
        <v>2.0497513489218057E-2</v>
      </c>
      <c r="AR28" s="196">
        <f>ROUND(centralizator!$U$18*Gantt!AQ28,2)</f>
        <v>17885.259999999998</v>
      </c>
      <c r="AS28" s="173">
        <v>1.8980167387997366E-2</v>
      </c>
      <c r="AT28" s="196">
        <f>ROUND(centralizator!$V$18*Gantt!AS28,2)</f>
        <v>16779.03</v>
      </c>
      <c r="AU28" s="173">
        <v>1.1315751406123483E-3</v>
      </c>
      <c r="AV28" s="196">
        <f>ROUND(centralizator!$W$18*Gantt!AU28,2)</f>
        <v>1013.32</v>
      </c>
      <c r="AW28" s="192">
        <f t="shared" si="0"/>
        <v>130323.28</v>
      </c>
      <c r="AX28" s="192">
        <f t="shared" si="1"/>
        <v>816235.27</v>
      </c>
      <c r="AY28" s="200">
        <f t="shared" si="2"/>
        <v>133587.66</v>
      </c>
      <c r="AZ28" s="175">
        <f t="shared" si="3"/>
        <v>836680.59000000008</v>
      </c>
      <c r="BA28" s="187">
        <f t="shared" si="4"/>
        <v>20445.320000000065</v>
      </c>
    </row>
    <row r="29" spans="1:53" ht="14.4">
      <c r="A29" s="252"/>
      <c r="B29" s="43" t="s">
        <v>91</v>
      </c>
      <c r="C29" s="172">
        <v>0</v>
      </c>
      <c r="D29" s="165">
        <f t="shared" si="8"/>
        <v>10249.209999999999</v>
      </c>
      <c r="E29" s="168"/>
      <c r="F29" s="187"/>
      <c r="G29" s="173">
        <v>0</v>
      </c>
      <c r="H29" s="187"/>
      <c r="I29" s="173">
        <v>0</v>
      </c>
      <c r="J29" s="188"/>
      <c r="K29" s="173">
        <v>0</v>
      </c>
      <c r="L29" s="187"/>
      <c r="M29" s="173">
        <v>0</v>
      </c>
      <c r="N29" s="187"/>
      <c r="O29" s="173">
        <v>0</v>
      </c>
      <c r="P29" s="187"/>
      <c r="Q29" s="176">
        <v>0</v>
      </c>
      <c r="R29" s="187"/>
      <c r="S29" s="186">
        <v>0</v>
      </c>
      <c r="T29" s="187"/>
      <c r="U29" s="186">
        <v>0</v>
      </c>
      <c r="V29" s="187"/>
      <c r="W29" s="176">
        <v>0</v>
      </c>
      <c r="X29" s="200">
        <v>0</v>
      </c>
      <c r="Y29" s="173">
        <v>0</v>
      </c>
      <c r="Z29" s="187"/>
      <c r="AA29" s="173">
        <v>7.4149643561802966E-2</v>
      </c>
      <c r="AB29" s="187">
        <v>649.78</v>
      </c>
      <c r="AC29" s="173">
        <v>0</v>
      </c>
      <c r="AD29" s="187">
        <v>0</v>
      </c>
      <c r="AE29" s="173">
        <v>0</v>
      </c>
      <c r="AF29" s="187"/>
      <c r="AG29" s="173">
        <v>7.0186429672638301E-2</v>
      </c>
      <c r="AH29" s="187">
        <v>615.04999999999995</v>
      </c>
      <c r="AI29" s="173">
        <v>0.30350024934127118</v>
      </c>
      <c r="AJ29" s="174">
        <v>2659.6</v>
      </c>
      <c r="AK29" s="200"/>
      <c r="AL29" s="196">
        <f>ROUND(centralizator!$R$18*Gantt!AK29,2)</f>
        <v>0</v>
      </c>
      <c r="AM29" s="174"/>
      <c r="AN29" s="196">
        <f>ROUND(centralizator!$S$18*Gantt!AM29,2)</f>
        <v>0</v>
      </c>
      <c r="AO29" s="174"/>
      <c r="AP29" s="196">
        <f>ROUND(centralizator!$T$18*Gantt!AO29,2)</f>
        <v>0</v>
      </c>
      <c r="AQ29" s="174"/>
      <c r="AR29" s="196">
        <f>ROUND(centralizator!$U$18*Gantt!AQ29,2)</f>
        <v>0</v>
      </c>
      <c r="AS29" s="173">
        <v>0.47072436777438093</v>
      </c>
      <c r="AT29" s="196">
        <f>ROUND(centralizator!$V$18*Gantt!AS29,2)</f>
        <v>5381.64</v>
      </c>
      <c r="AU29" s="173">
        <v>8.1439309649906574E-2</v>
      </c>
      <c r="AV29" s="196">
        <f>ROUND(centralizator!$W$18*Gantt!AU29,2)</f>
        <v>943.14</v>
      </c>
      <c r="AW29" s="192">
        <f t="shared" si="0"/>
        <v>0</v>
      </c>
      <c r="AX29" s="192">
        <f t="shared" si="1"/>
        <v>0</v>
      </c>
      <c r="AY29" s="200">
        <f t="shared" si="2"/>
        <v>1947.35</v>
      </c>
      <c r="AZ29" s="175">
        <f t="shared" si="3"/>
        <v>12196.56</v>
      </c>
      <c r="BA29" s="187">
        <f t="shared" si="4"/>
        <v>12196.56</v>
      </c>
    </row>
    <row r="30" spans="1:53" ht="14.4">
      <c r="A30" s="252" t="s">
        <v>92</v>
      </c>
      <c r="B30" s="43" t="s">
        <v>93</v>
      </c>
      <c r="C30" s="172">
        <v>2991039.32</v>
      </c>
      <c r="D30" s="165">
        <f t="shared" si="8"/>
        <v>3335362.8219263004</v>
      </c>
      <c r="E30" s="168"/>
      <c r="F30" s="187"/>
      <c r="G30" s="173">
        <v>0</v>
      </c>
      <c r="H30" s="187"/>
      <c r="I30" s="173">
        <v>0</v>
      </c>
      <c r="J30" s="188"/>
      <c r="K30" s="173">
        <v>0</v>
      </c>
      <c r="L30" s="187"/>
      <c r="M30" s="173">
        <v>0</v>
      </c>
      <c r="N30" s="187"/>
      <c r="O30" s="173">
        <v>0</v>
      </c>
      <c r="P30" s="187"/>
      <c r="Q30" s="176">
        <v>0</v>
      </c>
      <c r="R30" s="187"/>
      <c r="S30" s="186">
        <v>2.4566765039680749E-2</v>
      </c>
      <c r="T30" s="187">
        <v>77401.960000000006</v>
      </c>
      <c r="U30" s="186">
        <v>4.1160804211093943E-2</v>
      </c>
      <c r="V30" s="187">
        <v>129684.43</v>
      </c>
      <c r="W30" s="176">
        <v>6.0342315848169494E-2</v>
      </c>
      <c r="X30" s="200">
        <v>190119.1919263</v>
      </c>
      <c r="Y30" s="173">
        <v>0.1288036232839109</v>
      </c>
      <c r="Z30" s="187">
        <v>405818.71</v>
      </c>
      <c r="AA30" s="173">
        <v>8.9223510719241284E-2</v>
      </c>
      <c r="AB30" s="187">
        <v>281114.53000000003</v>
      </c>
      <c r="AC30" s="173">
        <v>0.15277230430817623</v>
      </c>
      <c r="AD30" s="187">
        <v>481336.3</v>
      </c>
      <c r="AE30" s="173">
        <v>9.4622790286946992E-2</v>
      </c>
      <c r="AF30" s="187">
        <v>298125.92</v>
      </c>
      <c r="AG30" s="173">
        <v>0.13606690179597072</v>
      </c>
      <c r="AH30" s="187">
        <v>428702.96</v>
      </c>
      <c r="AI30" s="173">
        <v>5.7103853289978641E-2</v>
      </c>
      <c r="AJ30" s="174">
        <v>179915.84</v>
      </c>
      <c r="AK30" s="173">
        <v>3.3866998933800831E-2</v>
      </c>
      <c r="AL30" s="196">
        <f>ROUND(centralizator!$R$18*Gantt!AK30,2)</f>
        <v>131986.45000000001</v>
      </c>
      <c r="AM30" s="173">
        <v>4.9135142430862692E-2</v>
      </c>
      <c r="AN30" s="196">
        <f>ROUND(centralizator!$S$18*Gantt!AM30,2)</f>
        <v>194108.81</v>
      </c>
      <c r="AO30" s="173">
        <v>4.5798082650629693E-2</v>
      </c>
      <c r="AP30" s="196">
        <f>ROUND(centralizator!$T$18*Gantt!AO30,2)</f>
        <v>183368.64</v>
      </c>
      <c r="AQ30" s="173">
        <v>4.5767613015961404E-2</v>
      </c>
      <c r="AR30" s="196">
        <f>ROUND(centralizator!$U$18*Gantt!AQ30,2)</f>
        <v>185686.49</v>
      </c>
      <c r="AS30" s="173">
        <v>3.3070979728091837E-2</v>
      </c>
      <c r="AT30" s="196">
        <f>ROUND(centralizator!$V$18*Gantt!AS30,2)</f>
        <v>135938.26999999999</v>
      </c>
      <c r="AU30" s="173">
        <v>7.6983144574845948E-3</v>
      </c>
      <c r="AV30" s="196">
        <f>ROUND(centralizator!$W$18*Gantt!AU30,2)</f>
        <v>32054.32</v>
      </c>
      <c r="AW30" s="192">
        <f t="shared" si="0"/>
        <v>568297.47</v>
      </c>
      <c r="AX30" s="192">
        <f t="shared" si="1"/>
        <v>3559336.79</v>
      </c>
      <c r="AY30" s="200">
        <f t="shared" si="2"/>
        <v>633718.93999999994</v>
      </c>
      <c r="AZ30" s="175">
        <f t="shared" si="3"/>
        <v>3969081.7619263004</v>
      </c>
      <c r="BA30" s="187">
        <f t="shared" si="4"/>
        <v>409744.97192630032</v>
      </c>
    </row>
    <row r="31" spans="1:53" ht="14.4">
      <c r="A31" s="252"/>
      <c r="B31" s="43" t="s">
        <v>94</v>
      </c>
      <c r="C31" s="172">
        <v>0</v>
      </c>
      <c r="D31" s="165">
        <f t="shared" si="8"/>
        <v>2327357.8508476</v>
      </c>
      <c r="E31" s="168"/>
      <c r="F31" s="187"/>
      <c r="G31" s="173">
        <v>0</v>
      </c>
      <c r="H31" s="187"/>
      <c r="I31" s="173">
        <v>0</v>
      </c>
      <c r="J31" s="188"/>
      <c r="K31" s="173">
        <v>0</v>
      </c>
      <c r="L31" s="187"/>
      <c r="M31" s="173">
        <v>0</v>
      </c>
      <c r="N31" s="187"/>
      <c r="O31" s="173">
        <v>0</v>
      </c>
      <c r="P31" s="187"/>
      <c r="Q31" s="176">
        <v>0</v>
      </c>
      <c r="R31" s="187"/>
      <c r="S31" s="186">
        <v>2.4088029800169064E-3</v>
      </c>
      <c r="T31" s="187">
        <v>4556.4399999999996</v>
      </c>
      <c r="U31" s="186">
        <v>0</v>
      </c>
      <c r="V31" s="187"/>
      <c r="W31" s="176">
        <v>2.2473985510926687E-3</v>
      </c>
      <c r="X31" s="200">
        <v>4251.1308476000004</v>
      </c>
      <c r="Y31" s="173">
        <v>4.7297851281913206E-3</v>
      </c>
      <c r="Z31" s="187">
        <v>8946.76</v>
      </c>
      <c r="AA31" s="173">
        <v>3.2606787940228947E-3</v>
      </c>
      <c r="AB31" s="187">
        <v>6167.83</v>
      </c>
      <c r="AC31" s="173">
        <v>5.6385499363856709E-3</v>
      </c>
      <c r="AD31" s="187">
        <v>10665.76</v>
      </c>
      <c r="AE31" s="173">
        <v>3.4674426125993296E-3</v>
      </c>
      <c r="AF31" s="187">
        <v>6558.94</v>
      </c>
      <c r="AG31" s="173">
        <v>8.3640312834381766E-2</v>
      </c>
      <c r="AH31" s="187">
        <v>158212.22</v>
      </c>
      <c r="AI31" s="173">
        <v>7.377041861434111E-2</v>
      </c>
      <c r="AJ31" s="174">
        <v>139542.54</v>
      </c>
      <c r="AK31" s="173">
        <v>9.3840143131673201E-2</v>
      </c>
      <c r="AL31" s="196">
        <f>ROUND(centralizator!$R$18*Gantt!AK31,2)</f>
        <v>219564.27</v>
      </c>
      <c r="AM31" s="173">
        <v>0.10552509284401743</v>
      </c>
      <c r="AN31" s="196">
        <f>ROUND(centralizator!$S$18*Gantt!AM31,2)</f>
        <v>250281.74</v>
      </c>
      <c r="AO31" s="173">
        <v>0.15883400833482711</v>
      </c>
      <c r="AP31" s="196">
        <f>ROUND(centralizator!$T$18*Gantt!AO31,2)</f>
        <v>381805.04</v>
      </c>
      <c r="AQ31" s="173">
        <v>0.15315621075483449</v>
      </c>
      <c r="AR31" s="196">
        <f>ROUND(centralizator!$U$18*Gantt!AQ31,2)</f>
        <v>373058.6</v>
      </c>
      <c r="AS31" s="173">
        <v>0.3094811559317075</v>
      </c>
      <c r="AT31" s="196">
        <f>ROUND(centralizator!$V$18*Gantt!AS31,2)</f>
        <v>763746.58</v>
      </c>
      <c r="AU31" s="173">
        <v>-4.4809145069816468E-10</v>
      </c>
      <c r="AV31" s="196">
        <f>ROUND(centralizator!$W$18*Gantt!AU31,2)</f>
        <v>0</v>
      </c>
      <c r="AW31" s="192">
        <f t="shared" si="0"/>
        <v>0</v>
      </c>
      <c r="AX31" s="192">
        <f t="shared" si="1"/>
        <v>0</v>
      </c>
      <c r="AY31" s="200">
        <f t="shared" si="2"/>
        <v>442197.99</v>
      </c>
      <c r="AZ31" s="175">
        <f t="shared" si="3"/>
        <v>2769555.8408476003</v>
      </c>
      <c r="BA31" s="187">
        <f t="shared" si="4"/>
        <v>2769555.8408476003</v>
      </c>
    </row>
    <row r="32" spans="1:53" ht="14.4">
      <c r="A32" s="250">
        <v>24.8</v>
      </c>
      <c r="B32" s="219" t="s">
        <v>95</v>
      </c>
      <c r="C32" s="220">
        <f>SUM(C33:C38)</f>
        <v>9843687.459999999</v>
      </c>
      <c r="D32" s="220">
        <f>SUM(D33:D38)</f>
        <v>11328876.9498326</v>
      </c>
      <c r="E32" s="221">
        <v>0</v>
      </c>
      <c r="F32" s="233">
        <v>0</v>
      </c>
      <c r="G32" s="221">
        <v>0</v>
      </c>
      <c r="H32" s="233">
        <v>0</v>
      </c>
      <c r="I32" s="221">
        <v>0</v>
      </c>
      <c r="J32" s="236">
        <v>0</v>
      </c>
      <c r="K32" s="221">
        <v>2.6180242775451626E-2</v>
      </c>
      <c r="L32" s="233">
        <v>266124.49</v>
      </c>
      <c r="M32" s="221">
        <v>2.1648693532797209E-2</v>
      </c>
      <c r="N32" s="233">
        <v>220060.89</v>
      </c>
      <c r="O32" s="221">
        <v>9.0175179681412903E-3</v>
      </c>
      <c r="P32" s="233">
        <v>91663.87</v>
      </c>
      <c r="Q32" s="224">
        <v>5.7094022209565175E-3</v>
      </c>
      <c r="R32" s="233">
        <v>58036.58</v>
      </c>
      <c r="S32" s="225">
        <v>7.1056753297194528E-3</v>
      </c>
      <c r="T32" s="233">
        <v>72229.819999999992</v>
      </c>
      <c r="U32" s="225">
        <v>9.9363264778988096E-3</v>
      </c>
      <c r="V32" s="233">
        <v>101003.64</v>
      </c>
      <c r="W32" s="224">
        <v>7.1885250724137803E-2</v>
      </c>
      <c r="X32" s="233">
        <v>730719.94983260008</v>
      </c>
      <c r="Y32" s="221">
        <v>7.9903894985195734E-2</v>
      </c>
      <c r="Z32" s="233">
        <v>812230.17999999993</v>
      </c>
      <c r="AA32" s="221">
        <v>9.823754218691666E-2</v>
      </c>
      <c r="AB32" s="233">
        <v>998593.33</v>
      </c>
      <c r="AC32" s="221">
        <v>7.4343790035004811E-2</v>
      </c>
      <c r="AD32" s="233">
        <v>755711.22000000009</v>
      </c>
      <c r="AE32" s="221">
        <v>5.9991923139834473E-2</v>
      </c>
      <c r="AF32" s="233">
        <v>609823.22</v>
      </c>
      <c r="AG32" s="221">
        <v>5.355216034661852E-2</v>
      </c>
      <c r="AH32" s="233">
        <v>544362.46000000008</v>
      </c>
      <c r="AI32" s="221">
        <v>3.3853779357577073E-2</v>
      </c>
      <c r="AJ32" s="233">
        <v>344126.67</v>
      </c>
      <c r="AK32" s="235"/>
      <c r="AL32" s="220">
        <f>ROUND(centralizator!$R$18*Gantt!AK32,2)</f>
        <v>1771593.71</v>
      </c>
      <c r="AM32" s="235"/>
      <c r="AN32" s="220">
        <f>ROUND(centralizator!$S$18*Gantt!AM32,2)</f>
        <v>2146406.4500000002</v>
      </c>
      <c r="AO32" s="235"/>
      <c r="AP32" s="220">
        <f>ROUND(centralizator!$T$18*Gantt!AO32,2)</f>
        <v>1323708.6399999999</v>
      </c>
      <c r="AQ32" s="235"/>
      <c r="AR32" s="220">
        <f>ROUND(centralizator!$U$18*Gantt!AQ32,2)</f>
        <v>482481.84</v>
      </c>
      <c r="AS32" s="235"/>
      <c r="AT32" s="220">
        <f>ROUND(centralizator!$V$18*Gantt!AS32,2)</f>
        <v>0</v>
      </c>
      <c r="AU32" s="221">
        <v>1.6468232277751446E-11</v>
      </c>
      <c r="AV32" s="220">
        <f>ROUND(centralizator!$W$18*Gantt!AU32,2)</f>
        <v>0</v>
      </c>
      <c r="AW32" s="228">
        <f t="shared" si="0"/>
        <v>1870300.62</v>
      </c>
      <c r="AX32" s="228">
        <f t="shared" si="1"/>
        <v>11713988.079999998</v>
      </c>
      <c r="AY32" s="229">
        <f t="shared" si="2"/>
        <v>2152486.62</v>
      </c>
      <c r="AZ32" s="230">
        <f t="shared" si="3"/>
        <v>13481363.569832601</v>
      </c>
      <c r="BA32" s="251">
        <f t="shared" si="4"/>
        <v>1767375.4898326024</v>
      </c>
    </row>
    <row r="33" spans="1:53" ht="14.4">
      <c r="A33" s="252" t="s">
        <v>96</v>
      </c>
      <c r="B33" s="43" t="s">
        <v>97</v>
      </c>
      <c r="C33" s="172">
        <v>73211.259999999995</v>
      </c>
      <c r="D33" s="165">
        <f t="shared" ref="D33:D38" si="9">F33+H33+J33+L33+N33+P33+R33+T33+V33+X33+Z33+AB33+AD33+AF33+AH33+AJ33+AL33+AN33+AP33+AR33+AT33+AV33</f>
        <v>82011.29275149999</v>
      </c>
      <c r="E33" s="168"/>
      <c r="F33" s="187"/>
      <c r="G33" s="173">
        <v>0</v>
      </c>
      <c r="H33" s="187"/>
      <c r="I33" s="173">
        <v>0</v>
      </c>
      <c r="J33" s="188"/>
      <c r="K33" s="173">
        <v>0</v>
      </c>
      <c r="L33" s="187"/>
      <c r="M33" s="173">
        <v>0</v>
      </c>
      <c r="N33" s="187"/>
      <c r="O33" s="173">
        <v>0</v>
      </c>
      <c r="P33" s="187"/>
      <c r="Q33" s="176">
        <v>0</v>
      </c>
      <c r="R33" s="187"/>
      <c r="S33" s="186">
        <v>0.18929592054606023</v>
      </c>
      <c r="T33" s="187">
        <v>14991.97</v>
      </c>
      <c r="U33" s="186">
        <v>0</v>
      </c>
      <c r="V33" s="187"/>
      <c r="W33" s="176">
        <v>6.6911200710770224E-2</v>
      </c>
      <c r="X33" s="200">
        <v>5299.2727514999997</v>
      </c>
      <c r="Y33" s="173">
        <v>0.13289390631828168</v>
      </c>
      <c r="Z33" s="187">
        <v>10525.01</v>
      </c>
      <c r="AA33" s="173">
        <v>0.22793764383936635</v>
      </c>
      <c r="AB33" s="187">
        <v>18052.34</v>
      </c>
      <c r="AC33" s="173">
        <v>0.10649520401815235</v>
      </c>
      <c r="AD33" s="187">
        <v>8434.27</v>
      </c>
      <c r="AE33" s="173">
        <v>0.13959541451432406</v>
      </c>
      <c r="AF33" s="187">
        <v>11055.76</v>
      </c>
      <c r="AG33" s="173">
        <v>0</v>
      </c>
      <c r="AH33" s="187">
        <v>0</v>
      </c>
      <c r="AI33" s="173">
        <v>0</v>
      </c>
      <c r="AJ33" s="174"/>
      <c r="AK33" s="173">
        <v>0</v>
      </c>
      <c r="AL33" s="196">
        <f>ROUND(centralizator!$R$18*Gantt!AK33,2)</f>
        <v>0</v>
      </c>
      <c r="AM33" s="173">
        <v>9.147890132892518E-2</v>
      </c>
      <c r="AN33" s="196">
        <f>ROUND(centralizator!$S$18*Gantt!AM33,2)</f>
        <v>9084.2199999999993</v>
      </c>
      <c r="AO33" s="173">
        <v>4.5391843465900084E-2</v>
      </c>
      <c r="AP33" s="196">
        <f>ROUND(centralizator!$T$18*Gantt!AO33,2)</f>
        <v>4568.45</v>
      </c>
      <c r="AQ33" s="174"/>
      <c r="AR33" s="196">
        <f>ROUND(centralizator!$U$18*Gantt!AQ33,2)</f>
        <v>0</v>
      </c>
      <c r="AS33" s="174"/>
      <c r="AT33" s="196">
        <f>ROUND(centralizator!$V$18*Gantt!AS33,2)</f>
        <v>0</v>
      </c>
      <c r="AU33" s="173">
        <v>-3.4741780081193101E-8</v>
      </c>
      <c r="AV33" s="196">
        <f>ROUND(centralizator!$W$18*Gantt!AU33,2)</f>
        <v>0</v>
      </c>
      <c r="AW33" s="192">
        <f t="shared" si="0"/>
        <v>13910.14</v>
      </c>
      <c r="AX33" s="192">
        <f t="shared" si="1"/>
        <v>87121.4</v>
      </c>
      <c r="AY33" s="200">
        <f t="shared" si="2"/>
        <v>15582.15</v>
      </c>
      <c r="AZ33" s="175">
        <f t="shared" si="3"/>
        <v>97593.442751499984</v>
      </c>
      <c r="BA33" s="187">
        <f t="shared" si="4"/>
        <v>10472.04275149999</v>
      </c>
    </row>
    <row r="34" spans="1:53" ht="14.4">
      <c r="A34" s="252" t="s">
        <v>98</v>
      </c>
      <c r="B34" s="43" t="s">
        <v>99</v>
      </c>
      <c r="C34" s="172">
        <v>8193544.79</v>
      </c>
      <c r="D34" s="165">
        <f t="shared" si="9"/>
        <v>9166134.997366</v>
      </c>
      <c r="E34" s="168"/>
      <c r="F34" s="187"/>
      <c r="G34" s="173">
        <v>0</v>
      </c>
      <c r="H34" s="187"/>
      <c r="I34" s="173">
        <v>0</v>
      </c>
      <c r="J34" s="188"/>
      <c r="K34" s="173">
        <v>3.2826317830550532E-2</v>
      </c>
      <c r="L34" s="187">
        <v>266124.49</v>
      </c>
      <c r="M34" s="173">
        <v>2.7144396658923875E-2</v>
      </c>
      <c r="N34" s="187">
        <v>220060.89</v>
      </c>
      <c r="O34" s="173">
        <v>1.1306690828034151E-2</v>
      </c>
      <c r="P34" s="187">
        <v>91663.87</v>
      </c>
      <c r="Q34" s="176">
        <v>7.1587820454937189E-3</v>
      </c>
      <c r="R34" s="187">
        <v>58036.58</v>
      </c>
      <c r="S34" s="186">
        <v>7.0602591142114616E-3</v>
      </c>
      <c r="T34" s="187">
        <v>57237.85</v>
      </c>
      <c r="U34" s="186">
        <v>1.2458746613971932E-2</v>
      </c>
      <c r="V34" s="187">
        <v>101003.64</v>
      </c>
      <c r="W34" s="176">
        <v>7.1746414258760924E-2</v>
      </c>
      <c r="X34" s="200">
        <v>581651.52736599999</v>
      </c>
      <c r="Y34" s="173">
        <v>5.7784279556353603E-2</v>
      </c>
      <c r="Z34" s="187">
        <v>468459.85</v>
      </c>
      <c r="AA34" s="173">
        <v>8.7594425030229711E-2</v>
      </c>
      <c r="AB34" s="187">
        <v>710132.09</v>
      </c>
      <c r="AC34" s="173">
        <v>6.8101237581999111E-2</v>
      </c>
      <c r="AD34" s="187">
        <v>552099.91</v>
      </c>
      <c r="AE34" s="173">
        <v>2.4510624963530955E-2</v>
      </c>
      <c r="AF34" s="187">
        <v>198708.78</v>
      </c>
      <c r="AG34" s="173">
        <v>4.7873021675532111E-2</v>
      </c>
      <c r="AH34" s="187">
        <v>388108.82</v>
      </c>
      <c r="AI34" s="173">
        <v>3.236157645645224E-2</v>
      </c>
      <c r="AJ34" s="174">
        <v>262356.81</v>
      </c>
      <c r="AK34" s="173">
        <v>0.16021728455207543</v>
      </c>
      <c r="AL34" s="196">
        <f>ROUND(centralizator!$R$18*Gantt!AK34,2)</f>
        <v>1606647.76</v>
      </c>
      <c r="AM34" s="173">
        <v>0.19371308292644399</v>
      </c>
      <c r="AN34" s="196">
        <f>ROUND(centralizator!$S$18*Gantt!AM34,2)</f>
        <v>1969113.15</v>
      </c>
      <c r="AO34" s="173">
        <v>0.11815424794675382</v>
      </c>
      <c r="AP34" s="196">
        <f>ROUND(centralizator!$T$18*Gantt!AO34,2)</f>
        <v>1217266.8700000001</v>
      </c>
      <c r="AQ34" s="173">
        <v>3.9988611635779846E-2</v>
      </c>
      <c r="AR34" s="196">
        <f>ROUND(centralizator!$U$18*Gantt!AQ34,2)</f>
        <v>417462.11</v>
      </c>
      <c r="AS34" s="173"/>
      <c r="AT34" s="196">
        <f>ROUND(centralizator!$V$18*Gantt!AS34,2)</f>
        <v>0</v>
      </c>
      <c r="AU34" s="173">
        <v>3.2490265298556744E-10</v>
      </c>
      <c r="AV34" s="196">
        <f>ROUND(centralizator!$W$18*Gantt!AU34,2)</f>
        <v>0</v>
      </c>
      <c r="AW34" s="192">
        <f t="shared" si="0"/>
        <v>1556773.51</v>
      </c>
      <c r="AX34" s="192">
        <f t="shared" si="1"/>
        <v>9750318.3000000007</v>
      </c>
      <c r="AY34" s="200">
        <f t="shared" si="2"/>
        <v>1741565.65</v>
      </c>
      <c r="AZ34" s="175">
        <f t="shared" si="3"/>
        <v>10907700.647366</v>
      </c>
      <c r="BA34" s="187">
        <f t="shared" si="4"/>
        <v>1157382.3473659996</v>
      </c>
    </row>
    <row r="35" spans="1:53" ht="14.4">
      <c r="A35" s="252" t="s">
        <v>100</v>
      </c>
      <c r="B35" s="43" t="s">
        <v>101</v>
      </c>
      <c r="C35" s="172">
        <v>640112.63</v>
      </c>
      <c r="D35" s="165">
        <f t="shared" si="9"/>
        <v>727760.94478789985</v>
      </c>
      <c r="E35" s="168"/>
      <c r="F35" s="187"/>
      <c r="G35" s="173">
        <v>0</v>
      </c>
      <c r="H35" s="187"/>
      <c r="I35" s="173">
        <v>0</v>
      </c>
      <c r="J35" s="188"/>
      <c r="K35" s="173">
        <v>0</v>
      </c>
      <c r="L35" s="187"/>
      <c r="M35" s="173">
        <v>0</v>
      </c>
      <c r="N35" s="187"/>
      <c r="O35" s="173">
        <v>0</v>
      </c>
      <c r="P35" s="187"/>
      <c r="Q35" s="176">
        <v>0</v>
      </c>
      <c r="R35" s="187"/>
      <c r="S35" s="186">
        <v>0</v>
      </c>
      <c r="T35" s="187"/>
      <c r="U35" s="186">
        <v>0</v>
      </c>
      <c r="V35" s="187"/>
      <c r="W35" s="176">
        <v>0.10751636456541902</v>
      </c>
      <c r="X35" s="200">
        <v>78152.234787899986</v>
      </c>
      <c r="Y35" s="173">
        <v>5.9270020116472588E-2</v>
      </c>
      <c r="Z35" s="187">
        <v>43082.6</v>
      </c>
      <c r="AA35" s="173">
        <v>0.23395671964804207</v>
      </c>
      <c r="AB35" s="187">
        <v>170060.07</v>
      </c>
      <c r="AC35" s="173">
        <v>0.17591468977951563</v>
      </c>
      <c r="AD35" s="187">
        <v>127870.08</v>
      </c>
      <c r="AE35" s="173">
        <v>0.31395729690429963</v>
      </c>
      <c r="AF35" s="187">
        <v>228211.44</v>
      </c>
      <c r="AG35" s="173">
        <v>0.10430984804678275</v>
      </c>
      <c r="AH35" s="187">
        <v>75821.460000000006</v>
      </c>
      <c r="AI35" s="173">
        <v>0</v>
      </c>
      <c r="AJ35" s="174">
        <v>0</v>
      </c>
      <c r="AK35" s="173">
        <v>5.0750675263254164E-3</v>
      </c>
      <c r="AL35" s="196">
        <f>ROUND(centralizator!$R$18*Gantt!AK35,2)</f>
        <v>4563.07</v>
      </c>
      <c r="AM35" s="173">
        <v>0</v>
      </c>
      <c r="AN35" s="196">
        <f>ROUND(centralizator!$S$18*Gantt!AM35,2)</f>
        <v>0</v>
      </c>
      <c r="AO35" s="173">
        <v>0</v>
      </c>
      <c r="AP35" s="196">
        <f>ROUND(centralizator!$T$18*Gantt!AO35,2)</f>
        <v>0</v>
      </c>
      <c r="AQ35" s="173"/>
      <c r="AR35" s="196">
        <f>ROUND(centralizator!$U$18*Gantt!AQ35,2)</f>
        <v>0</v>
      </c>
      <c r="AS35" s="173"/>
      <c r="AT35" s="196">
        <f>ROUND(centralizator!$V$18*Gantt!AS35,2)</f>
        <v>0</v>
      </c>
      <c r="AU35" s="173">
        <v>-6.5868569577452722E-9</v>
      </c>
      <c r="AV35" s="196">
        <f>ROUND(centralizator!$W$18*Gantt!AU35,2)</f>
        <v>-0.01</v>
      </c>
      <c r="AW35" s="192">
        <f t="shared" si="0"/>
        <v>121621.4</v>
      </c>
      <c r="AX35" s="192">
        <f t="shared" si="1"/>
        <v>761734.03</v>
      </c>
      <c r="AY35" s="200">
        <f t="shared" si="2"/>
        <v>138274.57999999999</v>
      </c>
      <c r="AZ35" s="175">
        <f t="shared" si="3"/>
        <v>866035.52478789981</v>
      </c>
      <c r="BA35" s="187">
        <f t="shared" si="4"/>
        <v>104301.49478789978</v>
      </c>
    </row>
    <row r="36" spans="1:53" ht="14.4">
      <c r="A36" s="252"/>
      <c r="B36" s="43" t="s">
        <v>102</v>
      </c>
      <c r="C36" s="172">
        <v>0</v>
      </c>
      <c r="D36" s="165">
        <f t="shared" si="9"/>
        <v>465521.34675629996</v>
      </c>
      <c r="E36" s="168"/>
      <c r="F36" s="187"/>
      <c r="G36" s="173">
        <v>0</v>
      </c>
      <c r="H36" s="187"/>
      <c r="I36" s="173">
        <v>0</v>
      </c>
      <c r="J36" s="188"/>
      <c r="K36" s="173">
        <v>0</v>
      </c>
      <c r="L36" s="187"/>
      <c r="M36" s="173">
        <v>0</v>
      </c>
      <c r="N36" s="187"/>
      <c r="O36" s="173">
        <v>0</v>
      </c>
      <c r="P36" s="187"/>
      <c r="Q36" s="176">
        <v>0</v>
      </c>
      <c r="R36" s="187"/>
      <c r="S36" s="186">
        <v>0</v>
      </c>
      <c r="T36" s="187"/>
      <c r="U36" s="186">
        <v>0</v>
      </c>
      <c r="V36" s="187"/>
      <c r="W36" s="176">
        <v>2.1569980198877094E-2</v>
      </c>
      <c r="X36" s="200">
        <v>9381.6467562999987</v>
      </c>
      <c r="Y36" s="173">
        <v>1.1224721167274621E-2</v>
      </c>
      <c r="Z36" s="187">
        <v>4882.08</v>
      </c>
      <c r="AA36" s="173">
        <v>4.5182165134600868E-2</v>
      </c>
      <c r="AB36" s="187">
        <v>19651.53</v>
      </c>
      <c r="AC36" s="173">
        <v>3.3833242922391274E-2</v>
      </c>
      <c r="AD36" s="187">
        <v>14715.43</v>
      </c>
      <c r="AE36" s="173">
        <v>0.39510564193247999</v>
      </c>
      <c r="AF36" s="187">
        <v>171847.24</v>
      </c>
      <c r="AG36" s="173">
        <v>2.0066768752782856E-2</v>
      </c>
      <c r="AH36" s="187">
        <v>8727.84</v>
      </c>
      <c r="AI36" s="173">
        <v>0.18800262969617096</v>
      </c>
      <c r="AJ36" s="174">
        <v>81769.86</v>
      </c>
      <c r="AK36" s="173">
        <v>0.13480020852532343</v>
      </c>
      <c r="AL36" s="196">
        <f>ROUND(centralizator!$R$18*Gantt!AK36,2)</f>
        <v>72521.789999999994</v>
      </c>
      <c r="AM36" s="173">
        <v>0.13611763167874336</v>
      </c>
      <c r="AN36" s="196">
        <f>ROUND(centralizator!$S$18*Gantt!AM36,2)</f>
        <v>74232.27</v>
      </c>
      <c r="AO36" s="173">
        <v>1.4097002533544975E-2</v>
      </c>
      <c r="AP36" s="196">
        <f>ROUND(centralizator!$T$18*Gantt!AO36,2)</f>
        <v>7791.66</v>
      </c>
      <c r="AQ36" s="173">
        <v>0</v>
      </c>
      <c r="AR36" s="196">
        <f>ROUND(centralizator!$U$18*Gantt!AQ36,2)</f>
        <v>0</v>
      </c>
      <c r="AS36" s="173"/>
      <c r="AT36" s="196">
        <f>ROUND(centralizator!$V$18*Gantt!AS36,2)</f>
        <v>0</v>
      </c>
      <c r="AU36" s="173">
        <v>7.4578106594935632E-9</v>
      </c>
      <c r="AV36" s="196">
        <f>ROUND(centralizator!$W$18*Gantt!AU36,2)</f>
        <v>0</v>
      </c>
      <c r="AW36" s="192">
        <f t="shared" si="0"/>
        <v>0</v>
      </c>
      <c r="AX36" s="192">
        <f t="shared" si="1"/>
        <v>0</v>
      </c>
      <c r="AY36" s="200">
        <f t="shared" si="2"/>
        <v>88449.06</v>
      </c>
      <c r="AZ36" s="175">
        <f t="shared" si="3"/>
        <v>553970.40675630001</v>
      </c>
      <c r="BA36" s="187">
        <f t="shared" si="4"/>
        <v>553970.40675630001</v>
      </c>
    </row>
    <row r="37" spans="1:53" ht="14.4">
      <c r="A37" s="252" t="s">
        <v>103</v>
      </c>
      <c r="B37" s="43" t="s">
        <v>104</v>
      </c>
      <c r="C37" s="172">
        <v>936818.78</v>
      </c>
      <c r="D37" s="165">
        <f t="shared" si="9"/>
        <v>604386.5922057</v>
      </c>
      <c r="E37" s="168"/>
      <c r="F37" s="187"/>
      <c r="G37" s="173">
        <v>0</v>
      </c>
      <c r="H37" s="187"/>
      <c r="I37" s="173">
        <v>0</v>
      </c>
      <c r="J37" s="188"/>
      <c r="K37" s="173">
        <v>0</v>
      </c>
      <c r="L37" s="187"/>
      <c r="M37" s="173">
        <v>0</v>
      </c>
      <c r="N37" s="187"/>
      <c r="O37" s="173">
        <v>0</v>
      </c>
      <c r="P37" s="187"/>
      <c r="Q37" s="176">
        <v>0</v>
      </c>
      <c r="R37" s="187"/>
      <c r="S37" s="186">
        <v>0</v>
      </c>
      <c r="T37" s="187"/>
      <c r="U37" s="186">
        <v>0</v>
      </c>
      <c r="V37" s="187"/>
      <c r="W37" s="176">
        <v>8.2602301250064125E-2</v>
      </c>
      <c r="X37" s="200">
        <v>47346.532205700001</v>
      </c>
      <c r="Y37" s="173">
        <v>0.40969204444067603</v>
      </c>
      <c r="Z37" s="187">
        <v>234829.99</v>
      </c>
      <c r="AA37" s="173">
        <v>0.11588911883145907</v>
      </c>
      <c r="AB37" s="187">
        <v>66426.09</v>
      </c>
      <c r="AC37" s="173">
        <v>7.552577118864956E-2</v>
      </c>
      <c r="AD37" s="187">
        <v>43290.36</v>
      </c>
      <c r="AE37" s="173">
        <v>0</v>
      </c>
      <c r="AF37" s="187">
        <v>0</v>
      </c>
      <c r="AG37" s="173">
        <v>0.10297393553861867</v>
      </c>
      <c r="AH37" s="187">
        <v>59023.28</v>
      </c>
      <c r="AI37" s="173">
        <v>0</v>
      </c>
      <c r="AJ37" s="174">
        <v>0</v>
      </c>
      <c r="AK37" s="173">
        <v>7.1918987638580525E-2</v>
      </c>
      <c r="AL37" s="196">
        <f>ROUND(centralizator!$R$18*Gantt!AK37,2)</f>
        <v>50990.38</v>
      </c>
      <c r="AM37" s="173">
        <v>7.468597486403207E-2</v>
      </c>
      <c r="AN37" s="196">
        <f>ROUND(centralizator!$S$18*Gantt!AM37,2)</f>
        <v>53676.49</v>
      </c>
      <c r="AO37" s="173">
        <v>4.5001052013428092E-2</v>
      </c>
      <c r="AP37" s="196">
        <f>ROUND(centralizator!$T$18*Gantt!AO37,2)</f>
        <v>32778.76</v>
      </c>
      <c r="AQ37" s="173">
        <v>2.1710818082627894E-2</v>
      </c>
      <c r="AR37" s="196">
        <f>ROUND(centralizator!$U$18*Gantt!AQ37,2)</f>
        <v>16024.71</v>
      </c>
      <c r="AS37" s="173"/>
      <c r="AT37" s="196">
        <f>ROUND(centralizator!$V$18*Gantt!AS37,2)</f>
        <v>0</v>
      </c>
      <c r="AU37" s="173">
        <v>-3.8481360720604482E-9</v>
      </c>
      <c r="AV37" s="196">
        <f>ROUND(centralizator!$W$18*Gantt!AU37,2)</f>
        <v>0</v>
      </c>
      <c r="AW37" s="192">
        <f t="shared" si="0"/>
        <v>177995.57</v>
      </c>
      <c r="AX37" s="192">
        <f t="shared" si="1"/>
        <v>1114814.3500000001</v>
      </c>
      <c r="AY37" s="200">
        <f t="shared" si="2"/>
        <v>114833.45</v>
      </c>
      <c r="AZ37" s="175">
        <f t="shared" si="3"/>
        <v>719220.04220569995</v>
      </c>
      <c r="BA37" s="187">
        <f t="shared" si="4"/>
        <v>-395594.30779430014</v>
      </c>
    </row>
    <row r="38" spans="1:53" ht="14.4">
      <c r="A38" s="252"/>
      <c r="B38" s="43" t="s">
        <v>105</v>
      </c>
      <c r="C38" s="172">
        <v>0</v>
      </c>
      <c r="D38" s="165">
        <f t="shared" si="9"/>
        <v>283061.77596519998</v>
      </c>
      <c r="E38" s="168"/>
      <c r="F38" s="187"/>
      <c r="G38" s="173">
        <v>0</v>
      </c>
      <c r="H38" s="187"/>
      <c r="I38" s="173">
        <v>0</v>
      </c>
      <c r="J38" s="188"/>
      <c r="K38" s="173">
        <v>0</v>
      </c>
      <c r="L38" s="187"/>
      <c r="M38" s="173">
        <v>0</v>
      </c>
      <c r="N38" s="187"/>
      <c r="O38" s="173">
        <v>0</v>
      </c>
      <c r="P38" s="187"/>
      <c r="Q38" s="176">
        <v>0</v>
      </c>
      <c r="R38" s="187"/>
      <c r="S38" s="186">
        <v>0</v>
      </c>
      <c r="T38" s="187"/>
      <c r="U38" s="186">
        <v>0</v>
      </c>
      <c r="V38" s="187"/>
      <c r="W38" s="176">
        <v>3.6454644486732558E-2</v>
      </c>
      <c r="X38" s="200">
        <v>8888.7359651999996</v>
      </c>
      <c r="Y38" s="173">
        <v>0.2069091170077513</v>
      </c>
      <c r="Z38" s="187">
        <v>50450.65</v>
      </c>
      <c r="AA38" s="173">
        <v>5.852934421523192E-2</v>
      </c>
      <c r="AB38" s="187">
        <v>14271.21</v>
      </c>
      <c r="AC38" s="173">
        <v>3.8146126399540667E-2</v>
      </c>
      <c r="AD38" s="187">
        <v>9301.17</v>
      </c>
      <c r="AE38" s="173">
        <v>0</v>
      </c>
      <c r="AF38" s="187"/>
      <c r="AG38" s="173">
        <v>5.2007792314317347E-2</v>
      </c>
      <c r="AH38" s="187">
        <v>12681.06</v>
      </c>
      <c r="AI38" s="178">
        <v>0</v>
      </c>
      <c r="AJ38" s="175">
        <v>0</v>
      </c>
      <c r="AK38" s="178">
        <v>5.2004007072042509E-2</v>
      </c>
      <c r="AL38" s="196">
        <f>ROUND(centralizator!$R$18*Gantt!AK38,2)</f>
        <v>36870.71</v>
      </c>
      <c r="AM38" s="178">
        <v>5.6074234812886418E-2</v>
      </c>
      <c r="AN38" s="196">
        <f>ROUND(centralizator!$S$18*Gantt!AM38,2)</f>
        <v>40300.31</v>
      </c>
      <c r="AO38" s="178">
        <v>8.4161074247025319E-2</v>
      </c>
      <c r="AP38" s="196">
        <f>ROUND(centralizator!$T$18*Gantt!AO38,2)</f>
        <v>61302.91</v>
      </c>
      <c r="AQ38" s="178">
        <v>6.6380075877558911E-2</v>
      </c>
      <c r="AR38" s="196">
        <f>ROUND(centralizator!$U$18*Gantt!AQ38,2)</f>
        <v>48995.01</v>
      </c>
      <c r="AS38" s="174"/>
      <c r="AT38" s="196">
        <f>ROUND(centralizator!$V$18*Gantt!AS38,2)</f>
        <v>0</v>
      </c>
      <c r="AU38" s="173">
        <v>7.039243397024437E-9</v>
      </c>
      <c r="AV38" s="196">
        <f>ROUND(centralizator!$W$18*Gantt!AU38,2)</f>
        <v>0.01</v>
      </c>
      <c r="AW38" s="192">
        <f t="shared" si="0"/>
        <v>0</v>
      </c>
      <c r="AX38" s="192">
        <f t="shared" si="1"/>
        <v>0</v>
      </c>
      <c r="AY38" s="200">
        <f t="shared" si="2"/>
        <v>53781.74</v>
      </c>
      <c r="AZ38" s="175">
        <f t="shared" si="3"/>
        <v>336843.51596519997</v>
      </c>
      <c r="BA38" s="187">
        <f t="shared" si="4"/>
        <v>336843.51596519997</v>
      </c>
    </row>
    <row r="39" spans="1:53" ht="14.4">
      <c r="A39" s="250">
        <v>24.9</v>
      </c>
      <c r="B39" s="219" t="s">
        <v>106</v>
      </c>
      <c r="C39" s="220">
        <f>SUM(C40:C45)</f>
        <v>1495137.79</v>
      </c>
      <c r="D39" s="220">
        <f>SUM(D40:D45)</f>
        <v>1880066.3661292</v>
      </c>
      <c r="E39" s="221">
        <v>0</v>
      </c>
      <c r="F39" s="233">
        <v>0</v>
      </c>
      <c r="G39" s="221">
        <v>0</v>
      </c>
      <c r="H39" s="233">
        <v>0</v>
      </c>
      <c r="I39" s="221">
        <v>0</v>
      </c>
      <c r="J39" s="236">
        <v>0</v>
      </c>
      <c r="K39" s="221">
        <v>0</v>
      </c>
      <c r="L39" s="233"/>
      <c r="M39" s="221">
        <v>0</v>
      </c>
      <c r="N39" s="233"/>
      <c r="O39" s="221">
        <v>0</v>
      </c>
      <c r="P39" s="233"/>
      <c r="Q39" s="224">
        <v>1.3452898958446409E-2</v>
      </c>
      <c r="R39" s="233">
        <v>23346.559999999998</v>
      </c>
      <c r="S39" s="225">
        <v>0.13258684807434459</v>
      </c>
      <c r="T39" s="233">
        <v>230095.15</v>
      </c>
      <c r="U39" s="225">
        <v>5.3676061675262239E-2</v>
      </c>
      <c r="V39" s="233">
        <v>93151.03</v>
      </c>
      <c r="W39" s="224">
        <v>0.2038732322291113</v>
      </c>
      <c r="X39" s="233">
        <v>353807.65612920001</v>
      </c>
      <c r="Y39" s="221">
        <v>9.5898158753964374E-2</v>
      </c>
      <c r="Z39" s="233">
        <v>166424.51</v>
      </c>
      <c r="AA39" s="221">
        <v>2.9269840707517692E-2</v>
      </c>
      <c r="AB39" s="233">
        <v>50795.75</v>
      </c>
      <c r="AC39" s="221">
        <v>0</v>
      </c>
      <c r="AD39" s="233">
        <v>0</v>
      </c>
      <c r="AE39" s="221">
        <v>3.3024495887522771E-2</v>
      </c>
      <c r="AF39" s="233">
        <v>57311.69</v>
      </c>
      <c r="AG39" s="221">
        <v>0.11819448724764513</v>
      </c>
      <c r="AH39" s="233">
        <v>205118.22</v>
      </c>
      <c r="AI39" s="221">
        <v>3.3629746574518338E-2</v>
      </c>
      <c r="AJ39" s="234">
        <v>58362.06</v>
      </c>
      <c r="AK39" s="235"/>
      <c r="AL39" s="220">
        <f>ROUND(centralizator!$R$18*Gantt!AK39,2)</f>
        <v>0</v>
      </c>
      <c r="AM39" s="235"/>
      <c r="AN39" s="220">
        <f>ROUND(centralizator!$S$18*Gantt!AM39,2)</f>
        <v>223357.78</v>
      </c>
      <c r="AO39" s="235"/>
      <c r="AP39" s="220">
        <f>ROUND(centralizator!$T$18*Gantt!AO39,2)</f>
        <v>45970.71</v>
      </c>
      <c r="AQ39" s="235"/>
      <c r="AR39" s="220">
        <f>ROUND(centralizator!$U$18*Gantt!AQ39,2)</f>
        <v>24068.65</v>
      </c>
      <c r="AS39" s="235"/>
      <c r="AT39" s="220">
        <f>ROUND(centralizator!$V$18*Gantt!AS39,2)</f>
        <v>50502.61</v>
      </c>
      <c r="AU39" s="221">
        <v>0.12982660592105699</v>
      </c>
      <c r="AV39" s="220">
        <f>ROUND(centralizator!$W$18*Gantt!AU39,2)</f>
        <v>297754</v>
      </c>
      <c r="AW39" s="228">
        <f t="shared" si="0"/>
        <v>284076.18</v>
      </c>
      <c r="AX39" s="228">
        <f t="shared" si="1"/>
        <v>1779213.97</v>
      </c>
      <c r="AY39" s="229">
        <f t="shared" si="2"/>
        <v>357212.61</v>
      </c>
      <c r="AZ39" s="230">
        <f t="shared" si="3"/>
        <v>2237278.9761291998</v>
      </c>
      <c r="BA39" s="251">
        <f t="shared" si="4"/>
        <v>458065.00612919987</v>
      </c>
    </row>
    <row r="40" spans="1:53" ht="14.4">
      <c r="A40" s="252" t="s">
        <v>107</v>
      </c>
      <c r="B40" s="43" t="s">
        <v>108</v>
      </c>
      <c r="C40" s="172">
        <v>82948.149999999994</v>
      </c>
      <c r="D40" s="165">
        <f t="shared" ref="D40:D45" si="10">F40+H40+J40+L40+N40+P40+R40+T40+V40+X40+Z40+AB40+AD40+AF40+AH40+AJ40+AL40+AN40+AP40+AR40+AT40+AV40</f>
        <v>102994.93000000001</v>
      </c>
      <c r="E40" s="168"/>
      <c r="F40" s="187"/>
      <c r="G40" s="173">
        <v>0</v>
      </c>
      <c r="H40" s="187"/>
      <c r="I40" s="173">
        <v>0</v>
      </c>
      <c r="J40" s="188"/>
      <c r="K40" s="173">
        <v>0</v>
      </c>
      <c r="L40" s="187"/>
      <c r="M40" s="173">
        <v>0</v>
      </c>
      <c r="N40" s="187"/>
      <c r="O40" s="173">
        <v>0</v>
      </c>
      <c r="P40" s="187"/>
      <c r="Q40" s="176">
        <v>0</v>
      </c>
      <c r="R40" s="187"/>
      <c r="S40" s="186">
        <v>0</v>
      </c>
      <c r="T40" s="187"/>
      <c r="U40" s="186">
        <v>0</v>
      </c>
      <c r="V40" s="187"/>
      <c r="W40" s="176">
        <v>0</v>
      </c>
      <c r="X40" s="200">
        <v>0</v>
      </c>
      <c r="Y40" s="173">
        <v>0</v>
      </c>
      <c r="Z40" s="187"/>
      <c r="AA40" s="173">
        <v>0</v>
      </c>
      <c r="AB40" s="187"/>
      <c r="AC40" s="173">
        <v>0</v>
      </c>
      <c r="AD40" s="187"/>
      <c r="AE40" s="173">
        <v>0</v>
      </c>
      <c r="AF40" s="187">
        <v>0</v>
      </c>
      <c r="AG40" s="173">
        <v>0</v>
      </c>
      <c r="AH40" s="187"/>
      <c r="AI40" s="173">
        <v>0</v>
      </c>
      <c r="AJ40" s="175"/>
      <c r="AK40" s="173">
        <v>0</v>
      </c>
      <c r="AL40" s="196">
        <f>ROUND(centralizator!$R$18*Gantt!AK40,2)</f>
        <v>0</v>
      </c>
      <c r="AM40" s="173">
        <v>0</v>
      </c>
      <c r="AN40" s="196">
        <f>ROUND(centralizator!$S$18*Gantt!AM40,2)</f>
        <v>0</v>
      </c>
      <c r="AO40" s="173">
        <v>0.34415623114156008</v>
      </c>
      <c r="AP40" s="196">
        <f>ROUND(centralizator!$T$18*Gantt!AO40,2)</f>
        <v>34931.78</v>
      </c>
      <c r="AQ40" s="173">
        <v>0.20717115262784927</v>
      </c>
      <c r="AR40" s="196">
        <f>ROUND(centralizator!$U$18*Gantt!AQ40,2)</f>
        <v>21307.8</v>
      </c>
      <c r="AS40" s="173">
        <v>0.44709370312777791</v>
      </c>
      <c r="AT40" s="196">
        <f>ROUND(centralizator!$V$18*Gantt!AS40,2)</f>
        <v>46588.69</v>
      </c>
      <c r="AU40" s="173">
        <v>1.5789131028125967E-3</v>
      </c>
      <c r="AV40" s="196">
        <f>ROUND(centralizator!$W$18*Gantt!AU40,2)</f>
        <v>166.66</v>
      </c>
      <c r="AW40" s="192">
        <f t="shared" si="0"/>
        <v>15760.15</v>
      </c>
      <c r="AX40" s="192">
        <f t="shared" si="1"/>
        <v>98708.299999999988</v>
      </c>
      <c r="AY40" s="200">
        <f t="shared" si="2"/>
        <v>19569.04</v>
      </c>
      <c r="AZ40" s="175">
        <f t="shared" si="3"/>
        <v>122563.97</v>
      </c>
      <c r="BA40" s="187">
        <f t="shared" si="4"/>
        <v>23855.670000000013</v>
      </c>
    </row>
    <row r="41" spans="1:53" ht="14.4">
      <c r="A41" s="252"/>
      <c r="B41" s="43" t="s">
        <v>109</v>
      </c>
      <c r="C41" s="172">
        <v>0</v>
      </c>
      <c r="D41" s="165">
        <f t="shared" si="10"/>
        <v>269869.95</v>
      </c>
      <c r="E41" s="168"/>
      <c r="F41" s="187"/>
      <c r="G41" s="173">
        <v>0</v>
      </c>
      <c r="H41" s="187"/>
      <c r="I41" s="173">
        <v>0</v>
      </c>
      <c r="J41" s="188"/>
      <c r="K41" s="173">
        <v>0</v>
      </c>
      <c r="L41" s="187"/>
      <c r="M41" s="173">
        <v>0</v>
      </c>
      <c r="N41" s="187"/>
      <c r="O41" s="173">
        <v>0</v>
      </c>
      <c r="P41" s="187"/>
      <c r="Q41" s="176">
        <v>0</v>
      </c>
      <c r="R41" s="187"/>
      <c r="S41" s="186">
        <v>0</v>
      </c>
      <c r="T41" s="187"/>
      <c r="U41" s="186">
        <v>0</v>
      </c>
      <c r="V41" s="187"/>
      <c r="W41" s="176">
        <v>0</v>
      </c>
      <c r="X41" s="200">
        <v>0</v>
      </c>
      <c r="Y41" s="173">
        <v>0</v>
      </c>
      <c r="Z41" s="187"/>
      <c r="AA41" s="173">
        <v>0</v>
      </c>
      <c r="AB41" s="187"/>
      <c r="AC41" s="173">
        <v>0</v>
      </c>
      <c r="AD41" s="187"/>
      <c r="AE41" s="173">
        <v>0</v>
      </c>
      <c r="AF41" s="187"/>
      <c r="AG41" s="173">
        <v>0</v>
      </c>
      <c r="AH41" s="187"/>
      <c r="AI41" s="173"/>
      <c r="AJ41" s="175"/>
      <c r="AK41" s="174"/>
      <c r="AL41" s="196">
        <f>ROUND(centralizator!$R$18*Gantt!AK41,2)</f>
        <v>0</v>
      </c>
      <c r="AM41" s="174"/>
      <c r="AN41" s="196">
        <f>ROUND(centralizator!$S$18*Gantt!AM41,2)</f>
        <v>0</v>
      </c>
      <c r="AO41" s="173">
        <v>1.7716856747865013E-2</v>
      </c>
      <c r="AP41" s="196">
        <f>ROUND(centralizator!$T$18*Gantt!AO41,2)</f>
        <v>4602.8</v>
      </c>
      <c r="AQ41" s="173">
        <v>1.0487283508399389E-2</v>
      </c>
      <c r="AR41" s="196">
        <f>ROUND(centralizator!$U$18*Gantt!AQ41,2)</f>
        <v>2760.85</v>
      </c>
      <c r="AS41" s="173">
        <v>1.4674370580782728E-2</v>
      </c>
      <c r="AT41" s="196">
        <f>ROUND(centralizator!$V$18*Gantt!AS41,2)</f>
        <v>3913.92</v>
      </c>
      <c r="AU41" s="173">
        <v>0.95712148916295292</v>
      </c>
      <c r="AV41" s="196">
        <f>ROUND(centralizator!$W$18*Gantt!AU41,2)</f>
        <v>258592.38</v>
      </c>
      <c r="AW41" s="192">
        <f t="shared" si="0"/>
        <v>0</v>
      </c>
      <c r="AX41" s="192">
        <f t="shared" si="1"/>
        <v>0</v>
      </c>
      <c r="AY41" s="200">
        <f t="shared" si="2"/>
        <v>51275.29</v>
      </c>
      <c r="AZ41" s="175">
        <f t="shared" si="3"/>
        <v>321145.24</v>
      </c>
      <c r="BA41" s="187">
        <f t="shared" si="4"/>
        <v>321145.24</v>
      </c>
    </row>
    <row r="42" spans="1:53" ht="14.4">
      <c r="A42" s="252" t="s">
        <v>110</v>
      </c>
      <c r="B42" s="43" t="s">
        <v>111</v>
      </c>
      <c r="C42" s="172">
        <v>5064.67</v>
      </c>
      <c r="D42" s="165">
        <f t="shared" si="10"/>
        <v>6436.13</v>
      </c>
      <c r="E42" s="168"/>
      <c r="F42" s="187"/>
      <c r="G42" s="173">
        <v>0</v>
      </c>
      <c r="H42" s="187"/>
      <c r="I42" s="173">
        <v>0</v>
      </c>
      <c r="J42" s="188"/>
      <c r="K42" s="173">
        <v>0</v>
      </c>
      <c r="L42" s="187"/>
      <c r="M42" s="173">
        <v>0</v>
      </c>
      <c r="N42" s="187"/>
      <c r="O42" s="173">
        <v>0</v>
      </c>
      <c r="P42" s="187"/>
      <c r="Q42" s="176">
        <v>0</v>
      </c>
      <c r="R42" s="187"/>
      <c r="S42" s="186">
        <v>0</v>
      </c>
      <c r="T42" s="187"/>
      <c r="U42" s="186">
        <v>0</v>
      </c>
      <c r="V42" s="187"/>
      <c r="W42" s="176">
        <v>0</v>
      </c>
      <c r="X42" s="200">
        <v>0</v>
      </c>
      <c r="Y42" s="173">
        <v>0</v>
      </c>
      <c r="Z42" s="187"/>
      <c r="AA42" s="173">
        <v>0</v>
      </c>
      <c r="AB42" s="187"/>
      <c r="AC42" s="173">
        <v>0</v>
      </c>
      <c r="AD42" s="187"/>
      <c r="AE42" s="173">
        <v>0</v>
      </c>
      <c r="AF42" s="187"/>
      <c r="AG42" s="173">
        <v>0</v>
      </c>
      <c r="AH42" s="187"/>
      <c r="AI42" s="173">
        <v>0</v>
      </c>
      <c r="AJ42" s="175"/>
      <c r="AK42" s="174"/>
      <c r="AL42" s="196">
        <f>ROUND(centralizator!$R$18*Gantt!AK42,2)</f>
        <v>0</v>
      </c>
      <c r="AM42" s="174"/>
      <c r="AN42" s="196">
        <f>ROUND(centralizator!$S$18*Gantt!AM42,2)</f>
        <v>0</v>
      </c>
      <c r="AO42" s="173">
        <v>1</v>
      </c>
      <c r="AP42" s="196">
        <f>ROUND(centralizator!$T$18*Gantt!AO42,2)</f>
        <v>6436.13</v>
      </c>
      <c r="AQ42" s="174"/>
      <c r="AR42" s="196">
        <f>ROUND(centralizator!$U$18*Gantt!AQ42,2)</f>
        <v>0</v>
      </c>
      <c r="AS42" s="174"/>
      <c r="AT42" s="196">
        <f>ROUND(centralizator!$V$18*Gantt!AS42,2)</f>
        <v>0</v>
      </c>
      <c r="AU42" s="173">
        <v>0</v>
      </c>
      <c r="AV42" s="196">
        <f>ROUND(centralizator!$W$18*Gantt!AU42,2)</f>
        <v>0</v>
      </c>
      <c r="AW42" s="192">
        <f t="shared" si="0"/>
        <v>962.29</v>
      </c>
      <c r="AX42" s="192">
        <f t="shared" si="1"/>
        <v>6026.96</v>
      </c>
      <c r="AY42" s="200">
        <f t="shared" si="2"/>
        <v>1222.8599999999999</v>
      </c>
      <c r="AZ42" s="175">
        <f t="shared" si="3"/>
        <v>7658.99</v>
      </c>
      <c r="BA42" s="187">
        <f t="shared" si="4"/>
        <v>1632.0299999999997</v>
      </c>
    </row>
    <row r="43" spans="1:53" ht="14.4">
      <c r="A43" s="252"/>
      <c r="B43" s="43" t="s">
        <v>112</v>
      </c>
      <c r="C43" s="172">
        <v>0</v>
      </c>
      <c r="D43" s="165">
        <f t="shared" si="10"/>
        <v>33978.334145199995</v>
      </c>
      <c r="E43" s="168"/>
      <c r="F43" s="187"/>
      <c r="G43" s="173">
        <v>0</v>
      </c>
      <c r="H43" s="187"/>
      <c r="I43" s="173">
        <v>0</v>
      </c>
      <c r="J43" s="188"/>
      <c r="K43" s="173">
        <v>0</v>
      </c>
      <c r="L43" s="187"/>
      <c r="M43" s="173">
        <v>0</v>
      </c>
      <c r="N43" s="187"/>
      <c r="O43" s="173">
        <v>0</v>
      </c>
      <c r="P43" s="187"/>
      <c r="Q43" s="176">
        <v>0</v>
      </c>
      <c r="R43" s="187"/>
      <c r="S43" s="186">
        <v>0</v>
      </c>
      <c r="T43" s="187"/>
      <c r="U43" s="186">
        <v>0</v>
      </c>
      <c r="V43" s="187"/>
      <c r="W43" s="176">
        <v>1.0000001219953654</v>
      </c>
      <c r="X43" s="200">
        <v>33978.344145199997</v>
      </c>
      <c r="Y43" s="173">
        <v>0</v>
      </c>
      <c r="Z43" s="187"/>
      <c r="AA43" s="173">
        <v>0</v>
      </c>
      <c r="AB43" s="187"/>
      <c r="AC43" s="173">
        <v>0</v>
      </c>
      <c r="AD43" s="187"/>
      <c r="AE43" s="173">
        <v>0</v>
      </c>
      <c r="AF43" s="187"/>
      <c r="AG43" s="173">
        <v>0</v>
      </c>
      <c r="AH43" s="187"/>
      <c r="AI43" s="173"/>
      <c r="AJ43" s="175"/>
      <c r="AK43" s="174"/>
      <c r="AL43" s="196">
        <f>ROUND(centralizator!$R$18*Gantt!AK43,2)</f>
        <v>0</v>
      </c>
      <c r="AM43" s="174"/>
      <c r="AN43" s="196">
        <f>ROUND(centralizator!$S$18*Gantt!AM43,2)</f>
        <v>0</v>
      </c>
      <c r="AO43" s="174">
        <v>0</v>
      </c>
      <c r="AP43" s="196">
        <f>ROUND(centralizator!$T$18*Gantt!AO43,2)</f>
        <v>0</v>
      </c>
      <c r="AQ43" s="174"/>
      <c r="AR43" s="196">
        <f>ROUND(centralizator!$U$18*Gantt!AQ43,2)</f>
        <v>0</v>
      </c>
      <c r="AS43" s="174"/>
      <c r="AT43" s="196">
        <f>ROUND(centralizator!$V$18*Gantt!AS43,2)</f>
        <v>0</v>
      </c>
      <c r="AU43" s="173"/>
      <c r="AV43" s="196">
        <f>ROUND(centralizator!$W$18*Gantt!AU43,2)</f>
        <v>-0.01</v>
      </c>
      <c r="AW43" s="192">
        <f t="shared" si="0"/>
        <v>0</v>
      </c>
      <c r="AX43" s="192">
        <f t="shared" si="1"/>
        <v>0</v>
      </c>
      <c r="AY43" s="200">
        <f t="shared" si="2"/>
        <v>6455.88</v>
      </c>
      <c r="AZ43" s="175">
        <f t="shared" si="3"/>
        <v>40434.214145199992</v>
      </c>
      <c r="BA43" s="187">
        <f t="shared" si="4"/>
        <v>40434.214145199992</v>
      </c>
    </row>
    <row r="44" spans="1:53" ht="14.4">
      <c r="A44" s="252" t="s">
        <v>113</v>
      </c>
      <c r="B44" s="43" t="s">
        <v>114</v>
      </c>
      <c r="C44" s="172">
        <v>1407124.97</v>
      </c>
      <c r="D44" s="165">
        <f t="shared" si="10"/>
        <v>1021441.3493960999</v>
      </c>
      <c r="E44" s="168"/>
      <c r="F44" s="187"/>
      <c r="G44" s="173">
        <v>0</v>
      </c>
      <c r="H44" s="187"/>
      <c r="I44" s="173">
        <v>0</v>
      </c>
      <c r="J44" s="188"/>
      <c r="K44" s="173">
        <v>0</v>
      </c>
      <c r="L44" s="187"/>
      <c r="M44" s="173">
        <v>0</v>
      </c>
      <c r="N44" s="187"/>
      <c r="O44" s="173">
        <v>0</v>
      </c>
      <c r="P44" s="187"/>
      <c r="Q44" s="176">
        <v>2.3377301396833141E-3</v>
      </c>
      <c r="R44" s="187">
        <v>2341.7800000000002</v>
      </c>
      <c r="S44" s="186">
        <v>0.21050431443072334</v>
      </c>
      <c r="T44" s="187">
        <v>210868.99</v>
      </c>
      <c r="U44" s="186">
        <v>6.8113610662025217E-2</v>
      </c>
      <c r="V44" s="187">
        <v>68231.61</v>
      </c>
      <c r="W44" s="176">
        <v>0.25924906890162552</v>
      </c>
      <c r="X44" s="200">
        <v>259698.1893961</v>
      </c>
      <c r="Y44" s="173">
        <v>0.12509624451696127</v>
      </c>
      <c r="Z44" s="187">
        <v>125312.96000000001</v>
      </c>
      <c r="AA44" s="173">
        <v>4.0189965306003529E-2</v>
      </c>
      <c r="AB44" s="187">
        <v>40259.589999999997</v>
      </c>
      <c r="AC44" s="173">
        <v>0</v>
      </c>
      <c r="AD44" s="187">
        <v>0</v>
      </c>
      <c r="AE44" s="173">
        <v>4.6427120121372935E-2</v>
      </c>
      <c r="AF44" s="187">
        <v>46507.55</v>
      </c>
      <c r="AG44" s="173">
        <v>0.12326572568947282</v>
      </c>
      <c r="AH44" s="187">
        <v>123479.27</v>
      </c>
      <c r="AI44" s="173">
        <v>4.7313344834542082E-2</v>
      </c>
      <c r="AJ44" s="175">
        <v>47395.31</v>
      </c>
      <c r="AK44" s="174"/>
      <c r="AL44" s="196">
        <f>ROUND(centralizator!$R$18*Gantt!AK44,2)</f>
        <v>0</v>
      </c>
      <c r="AM44" s="174">
        <v>7.7502874794734347E-2</v>
      </c>
      <c r="AN44" s="196">
        <f>ROUND(centralizator!$S$18*Gantt!AM44,2)</f>
        <v>97346.1</v>
      </c>
      <c r="AO44" s="174"/>
      <c r="AP44" s="196">
        <f>ROUND(centralizator!$T$18*Gantt!AO44,2)</f>
        <v>0</v>
      </c>
      <c r="AQ44" s="174"/>
      <c r="AR44" s="196">
        <f>ROUND(centralizator!$U$18*Gantt!AQ44,2)</f>
        <v>0</v>
      </c>
      <c r="AS44" s="174"/>
      <c r="AT44" s="196">
        <f>ROUND(centralizator!$V$18*Gantt!AS44,2)</f>
        <v>0</v>
      </c>
      <c r="AU44" s="173">
        <v>6.0285567704863262E-10</v>
      </c>
      <c r="AV44" s="196">
        <f>ROUND(centralizator!$W$18*Gantt!AU44,2)</f>
        <v>0</v>
      </c>
      <c r="AW44" s="192">
        <f t="shared" si="0"/>
        <v>267353.74</v>
      </c>
      <c r="AX44" s="192">
        <f t="shared" si="1"/>
        <v>1674478.71</v>
      </c>
      <c r="AY44" s="200">
        <f t="shared" si="2"/>
        <v>194073.86</v>
      </c>
      <c r="AZ44" s="175">
        <f t="shared" si="3"/>
        <v>1215515.2093960999</v>
      </c>
      <c r="BA44" s="187">
        <f t="shared" si="4"/>
        <v>-458963.50060390006</v>
      </c>
    </row>
    <row r="45" spans="1:53" ht="14.4">
      <c r="A45" s="252"/>
      <c r="B45" s="43" t="s">
        <v>115</v>
      </c>
      <c r="C45" s="172">
        <v>0</v>
      </c>
      <c r="D45" s="165">
        <f t="shared" si="10"/>
        <v>445345.67258790002</v>
      </c>
      <c r="E45" s="168"/>
      <c r="F45" s="187"/>
      <c r="G45" s="173">
        <v>0</v>
      </c>
      <c r="H45" s="187"/>
      <c r="I45" s="173">
        <v>0</v>
      </c>
      <c r="J45" s="188"/>
      <c r="K45" s="173">
        <v>0</v>
      </c>
      <c r="L45" s="187"/>
      <c r="M45" s="173">
        <v>0</v>
      </c>
      <c r="N45" s="187"/>
      <c r="O45" s="173">
        <v>0</v>
      </c>
      <c r="P45" s="187"/>
      <c r="Q45" s="176">
        <v>5.1188122768949428E-2</v>
      </c>
      <c r="R45" s="187">
        <v>21004.78</v>
      </c>
      <c r="S45" s="186">
        <v>4.6853670376717338E-2</v>
      </c>
      <c r="T45" s="187">
        <v>19226.16</v>
      </c>
      <c r="U45" s="186">
        <v>6.072800240188251E-2</v>
      </c>
      <c r="V45" s="187">
        <v>24919.42</v>
      </c>
      <c r="W45" s="176">
        <v>0.1465380396873556</v>
      </c>
      <c r="X45" s="200">
        <v>60131.122587899998</v>
      </c>
      <c r="Y45" s="173">
        <v>0.10018781765968524</v>
      </c>
      <c r="Z45" s="187">
        <v>41111.550000000003</v>
      </c>
      <c r="AA45" s="173">
        <v>2.5676358028662725E-2</v>
      </c>
      <c r="AB45" s="187">
        <v>10536.16</v>
      </c>
      <c r="AC45" s="173">
        <v>0</v>
      </c>
      <c r="AD45" s="187">
        <v>0</v>
      </c>
      <c r="AE45" s="173">
        <v>2.6329418576767634E-2</v>
      </c>
      <c r="AF45" s="187">
        <v>10804.14</v>
      </c>
      <c r="AG45" s="173">
        <v>0.19895207640013959</v>
      </c>
      <c r="AH45" s="187">
        <v>81638.95</v>
      </c>
      <c r="AI45" s="173">
        <v>2.672569507399631E-2</v>
      </c>
      <c r="AJ45" s="175">
        <v>10966.75</v>
      </c>
      <c r="AK45" s="174"/>
      <c r="AL45" s="196">
        <f>ROUND(centralizator!$R$18*Gantt!AK45,2)</f>
        <v>0</v>
      </c>
      <c r="AM45" s="173">
        <v>0.24491354587654091</v>
      </c>
      <c r="AN45" s="196">
        <f>ROUND(centralizator!$S$18*Gantt!AM45,2)</f>
        <v>126011.68</v>
      </c>
      <c r="AO45" s="174"/>
      <c r="AP45" s="196">
        <f>ROUND(centralizator!$T$18*Gantt!AO45,2)</f>
        <v>0</v>
      </c>
      <c r="AQ45" s="174"/>
      <c r="AR45" s="196">
        <f>ROUND(centralizator!$U$18*Gantt!AQ45,2)</f>
        <v>0</v>
      </c>
      <c r="AS45" s="174"/>
      <c r="AT45" s="196">
        <f>ROUND(centralizator!$V$18*Gantt!AS45,2)</f>
        <v>0</v>
      </c>
      <c r="AU45" s="173">
        <v>2.945573858513249E-2</v>
      </c>
      <c r="AV45" s="196">
        <f>ROUND(centralizator!$W$18*Gantt!AU45,2)</f>
        <v>38994.959999999999</v>
      </c>
      <c r="AW45" s="192">
        <f t="shared" si="0"/>
        <v>0</v>
      </c>
      <c r="AX45" s="192">
        <f t="shared" si="1"/>
        <v>0</v>
      </c>
      <c r="AY45" s="200">
        <f t="shared" si="2"/>
        <v>84615.679999999993</v>
      </c>
      <c r="AZ45" s="175">
        <f t="shared" si="3"/>
        <v>529961.35258790001</v>
      </c>
      <c r="BA45" s="187">
        <f t="shared" si="4"/>
        <v>529961.35258790001</v>
      </c>
    </row>
    <row r="46" spans="1:53" ht="14.4">
      <c r="A46" s="250">
        <v>24.1</v>
      </c>
      <c r="B46" s="219" t="s">
        <v>116</v>
      </c>
      <c r="C46" s="220">
        <f>SUM(C47:C55)</f>
        <v>1529735.92</v>
      </c>
      <c r="D46" s="220">
        <f>SUM(D47:D55)</f>
        <v>1989462.0932772998</v>
      </c>
      <c r="E46" s="221">
        <v>1.0905168517360013E-3</v>
      </c>
      <c r="F46" s="233">
        <v>1669</v>
      </c>
      <c r="G46" s="221">
        <v>7.1873489329514766E-4</v>
      </c>
      <c r="H46" s="233">
        <v>1100</v>
      </c>
      <c r="I46" s="221">
        <v>7.2111978635017247E-4</v>
      </c>
      <c r="J46" s="233">
        <v>1103.6500000000001</v>
      </c>
      <c r="K46" s="221">
        <v>0</v>
      </c>
      <c r="L46" s="233">
        <v>0</v>
      </c>
      <c r="M46" s="221">
        <v>0</v>
      </c>
      <c r="N46" s="233">
        <v>0</v>
      </c>
      <c r="O46" s="221">
        <v>0</v>
      </c>
      <c r="P46" s="233">
        <v>0</v>
      </c>
      <c r="Q46" s="224">
        <v>0</v>
      </c>
      <c r="R46" s="233">
        <v>0</v>
      </c>
      <c r="S46" s="225">
        <v>0</v>
      </c>
      <c r="T46" s="233">
        <v>0</v>
      </c>
      <c r="U46" s="225">
        <v>8.827599968754634E-3</v>
      </c>
      <c r="V46" s="233">
        <v>13510.35</v>
      </c>
      <c r="W46" s="224">
        <v>5.7892679598863595E-3</v>
      </c>
      <c r="X46" s="233">
        <v>8860.2832772999991</v>
      </c>
      <c r="Y46" s="221">
        <v>6.9868872372578833E-4</v>
      </c>
      <c r="Z46" s="233">
        <v>1069.32</v>
      </c>
      <c r="AA46" s="221">
        <v>0</v>
      </c>
      <c r="AB46" s="233">
        <v>0</v>
      </c>
      <c r="AC46" s="221">
        <v>0</v>
      </c>
      <c r="AD46" s="233">
        <v>0</v>
      </c>
      <c r="AE46" s="221">
        <v>0</v>
      </c>
      <c r="AF46" s="233">
        <v>0</v>
      </c>
      <c r="AG46" s="221">
        <v>0</v>
      </c>
      <c r="AH46" s="233">
        <v>0</v>
      </c>
      <c r="AI46" s="221">
        <v>0</v>
      </c>
      <c r="AJ46" s="234">
        <v>0</v>
      </c>
      <c r="AK46" s="235"/>
      <c r="AL46" s="220">
        <f>ROUND(centralizator!$R$18*Gantt!AK46,2)</f>
        <v>0</v>
      </c>
      <c r="AM46" s="235"/>
      <c r="AN46" s="220">
        <f>ROUND(centralizator!$S$18*Gantt!AM46,2)</f>
        <v>0</v>
      </c>
      <c r="AO46" s="235"/>
      <c r="AP46" s="220">
        <f>ROUND(centralizator!$T$18*Gantt!AO46,2)</f>
        <v>15165.73</v>
      </c>
      <c r="AQ46" s="235"/>
      <c r="AR46" s="220">
        <f>ROUND(centralizator!$U$18*Gantt!AQ46,2)</f>
        <v>725556.34</v>
      </c>
      <c r="AS46" s="235"/>
      <c r="AT46" s="220">
        <f>ROUND(centralizator!$V$18*Gantt!AS46,2)</f>
        <v>360903.87</v>
      </c>
      <c r="AU46" s="221">
        <v>0.42545332110745676</v>
      </c>
      <c r="AV46" s="220">
        <f>ROUND(centralizator!$W$18*Gantt!AU46,2)</f>
        <v>860523.55</v>
      </c>
      <c r="AW46" s="228">
        <f t="shared" si="0"/>
        <v>290649.82</v>
      </c>
      <c r="AX46" s="228">
        <f t="shared" si="1"/>
        <v>1820385.74</v>
      </c>
      <c r="AY46" s="229">
        <f t="shared" si="2"/>
        <v>377997.8</v>
      </c>
      <c r="AZ46" s="230">
        <f t="shared" si="3"/>
        <v>2367459.8932772996</v>
      </c>
      <c r="BA46" s="251">
        <f t="shared" si="4"/>
        <v>547074.1532772996</v>
      </c>
    </row>
    <row r="47" spans="1:53" ht="14.4">
      <c r="A47" s="252" t="s">
        <v>117</v>
      </c>
      <c r="B47" s="43" t="s">
        <v>118</v>
      </c>
      <c r="C47" s="172">
        <v>6777.14</v>
      </c>
      <c r="D47" s="165">
        <f t="shared" ref="D47:D55" si="11">F47+H47+J47+L47+N47+P47+R47+T47+V47+X47+Z47+AB47+AD47+AF47+AH47+AJ47+AL47+AN47+AP47+AR47+AT47+AV47</f>
        <v>6878.2999999999993</v>
      </c>
      <c r="E47" s="166">
        <v>0.24264716572408879</v>
      </c>
      <c r="F47" s="187">
        <v>1669</v>
      </c>
      <c r="G47" s="173">
        <v>0.15992323684631377</v>
      </c>
      <c r="H47" s="187">
        <v>1100</v>
      </c>
      <c r="I47" s="173">
        <v>0.16045389122312201</v>
      </c>
      <c r="J47" s="188">
        <v>1103.6500000000001</v>
      </c>
      <c r="K47" s="173">
        <v>0</v>
      </c>
      <c r="L47" s="187"/>
      <c r="M47" s="173">
        <v>0</v>
      </c>
      <c r="N47" s="187"/>
      <c r="O47" s="173">
        <v>0</v>
      </c>
      <c r="P47" s="187"/>
      <c r="Q47" s="176">
        <v>0</v>
      </c>
      <c r="R47" s="187"/>
      <c r="S47" s="186">
        <v>0</v>
      </c>
      <c r="T47" s="187"/>
      <c r="U47" s="186">
        <v>0.28151287382056611</v>
      </c>
      <c r="V47" s="187">
        <v>1936.33</v>
      </c>
      <c r="W47" s="176">
        <v>0</v>
      </c>
      <c r="X47" s="200">
        <v>0</v>
      </c>
      <c r="Y47" s="173">
        <v>0.1554628323859093</v>
      </c>
      <c r="Z47" s="187">
        <v>1069.32</v>
      </c>
      <c r="AA47" s="173">
        <v>0</v>
      </c>
      <c r="AB47" s="187"/>
      <c r="AC47" s="173">
        <v>0</v>
      </c>
      <c r="AD47" s="187"/>
      <c r="AE47" s="173">
        <v>0</v>
      </c>
      <c r="AF47" s="187"/>
      <c r="AG47" s="173">
        <v>0</v>
      </c>
      <c r="AH47" s="187"/>
      <c r="AI47" s="173">
        <v>0</v>
      </c>
      <c r="AJ47" s="175"/>
      <c r="AK47" s="174"/>
      <c r="AL47" s="196">
        <f>ROUND(centralizator!$R$18*Gantt!AK47,2)</f>
        <v>0</v>
      </c>
      <c r="AM47" s="174"/>
      <c r="AN47" s="196">
        <f>ROUND(centralizator!$S$18*Gantt!AM47,2)</f>
        <v>0</v>
      </c>
      <c r="AO47" s="174"/>
      <c r="AP47" s="196">
        <f>ROUND(centralizator!$T$18*Gantt!AO47,2)</f>
        <v>0</v>
      </c>
      <c r="AQ47" s="174"/>
      <c r="AR47" s="196">
        <f>ROUND(centralizator!$U$18*Gantt!AQ47,2)</f>
        <v>0</v>
      </c>
      <c r="AS47" s="174"/>
      <c r="AT47" s="196">
        <f>ROUND(centralizator!$V$18*Gantt!AS47,2)</f>
        <v>0</v>
      </c>
      <c r="AU47" s="173">
        <v>0</v>
      </c>
      <c r="AV47" s="196">
        <f>ROUND(centralizator!$W$18*Gantt!AU47,2)</f>
        <v>0</v>
      </c>
      <c r="AW47" s="192">
        <f t="shared" si="0"/>
        <v>1287.6600000000001</v>
      </c>
      <c r="AX47" s="192">
        <f t="shared" si="1"/>
        <v>8064.8</v>
      </c>
      <c r="AY47" s="200">
        <f t="shared" si="2"/>
        <v>1306.8800000000001</v>
      </c>
      <c r="AZ47" s="175">
        <f t="shared" si="3"/>
        <v>8185.1799999999994</v>
      </c>
      <c r="BA47" s="187">
        <f t="shared" si="4"/>
        <v>120.3799999999992</v>
      </c>
    </row>
    <row r="48" spans="1:53" ht="14.4">
      <c r="A48" s="252" t="s">
        <v>119</v>
      </c>
      <c r="B48" s="43" t="s">
        <v>120</v>
      </c>
      <c r="C48" s="172">
        <v>17708.310000000001</v>
      </c>
      <c r="D48" s="165">
        <f t="shared" si="11"/>
        <v>23402.59</v>
      </c>
      <c r="E48" s="168"/>
      <c r="F48" s="187"/>
      <c r="G48" s="173">
        <v>0</v>
      </c>
      <c r="H48" s="187"/>
      <c r="I48" s="173">
        <v>0</v>
      </c>
      <c r="J48" s="188"/>
      <c r="K48" s="173">
        <v>0</v>
      </c>
      <c r="L48" s="187"/>
      <c r="M48" s="173">
        <v>0</v>
      </c>
      <c r="N48" s="187"/>
      <c r="O48" s="173">
        <v>0</v>
      </c>
      <c r="P48" s="187"/>
      <c r="Q48" s="176">
        <v>0</v>
      </c>
      <c r="R48" s="187"/>
      <c r="S48" s="186">
        <v>0</v>
      </c>
      <c r="T48" s="187"/>
      <c r="U48" s="186">
        <v>0</v>
      </c>
      <c r="V48" s="187"/>
      <c r="W48" s="176">
        <v>0</v>
      </c>
      <c r="X48" s="200">
        <v>0</v>
      </c>
      <c r="Y48" s="173">
        <v>0</v>
      </c>
      <c r="Z48" s="187"/>
      <c r="AA48" s="173">
        <v>0</v>
      </c>
      <c r="AB48" s="187"/>
      <c r="AC48" s="173">
        <v>0</v>
      </c>
      <c r="AD48" s="187"/>
      <c r="AE48" s="173">
        <v>0</v>
      </c>
      <c r="AF48" s="187"/>
      <c r="AG48" s="173">
        <v>0</v>
      </c>
      <c r="AH48" s="187"/>
      <c r="AI48" s="173">
        <v>0</v>
      </c>
      <c r="AJ48" s="175"/>
      <c r="AK48" s="174"/>
      <c r="AL48" s="196">
        <f>ROUND(centralizator!$R$18*Gantt!AK48,2)</f>
        <v>0</v>
      </c>
      <c r="AM48" s="174"/>
      <c r="AN48" s="196">
        <f>ROUND(centralizator!$S$18*Gantt!AM48,2)</f>
        <v>0</v>
      </c>
      <c r="AO48" s="174"/>
      <c r="AP48" s="196">
        <f>ROUND(centralizator!$T$18*Gantt!AO48,2)</f>
        <v>0</v>
      </c>
      <c r="AQ48" s="174"/>
      <c r="AR48" s="196">
        <f>ROUND(centralizator!$U$18*Gantt!AQ48,2)</f>
        <v>0</v>
      </c>
      <c r="AS48" s="174"/>
      <c r="AT48" s="196">
        <f>ROUND(centralizator!$V$18*Gantt!AS48,2)</f>
        <v>0</v>
      </c>
      <c r="AU48" s="173">
        <v>1</v>
      </c>
      <c r="AV48" s="196">
        <f>ROUND(centralizator!$W$18*Gantt!AU48,2)</f>
        <v>23402.59</v>
      </c>
      <c r="AW48" s="192">
        <f t="shared" si="0"/>
        <v>3364.58</v>
      </c>
      <c r="AX48" s="192">
        <f t="shared" si="1"/>
        <v>21072.89</v>
      </c>
      <c r="AY48" s="200">
        <f t="shared" si="2"/>
        <v>4446.49</v>
      </c>
      <c r="AZ48" s="175">
        <f t="shared" si="3"/>
        <v>27849.08</v>
      </c>
      <c r="BA48" s="187">
        <f t="shared" si="4"/>
        <v>6776.1900000000023</v>
      </c>
    </row>
    <row r="49" spans="1:53" ht="14.4">
      <c r="A49" s="252" t="s">
        <v>121</v>
      </c>
      <c r="B49" s="43" t="s">
        <v>122</v>
      </c>
      <c r="C49" s="172">
        <v>9100.36</v>
      </c>
      <c r="D49" s="165">
        <f t="shared" si="11"/>
        <v>12026.67</v>
      </c>
      <c r="E49" s="168"/>
      <c r="F49" s="187"/>
      <c r="G49" s="173">
        <v>0</v>
      </c>
      <c r="H49" s="187"/>
      <c r="I49" s="173">
        <v>0</v>
      </c>
      <c r="J49" s="188"/>
      <c r="K49" s="173">
        <v>0</v>
      </c>
      <c r="L49" s="187"/>
      <c r="M49" s="173">
        <v>0</v>
      </c>
      <c r="N49" s="187"/>
      <c r="O49" s="173">
        <v>0</v>
      </c>
      <c r="P49" s="187"/>
      <c r="Q49" s="176">
        <v>0</v>
      </c>
      <c r="R49" s="187"/>
      <c r="S49" s="186">
        <v>0</v>
      </c>
      <c r="T49" s="187"/>
      <c r="U49" s="186">
        <v>0</v>
      </c>
      <c r="V49" s="187"/>
      <c r="W49" s="176">
        <v>0</v>
      </c>
      <c r="X49" s="200">
        <v>0</v>
      </c>
      <c r="Y49" s="173">
        <v>0</v>
      </c>
      <c r="Z49" s="187"/>
      <c r="AA49" s="173">
        <v>0</v>
      </c>
      <c r="AB49" s="187"/>
      <c r="AC49" s="173">
        <v>0</v>
      </c>
      <c r="AD49" s="187"/>
      <c r="AE49" s="173">
        <v>0</v>
      </c>
      <c r="AF49" s="187"/>
      <c r="AG49" s="173">
        <v>0</v>
      </c>
      <c r="AH49" s="187"/>
      <c r="AI49" s="173">
        <v>0</v>
      </c>
      <c r="AJ49" s="175"/>
      <c r="AK49" s="174"/>
      <c r="AL49" s="196">
        <f>ROUND(centralizator!$R$18*Gantt!AK49,2)</f>
        <v>0</v>
      </c>
      <c r="AM49" s="174"/>
      <c r="AN49" s="196">
        <f>ROUND(centralizator!$S$18*Gantt!AM49,2)</f>
        <v>0</v>
      </c>
      <c r="AO49" s="174"/>
      <c r="AP49" s="196">
        <f>ROUND(centralizator!$T$18*Gantt!AO49,2)</f>
        <v>0</v>
      </c>
      <c r="AQ49" s="174"/>
      <c r="AR49" s="196">
        <f>ROUND(centralizator!$U$18*Gantt!AQ49,2)</f>
        <v>0</v>
      </c>
      <c r="AS49" s="174"/>
      <c r="AT49" s="196">
        <f>ROUND(centralizator!$V$18*Gantt!AS49,2)</f>
        <v>0</v>
      </c>
      <c r="AU49" s="173">
        <v>1</v>
      </c>
      <c r="AV49" s="196">
        <f>ROUND(centralizator!$W$18*Gantt!AU49,2)</f>
        <v>12026.67</v>
      </c>
      <c r="AW49" s="192">
        <f t="shared" si="0"/>
        <v>1729.07</v>
      </c>
      <c r="AX49" s="192">
        <f t="shared" si="1"/>
        <v>10829.43</v>
      </c>
      <c r="AY49" s="200">
        <f t="shared" si="2"/>
        <v>2285.0700000000002</v>
      </c>
      <c r="AZ49" s="175">
        <f t="shared" si="3"/>
        <v>14311.74</v>
      </c>
      <c r="BA49" s="187">
        <f t="shared" si="4"/>
        <v>3482.3099999999995</v>
      </c>
    </row>
    <row r="50" spans="1:53" ht="14.4">
      <c r="A50" s="252" t="s">
        <v>123</v>
      </c>
      <c r="B50" s="43" t="s">
        <v>124</v>
      </c>
      <c r="C50" s="172">
        <v>130525.31</v>
      </c>
      <c r="D50" s="165">
        <f t="shared" si="11"/>
        <v>172497.03</v>
      </c>
      <c r="E50" s="168"/>
      <c r="F50" s="187"/>
      <c r="G50" s="173">
        <v>0</v>
      </c>
      <c r="H50" s="187"/>
      <c r="I50" s="173">
        <v>0</v>
      </c>
      <c r="J50" s="188"/>
      <c r="K50" s="173">
        <v>0</v>
      </c>
      <c r="L50" s="187"/>
      <c r="M50" s="173">
        <v>0</v>
      </c>
      <c r="N50" s="187"/>
      <c r="O50" s="173">
        <v>0</v>
      </c>
      <c r="P50" s="187"/>
      <c r="Q50" s="176">
        <v>0</v>
      </c>
      <c r="R50" s="187"/>
      <c r="S50" s="186">
        <v>0</v>
      </c>
      <c r="T50" s="187"/>
      <c r="U50" s="186">
        <v>0</v>
      </c>
      <c r="V50" s="187"/>
      <c r="W50" s="176">
        <v>0</v>
      </c>
      <c r="X50" s="200">
        <v>0</v>
      </c>
      <c r="Y50" s="173">
        <v>0</v>
      </c>
      <c r="Z50" s="187"/>
      <c r="AA50" s="173">
        <v>0</v>
      </c>
      <c r="AB50" s="187"/>
      <c r="AC50" s="173">
        <v>0</v>
      </c>
      <c r="AD50" s="187"/>
      <c r="AE50" s="173">
        <v>0</v>
      </c>
      <c r="AF50" s="187"/>
      <c r="AG50" s="173">
        <v>0</v>
      </c>
      <c r="AH50" s="187"/>
      <c r="AI50" s="173">
        <v>0</v>
      </c>
      <c r="AJ50" s="175"/>
      <c r="AK50" s="174"/>
      <c r="AL50" s="196">
        <f>ROUND(centralizator!$R$18*Gantt!AK50,2)</f>
        <v>0</v>
      </c>
      <c r="AM50" s="174"/>
      <c r="AN50" s="196">
        <f>ROUND(centralizator!$S$18*Gantt!AM50,2)</f>
        <v>0</v>
      </c>
      <c r="AO50" s="174"/>
      <c r="AP50" s="196">
        <f>ROUND(centralizator!$T$18*Gantt!AO50,2)</f>
        <v>0</v>
      </c>
      <c r="AQ50" s="174"/>
      <c r="AR50" s="196">
        <f>ROUND(centralizator!$U$18*Gantt!AQ50,2)</f>
        <v>0</v>
      </c>
      <c r="AS50" s="174"/>
      <c r="AT50" s="196">
        <f>ROUND(centralizator!$V$18*Gantt!AS50,2)</f>
        <v>0</v>
      </c>
      <c r="AU50" s="173">
        <v>1</v>
      </c>
      <c r="AV50" s="196">
        <f>ROUND(centralizator!$W$18*Gantt!AU50,2)</f>
        <v>172497.03</v>
      </c>
      <c r="AW50" s="192">
        <f t="shared" si="0"/>
        <v>24799.81</v>
      </c>
      <c r="AX50" s="192">
        <f t="shared" si="1"/>
        <v>155325.12</v>
      </c>
      <c r="AY50" s="200">
        <f t="shared" si="2"/>
        <v>32774.44</v>
      </c>
      <c r="AZ50" s="175">
        <f t="shared" si="3"/>
        <v>205271.47</v>
      </c>
      <c r="BA50" s="187">
        <f t="shared" si="4"/>
        <v>49946.350000000006</v>
      </c>
    </row>
    <row r="51" spans="1:53" ht="14.4">
      <c r="A51" s="252" t="s">
        <v>125</v>
      </c>
      <c r="B51" s="43" t="s">
        <v>126</v>
      </c>
      <c r="C51" s="172">
        <v>410646.25</v>
      </c>
      <c r="D51" s="165">
        <f t="shared" si="11"/>
        <v>542693.66</v>
      </c>
      <c r="E51" s="168"/>
      <c r="F51" s="187"/>
      <c r="G51" s="173">
        <v>0</v>
      </c>
      <c r="H51" s="187"/>
      <c r="I51" s="173">
        <v>0</v>
      </c>
      <c r="J51" s="188"/>
      <c r="K51" s="173">
        <v>0</v>
      </c>
      <c r="L51" s="187"/>
      <c r="M51" s="173">
        <v>0</v>
      </c>
      <c r="N51" s="187"/>
      <c r="O51" s="173">
        <v>0</v>
      </c>
      <c r="P51" s="187"/>
      <c r="Q51" s="176">
        <v>0</v>
      </c>
      <c r="R51" s="187"/>
      <c r="S51" s="186">
        <v>0</v>
      </c>
      <c r="T51" s="187"/>
      <c r="U51" s="186">
        <v>0</v>
      </c>
      <c r="V51" s="187"/>
      <c r="W51" s="176">
        <v>0</v>
      </c>
      <c r="X51" s="200">
        <v>0</v>
      </c>
      <c r="Y51" s="173">
        <v>0</v>
      </c>
      <c r="Z51" s="187"/>
      <c r="AA51" s="173">
        <v>0</v>
      </c>
      <c r="AB51" s="187"/>
      <c r="AC51" s="173">
        <v>0</v>
      </c>
      <c r="AD51" s="187"/>
      <c r="AE51" s="173">
        <v>0</v>
      </c>
      <c r="AF51" s="187"/>
      <c r="AG51" s="173">
        <v>0</v>
      </c>
      <c r="AH51" s="187"/>
      <c r="AI51" s="173">
        <v>0</v>
      </c>
      <c r="AJ51" s="175"/>
      <c r="AK51" s="174"/>
      <c r="AL51" s="196">
        <f>ROUND(centralizator!$R$18*Gantt!AK51,2)</f>
        <v>0</v>
      </c>
      <c r="AM51" s="174"/>
      <c r="AN51" s="196">
        <f>ROUND(centralizator!$S$18*Gantt!AM51,2)</f>
        <v>0</v>
      </c>
      <c r="AO51" s="174"/>
      <c r="AP51" s="196">
        <f>ROUND(centralizator!$T$18*Gantt!AO51,2)</f>
        <v>0</v>
      </c>
      <c r="AQ51" s="174"/>
      <c r="AR51" s="196">
        <f>ROUND(centralizator!$U$18*Gantt!AQ51,2)</f>
        <v>0</v>
      </c>
      <c r="AS51" s="174"/>
      <c r="AT51" s="196">
        <f>ROUND(centralizator!$V$18*Gantt!AS51,2)</f>
        <v>0</v>
      </c>
      <c r="AU51" s="173">
        <v>1</v>
      </c>
      <c r="AV51" s="196">
        <f>ROUND(centralizator!$W$18*Gantt!AU51,2)</f>
        <v>542693.66</v>
      </c>
      <c r="AW51" s="192">
        <f t="shared" si="0"/>
        <v>78022.789999999994</v>
      </c>
      <c r="AX51" s="192">
        <f t="shared" si="1"/>
        <v>488669.04</v>
      </c>
      <c r="AY51" s="200">
        <f t="shared" si="2"/>
        <v>103111.8</v>
      </c>
      <c r="AZ51" s="175">
        <f t="shared" si="3"/>
        <v>645805.46000000008</v>
      </c>
      <c r="BA51" s="187">
        <f t="shared" si="4"/>
        <v>157136.4200000001</v>
      </c>
    </row>
    <row r="52" spans="1:53" ht="14.4">
      <c r="A52" s="252" t="s">
        <v>127</v>
      </c>
      <c r="B52" s="43" t="s">
        <v>128</v>
      </c>
      <c r="C52" s="172">
        <v>81527.53</v>
      </c>
      <c r="D52" s="165">
        <f t="shared" si="11"/>
        <v>107743.52</v>
      </c>
      <c r="E52" s="168"/>
      <c r="F52" s="187"/>
      <c r="G52" s="173">
        <v>0</v>
      </c>
      <c r="H52" s="187"/>
      <c r="I52" s="173">
        <v>0</v>
      </c>
      <c r="J52" s="188"/>
      <c r="K52" s="173">
        <v>0</v>
      </c>
      <c r="L52" s="187"/>
      <c r="M52" s="173">
        <v>0</v>
      </c>
      <c r="N52" s="187"/>
      <c r="O52" s="173">
        <v>0</v>
      </c>
      <c r="P52" s="187"/>
      <c r="Q52" s="176">
        <v>0</v>
      </c>
      <c r="R52" s="187"/>
      <c r="S52" s="186">
        <v>0</v>
      </c>
      <c r="T52" s="187"/>
      <c r="U52" s="186">
        <v>0</v>
      </c>
      <c r="V52" s="187"/>
      <c r="W52" s="176">
        <v>0</v>
      </c>
      <c r="X52" s="200">
        <v>0</v>
      </c>
      <c r="Y52" s="173">
        <v>0</v>
      </c>
      <c r="Z52" s="187"/>
      <c r="AA52" s="173">
        <v>0</v>
      </c>
      <c r="AB52" s="187"/>
      <c r="AC52" s="173">
        <v>0</v>
      </c>
      <c r="AD52" s="187"/>
      <c r="AE52" s="173">
        <v>0</v>
      </c>
      <c r="AF52" s="187"/>
      <c r="AG52" s="173">
        <v>0</v>
      </c>
      <c r="AH52" s="187"/>
      <c r="AI52" s="173">
        <v>0</v>
      </c>
      <c r="AJ52" s="175"/>
      <c r="AK52" s="174"/>
      <c r="AL52" s="196">
        <f>ROUND(centralizator!$R$18*Gantt!AK52,2)</f>
        <v>0</v>
      </c>
      <c r="AM52" s="174"/>
      <c r="AN52" s="196">
        <f>ROUND(centralizator!$S$18*Gantt!AM52,2)</f>
        <v>0</v>
      </c>
      <c r="AO52" s="174"/>
      <c r="AP52" s="196">
        <f>ROUND(centralizator!$T$18*Gantt!AO52,2)</f>
        <v>0</v>
      </c>
      <c r="AQ52" s="174"/>
      <c r="AR52" s="196">
        <f>ROUND(centralizator!$U$18*Gantt!AQ52,2)</f>
        <v>0</v>
      </c>
      <c r="AS52" s="174"/>
      <c r="AT52" s="196">
        <f>ROUND(centralizator!$V$18*Gantt!AS52,2)</f>
        <v>0</v>
      </c>
      <c r="AU52" s="173">
        <v>1</v>
      </c>
      <c r="AV52" s="196">
        <f>ROUND(centralizator!$W$18*Gantt!AU52,2)</f>
        <v>107743.52</v>
      </c>
      <c r="AW52" s="192">
        <f t="shared" si="0"/>
        <v>15490.23</v>
      </c>
      <c r="AX52" s="192">
        <f t="shared" si="1"/>
        <v>97017.76</v>
      </c>
      <c r="AY52" s="200">
        <f t="shared" si="2"/>
        <v>20471.27</v>
      </c>
      <c r="AZ52" s="175">
        <f t="shared" si="3"/>
        <v>128214.79000000001</v>
      </c>
      <c r="BA52" s="187">
        <f t="shared" si="4"/>
        <v>31197.030000000013</v>
      </c>
    </row>
    <row r="53" spans="1:53" ht="14.4">
      <c r="A53" s="252" t="s">
        <v>129</v>
      </c>
      <c r="B53" s="43" t="s">
        <v>130</v>
      </c>
      <c r="C53" s="172">
        <v>31738.53</v>
      </c>
      <c r="D53" s="165">
        <f t="shared" si="11"/>
        <v>35600.033277299997</v>
      </c>
      <c r="E53" s="168"/>
      <c r="F53" s="187"/>
      <c r="G53" s="173">
        <v>0</v>
      </c>
      <c r="H53" s="187"/>
      <c r="I53" s="173">
        <v>0</v>
      </c>
      <c r="J53" s="188"/>
      <c r="K53" s="173">
        <v>0</v>
      </c>
      <c r="L53" s="187"/>
      <c r="M53" s="173">
        <v>0</v>
      </c>
      <c r="N53" s="187"/>
      <c r="O53" s="173">
        <v>0</v>
      </c>
      <c r="P53" s="187"/>
      <c r="Q53" s="176">
        <v>0</v>
      </c>
      <c r="R53" s="187"/>
      <c r="S53" s="186">
        <v>0</v>
      </c>
      <c r="T53" s="187"/>
      <c r="U53" s="186">
        <v>0.35757158216037865</v>
      </c>
      <c r="V53" s="187">
        <v>11574.02</v>
      </c>
      <c r="W53" s="176">
        <v>0.27373250692959794</v>
      </c>
      <c r="X53" s="200">
        <v>8860.2832772999991</v>
      </c>
      <c r="Y53" s="173">
        <v>0</v>
      </c>
      <c r="Z53" s="187"/>
      <c r="AA53" s="173">
        <v>0</v>
      </c>
      <c r="AB53" s="187"/>
      <c r="AC53" s="173">
        <v>0</v>
      </c>
      <c r="AD53" s="218"/>
      <c r="AE53" s="173">
        <v>0</v>
      </c>
      <c r="AF53" s="187"/>
      <c r="AG53" s="173">
        <v>0</v>
      </c>
      <c r="AH53" s="187"/>
      <c r="AI53" s="173">
        <v>0</v>
      </c>
      <c r="AJ53" s="175"/>
      <c r="AK53" s="174"/>
      <c r="AL53" s="196">
        <f>ROUND(centralizator!$R$18*Gantt!AK53,2)</f>
        <v>0</v>
      </c>
      <c r="AM53" s="174"/>
      <c r="AN53" s="196">
        <f>ROUND(centralizator!$S$18*Gantt!AM53,2)</f>
        <v>0</v>
      </c>
      <c r="AO53" s="173">
        <v>0.36869601216000791</v>
      </c>
      <c r="AP53" s="196">
        <f>ROUND(centralizator!$T$18*Gantt!AO53,2)</f>
        <v>15165.73</v>
      </c>
      <c r="AQ53" s="174"/>
      <c r="AR53" s="196">
        <f>ROUND(centralizator!$U$18*Gantt!AQ53,2)</f>
        <v>0</v>
      </c>
      <c r="AS53" s="174"/>
      <c r="AT53" s="196">
        <f>ROUND(centralizator!$V$18*Gantt!AS53,2)</f>
        <v>0</v>
      </c>
      <c r="AU53" s="173">
        <v>-1.0124998450477951E-7</v>
      </c>
      <c r="AV53" s="196">
        <f>ROUND(centralizator!$W$18*Gantt!AU53,2)</f>
        <v>0</v>
      </c>
      <c r="AW53" s="192">
        <f t="shared" si="0"/>
        <v>6030.32</v>
      </c>
      <c r="AX53" s="192">
        <f t="shared" si="1"/>
        <v>37768.85</v>
      </c>
      <c r="AY53" s="200">
        <f t="shared" si="2"/>
        <v>6764.01</v>
      </c>
      <c r="AZ53" s="175">
        <f t="shared" si="3"/>
        <v>42364.043277299999</v>
      </c>
      <c r="BA53" s="187">
        <f t="shared" si="4"/>
        <v>4595.1932773000008</v>
      </c>
    </row>
    <row r="54" spans="1:53" ht="14.4">
      <c r="A54" s="252" t="s">
        <v>131</v>
      </c>
      <c r="B54" s="43" t="s">
        <v>132</v>
      </c>
      <c r="C54" s="172">
        <v>837308.58</v>
      </c>
      <c r="D54" s="165">
        <f t="shared" si="11"/>
        <v>1082864.3099999998</v>
      </c>
      <c r="E54" s="168"/>
      <c r="F54" s="187"/>
      <c r="G54" s="173">
        <v>0</v>
      </c>
      <c r="H54" s="187"/>
      <c r="I54" s="173">
        <v>0</v>
      </c>
      <c r="J54" s="188"/>
      <c r="K54" s="173">
        <v>0</v>
      </c>
      <c r="L54" s="187"/>
      <c r="M54" s="173">
        <v>0</v>
      </c>
      <c r="N54" s="187"/>
      <c r="O54" s="173">
        <v>0</v>
      </c>
      <c r="P54" s="187"/>
      <c r="Q54" s="176">
        <v>0</v>
      </c>
      <c r="R54" s="187"/>
      <c r="S54" s="186">
        <v>0</v>
      </c>
      <c r="T54" s="187"/>
      <c r="U54" s="186">
        <v>0</v>
      </c>
      <c r="V54" s="187"/>
      <c r="W54" s="176">
        <v>0</v>
      </c>
      <c r="X54" s="200">
        <v>0</v>
      </c>
      <c r="Y54" s="173">
        <v>0</v>
      </c>
      <c r="Z54" s="187"/>
      <c r="AA54" s="173">
        <v>0</v>
      </c>
      <c r="AB54" s="187"/>
      <c r="AC54" s="173">
        <v>0</v>
      </c>
      <c r="AD54" s="187"/>
      <c r="AE54" s="173">
        <v>0</v>
      </c>
      <c r="AF54" s="187"/>
      <c r="AG54" s="173">
        <v>0</v>
      </c>
      <c r="AH54" s="187"/>
      <c r="AI54" s="173">
        <v>0</v>
      </c>
      <c r="AJ54" s="175"/>
      <c r="AK54" s="174"/>
      <c r="AL54" s="196">
        <f>ROUND(centralizator!$R$18*Gantt!AK54,2)</f>
        <v>0</v>
      </c>
      <c r="AM54" s="174"/>
      <c r="AN54" s="196">
        <f>ROUND(centralizator!$S$18*Gantt!AM54,2)</f>
        <v>0</v>
      </c>
      <c r="AO54" s="174"/>
      <c r="AP54" s="196">
        <f>ROUND(centralizator!$T$18*Gantt!AO54,2)</f>
        <v>0</v>
      </c>
      <c r="AQ54" s="173">
        <v>0.67292634216169145</v>
      </c>
      <c r="AR54" s="196">
        <f>ROUND(centralizator!$U$18*Gantt!AQ54,2)</f>
        <v>725556.34</v>
      </c>
      <c r="AS54" s="173">
        <v>0.32585955347549406</v>
      </c>
      <c r="AT54" s="196">
        <f>ROUND(centralizator!$V$18*Gantt!AS54,2)</f>
        <v>355964.5</v>
      </c>
      <c r="AU54" s="173">
        <v>1.2141043628144336E-3</v>
      </c>
      <c r="AV54" s="196">
        <f>ROUND(centralizator!$W$18*Gantt!AU54,2)</f>
        <v>1343.47</v>
      </c>
      <c r="AW54" s="192">
        <f t="shared" si="0"/>
        <v>159088.63</v>
      </c>
      <c r="AX54" s="192">
        <f t="shared" si="1"/>
        <v>996397.21</v>
      </c>
      <c r="AY54" s="200">
        <f t="shared" si="2"/>
        <v>205744.22</v>
      </c>
      <c r="AZ54" s="175">
        <f t="shared" si="3"/>
        <v>1288608.5299999998</v>
      </c>
      <c r="BA54" s="187">
        <f t="shared" si="4"/>
        <v>292211.31999999983</v>
      </c>
    </row>
    <row r="55" spans="1:53" ht="14.4">
      <c r="A55" s="252" t="s">
        <v>133</v>
      </c>
      <c r="B55" s="43" t="s">
        <v>134</v>
      </c>
      <c r="C55" s="172">
        <v>4403.91</v>
      </c>
      <c r="D55" s="165">
        <f t="shared" si="11"/>
        <v>5755.98</v>
      </c>
      <c r="E55" s="168"/>
      <c r="F55" s="187"/>
      <c r="G55" s="173">
        <v>0</v>
      </c>
      <c r="H55" s="187"/>
      <c r="I55" s="173">
        <v>0</v>
      </c>
      <c r="J55" s="188"/>
      <c r="K55" s="173">
        <v>0</v>
      </c>
      <c r="L55" s="187"/>
      <c r="M55" s="173">
        <v>0</v>
      </c>
      <c r="N55" s="187"/>
      <c r="O55" s="173">
        <v>0</v>
      </c>
      <c r="P55" s="187"/>
      <c r="Q55" s="176">
        <v>0</v>
      </c>
      <c r="R55" s="187"/>
      <c r="S55" s="186">
        <v>0</v>
      </c>
      <c r="T55" s="187"/>
      <c r="U55" s="186">
        <v>0</v>
      </c>
      <c r="V55" s="187"/>
      <c r="W55" s="176">
        <v>0</v>
      </c>
      <c r="X55" s="200">
        <v>0</v>
      </c>
      <c r="Y55" s="173">
        <v>0</v>
      </c>
      <c r="Z55" s="187"/>
      <c r="AA55" s="173">
        <v>0</v>
      </c>
      <c r="AB55" s="187"/>
      <c r="AC55" s="173">
        <v>0</v>
      </c>
      <c r="AD55" s="187"/>
      <c r="AE55" s="173">
        <v>0</v>
      </c>
      <c r="AF55" s="187"/>
      <c r="AG55" s="173">
        <v>0</v>
      </c>
      <c r="AH55" s="187"/>
      <c r="AI55" s="173">
        <v>0</v>
      </c>
      <c r="AJ55" s="175"/>
      <c r="AK55" s="174"/>
      <c r="AL55" s="196">
        <f>ROUND(centralizator!$R$18*Gantt!AK55,2)</f>
        <v>0</v>
      </c>
      <c r="AM55" s="174"/>
      <c r="AN55" s="196">
        <f>ROUND(centralizator!$S$18*Gantt!AM55,2)</f>
        <v>0</v>
      </c>
      <c r="AO55" s="174"/>
      <c r="AP55" s="196">
        <f>ROUND(centralizator!$T$18*Gantt!AO55,2)</f>
        <v>0</v>
      </c>
      <c r="AQ55" s="174"/>
      <c r="AR55" s="196">
        <f>ROUND(centralizator!$U$18*Gantt!AQ55,2)</f>
        <v>0</v>
      </c>
      <c r="AS55" s="173">
        <v>0.85969059313201224</v>
      </c>
      <c r="AT55" s="196">
        <f>ROUND(centralizator!$V$18*Gantt!AS55,2)</f>
        <v>4939.37</v>
      </c>
      <c r="AU55" s="173">
        <v>0.14030940686798773</v>
      </c>
      <c r="AV55" s="196">
        <f>ROUND(centralizator!$W$18*Gantt!AU55,2)</f>
        <v>816.61</v>
      </c>
      <c r="AW55" s="192">
        <f t="shared" si="0"/>
        <v>836.74</v>
      </c>
      <c r="AX55" s="192">
        <f t="shared" si="1"/>
        <v>5240.6499999999996</v>
      </c>
      <c r="AY55" s="200">
        <f t="shared" si="2"/>
        <v>1093.6400000000001</v>
      </c>
      <c r="AZ55" s="175">
        <f t="shared" si="3"/>
        <v>6849.62</v>
      </c>
      <c r="BA55" s="187">
        <f t="shared" si="4"/>
        <v>1608.9700000000003</v>
      </c>
    </row>
    <row r="56" spans="1:53" ht="14.4">
      <c r="A56" s="250">
        <v>24.11</v>
      </c>
      <c r="B56" s="219" t="s">
        <v>135</v>
      </c>
      <c r="C56" s="220">
        <f>C57</f>
        <v>21303.45</v>
      </c>
      <c r="D56" s="220">
        <f>D57</f>
        <v>27432.67</v>
      </c>
      <c r="E56" s="221">
        <v>0</v>
      </c>
      <c r="F56" s="233">
        <v>0</v>
      </c>
      <c r="G56" s="221">
        <v>0</v>
      </c>
      <c r="H56" s="233">
        <v>0</v>
      </c>
      <c r="I56" s="221">
        <v>0</v>
      </c>
      <c r="J56" s="236">
        <v>0</v>
      </c>
      <c r="K56" s="221">
        <v>0</v>
      </c>
      <c r="L56" s="233">
        <v>0</v>
      </c>
      <c r="M56" s="221">
        <v>0</v>
      </c>
      <c r="N56" s="233">
        <v>0</v>
      </c>
      <c r="O56" s="221">
        <v>0</v>
      </c>
      <c r="P56" s="233">
        <v>0</v>
      </c>
      <c r="Q56" s="224">
        <v>0</v>
      </c>
      <c r="R56" s="233">
        <v>0</v>
      </c>
      <c r="S56" s="225">
        <v>0</v>
      </c>
      <c r="T56" s="233">
        <v>0</v>
      </c>
      <c r="U56" s="225">
        <v>0</v>
      </c>
      <c r="V56" s="233">
        <v>0</v>
      </c>
      <c r="W56" s="224">
        <v>0</v>
      </c>
      <c r="X56" s="233">
        <v>0</v>
      </c>
      <c r="Y56" s="221">
        <v>0</v>
      </c>
      <c r="Z56" s="233">
        <v>0</v>
      </c>
      <c r="AA56" s="221">
        <v>0</v>
      </c>
      <c r="AB56" s="233">
        <v>0</v>
      </c>
      <c r="AC56" s="221">
        <v>0</v>
      </c>
      <c r="AD56" s="233">
        <v>0</v>
      </c>
      <c r="AE56" s="221">
        <v>0</v>
      </c>
      <c r="AF56" s="233">
        <v>0</v>
      </c>
      <c r="AG56" s="221">
        <v>0</v>
      </c>
      <c r="AH56" s="233">
        <v>0</v>
      </c>
      <c r="AI56" s="221">
        <v>0</v>
      </c>
      <c r="AJ56" s="234">
        <v>0</v>
      </c>
      <c r="AK56" s="235"/>
      <c r="AL56" s="220">
        <f>ROUND(centralizator!$R$18*Gantt!AK56,2)</f>
        <v>0</v>
      </c>
      <c r="AM56" s="235"/>
      <c r="AN56" s="220">
        <f>ROUND(centralizator!$S$18*Gantt!AM56,2)</f>
        <v>0</v>
      </c>
      <c r="AO56" s="235"/>
      <c r="AP56" s="220">
        <f>ROUND(centralizator!$T$18*Gantt!AO56,2)</f>
        <v>0</v>
      </c>
      <c r="AQ56" s="235"/>
      <c r="AR56" s="220">
        <f>ROUND(centralizator!$U$18*Gantt!AQ56,2)</f>
        <v>27432.67</v>
      </c>
      <c r="AS56" s="235"/>
      <c r="AT56" s="220">
        <f>ROUND(centralizator!$V$18*Gantt!AS56,2)</f>
        <v>0</v>
      </c>
      <c r="AU56" s="221">
        <v>0</v>
      </c>
      <c r="AV56" s="220">
        <f>ROUND(centralizator!$W$18*Gantt!AU56,2)</f>
        <v>0</v>
      </c>
      <c r="AW56" s="228">
        <f t="shared" si="0"/>
        <v>4047.66</v>
      </c>
      <c r="AX56" s="228">
        <f t="shared" si="1"/>
        <v>25351.11</v>
      </c>
      <c r="AY56" s="229">
        <f t="shared" si="2"/>
        <v>5212.21</v>
      </c>
      <c r="AZ56" s="230">
        <f t="shared" si="3"/>
        <v>32644.879999999997</v>
      </c>
      <c r="BA56" s="251">
        <f t="shared" si="4"/>
        <v>7293.7699999999968</v>
      </c>
    </row>
    <row r="57" spans="1:53" ht="14.4">
      <c r="A57" s="252" t="s">
        <v>136</v>
      </c>
      <c r="B57" s="43" t="s">
        <v>137</v>
      </c>
      <c r="C57" s="172">
        <v>21303.45</v>
      </c>
      <c r="D57" s="165">
        <f t="shared" ref="D57:D65" si="12">F57+H57+J57+L57+N57+P57+R57+T57+V57+X57+Z57+AB57+AD57+AF57+AH57+AJ57+AL57+AN57+AP57+AR57+AT57+AV57</f>
        <v>27432.67</v>
      </c>
      <c r="E57" s="168"/>
      <c r="F57" s="187"/>
      <c r="G57" s="173">
        <v>0</v>
      </c>
      <c r="H57" s="187"/>
      <c r="I57" s="173">
        <v>0</v>
      </c>
      <c r="J57" s="188"/>
      <c r="K57" s="173">
        <v>0</v>
      </c>
      <c r="L57" s="187"/>
      <c r="M57" s="173">
        <v>0</v>
      </c>
      <c r="N57" s="187"/>
      <c r="O57" s="173">
        <v>0</v>
      </c>
      <c r="P57" s="187"/>
      <c r="Q57" s="176">
        <v>0</v>
      </c>
      <c r="R57" s="187"/>
      <c r="S57" s="186">
        <v>0</v>
      </c>
      <c r="T57" s="187"/>
      <c r="U57" s="186">
        <v>0</v>
      </c>
      <c r="V57" s="187"/>
      <c r="W57" s="176">
        <v>0</v>
      </c>
      <c r="X57" s="200">
        <v>0</v>
      </c>
      <c r="Y57" s="173">
        <v>0</v>
      </c>
      <c r="Z57" s="187"/>
      <c r="AA57" s="173">
        <v>0</v>
      </c>
      <c r="AB57" s="187">
        <v>0</v>
      </c>
      <c r="AC57" s="173">
        <v>0</v>
      </c>
      <c r="AD57" s="187"/>
      <c r="AE57" s="173">
        <v>0</v>
      </c>
      <c r="AF57" s="187">
        <v>0</v>
      </c>
      <c r="AG57" s="173">
        <v>0</v>
      </c>
      <c r="AH57" s="187"/>
      <c r="AI57" s="173">
        <v>0</v>
      </c>
      <c r="AJ57" s="175"/>
      <c r="AK57" s="174"/>
      <c r="AL57" s="196">
        <f>ROUND(centralizator!$R$18*Gantt!AK57,2)</f>
        <v>0</v>
      </c>
      <c r="AM57" s="174"/>
      <c r="AN57" s="196">
        <f>ROUND(centralizator!$S$18*Gantt!AM57,2)</f>
        <v>0</v>
      </c>
      <c r="AO57" s="174"/>
      <c r="AP57" s="196">
        <f>ROUND(centralizator!$T$18*Gantt!AO57,2)</f>
        <v>0</v>
      </c>
      <c r="AQ57" s="173">
        <v>1</v>
      </c>
      <c r="AR57" s="196">
        <f>ROUND(centralizator!$U$18*Gantt!AQ57,2)</f>
        <v>27432.67</v>
      </c>
      <c r="AS57" s="174"/>
      <c r="AT57" s="196">
        <f>ROUND(centralizator!$V$18*Gantt!AS57,2)</f>
        <v>0</v>
      </c>
      <c r="AU57" s="173">
        <v>0</v>
      </c>
      <c r="AV57" s="196">
        <f>ROUND(centralizator!$W$18*Gantt!AU57,2)</f>
        <v>0</v>
      </c>
      <c r="AW57" s="192">
        <f t="shared" si="0"/>
        <v>4047.66</v>
      </c>
      <c r="AX57" s="192">
        <f t="shared" si="1"/>
        <v>25351.11</v>
      </c>
      <c r="AY57" s="200">
        <f t="shared" si="2"/>
        <v>5212.21</v>
      </c>
      <c r="AZ57" s="175">
        <f t="shared" si="3"/>
        <v>32644.879999999997</v>
      </c>
      <c r="BA57" s="187">
        <f t="shared" si="4"/>
        <v>7293.7699999999968</v>
      </c>
    </row>
    <row r="58" spans="1:53" ht="18" customHeight="1">
      <c r="A58" s="250">
        <v>24.12</v>
      </c>
      <c r="B58" s="219" t="s">
        <v>138</v>
      </c>
      <c r="C58" s="254">
        <v>727172.69</v>
      </c>
      <c r="D58" s="255">
        <f t="shared" si="12"/>
        <v>861093.29999999993</v>
      </c>
      <c r="E58" s="221"/>
      <c r="F58" s="251"/>
      <c r="G58" s="221">
        <v>0</v>
      </c>
      <c r="H58" s="251"/>
      <c r="I58" s="221">
        <v>0</v>
      </c>
      <c r="J58" s="256"/>
      <c r="K58" s="221">
        <v>0</v>
      </c>
      <c r="L58" s="251"/>
      <c r="M58" s="221">
        <v>0</v>
      </c>
      <c r="N58" s="251"/>
      <c r="O58" s="221">
        <v>0</v>
      </c>
      <c r="P58" s="251"/>
      <c r="Q58" s="224">
        <v>1.1763960357083238E-2</v>
      </c>
      <c r="R58" s="251">
        <v>8706.5300000000007</v>
      </c>
      <c r="S58" s="225">
        <v>0.10749366354189448</v>
      </c>
      <c r="T58" s="251">
        <v>79556.27</v>
      </c>
      <c r="U58" s="225">
        <v>6.724601928153276E-2</v>
      </c>
      <c r="V58" s="251">
        <v>49768.909999999996</v>
      </c>
      <c r="W58" s="224">
        <v>0</v>
      </c>
      <c r="X58" s="229">
        <v>0</v>
      </c>
      <c r="Y58" s="221">
        <v>5.2054571670835353E-2</v>
      </c>
      <c r="Z58" s="251">
        <v>38525.69</v>
      </c>
      <c r="AA58" s="221">
        <v>4.0347481857060372E-2</v>
      </c>
      <c r="AB58" s="251">
        <v>29861.25</v>
      </c>
      <c r="AC58" s="221">
        <v>7.7864542851157209E-3</v>
      </c>
      <c r="AD58" s="251">
        <v>5762.77</v>
      </c>
      <c r="AE58" s="221">
        <v>1.3724487552019018E-2</v>
      </c>
      <c r="AF58" s="251">
        <v>10157.52</v>
      </c>
      <c r="AG58" s="221">
        <v>6.7073543043630682E-2</v>
      </c>
      <c r="AH58" s="230">
        <v>49641.26</v>
      </c>
      <c r="AI58" s="239">
        <v>7.6258953242860665E-3</v>
      </c>
      <c r="AJ58" s="231">
        <v>5643.94</v>
      </c>
      <c r="AK58" s="239">
        <v>0.12742189099758486</v>
      </c>
      <c r="AL58" s="220">
        <f>ROUND(centralizator!$R$18*Gantt!AK58,2)</f>
        <v>116649.86</v>
      </c>
      <c r="AM58" s="231">
        <v>0.27218866265654346</v>
      </c>
      <c r="AN58" s="220">
        <f>ROUND(centralizator!$S$18*Gantt!AM58,2)</f>
        <v>252586.79</v>
      </c>
      <c r="AO58" s="231">
        <v>0.16247331870967238</v>
      </c>
      <c r="AP58" s="220">
        <f>ROUND(centralizator!$T$18*Gantt!AO58,2)</f>
        <v>152808.46</v>
      </c>
      <c r="AQ58" s="231"/>
      <c r="AR58" s="220">
        <f>ROUND(centralizator!$U$18*Gantt!AQ58,2)</f>
        <v>0</v>
      </c>
      <c r="AS58" s="231"/>
      <c r="AT58" s="220">
        <f>ROUND(centralizator!$V$18*Gantt!AS58,2)</f>
        <v>0</v>
      </c>
      <c r="AU58" s="221">
        <v>6.2800050722741571E-2</v>
      </c>
      <c r="AV58" s="220">
        <f>ROUND(centralizator!$W$18*Gantt!AU58,2)</f>
        <v>61424.05</v>
      </c>
      <c r="AW58" s="228">
        <f t="shared" si="0"/>
        <v>138162.81</v>
      </c>
      <c r="AX58" s="228">
        <f t="shared" si="1"/>
        <v>865335.5</v>
      </c>
      <c r="AY58" s="229">
        <f t="shared" si="2"/>
        <v>163607.73000000001</v>
      </c>
      <c r="AZ58" s="230">
        <f t="shared" si="3"/>
        <v>1024701.0299999999</v>
      </c>
      <c r="BA58" s="251">
        <f t="shared" si="4"/>
        <v>159365.52999999991</v>
      </c>
    </row>
    <row r="59" spans="1:53" s="93" customFormat="1" ht="14.4">
      <c r="A59" s="252"/>
      <c r="B59" s="112" t="s">
        <v>139</v>
      </c>
      <c r="C59" s="185">
        <v>0</v>
      </c>
      <c r="D59" s="165">
        <f t="shared" si="12"/>
        <v>14355.890000000001</v>
      </c>
      <c r="E59" s="168"/>
      <c r="F59" s="187"/>
      <c r="G59" s="173">
        <v>0</v>
      </c>
      <c r="H59" s="187"/>
      <c r="I59" s="173">
        <v>0</v>
      </c>
      <c r="J59" s="188"/>
      <c r="K59" s="173">
        <v>0</v>
      </c>
      <c r="L59" s="187"/>
      <c r="M59" s="173">
        <v>0</v>
      </c>
      <c r="N59" s="187"/>
      <c r="O59" s="173">
        <v>0</v>
      </c>
      <c r="P59" s="187"/>
      <c r="Q59" s="176">
        <v>0</v>
      </c>
      <c r="R59" s="187"/>
      <c r="S59" s="186">
        <v>0</v>
      </c>
      <c r="T59" s="187"/>
      <c r="U59" s="186">
        <v>0.96611931719127309</v>
      </c>
      <c r="V59" s="187">
        <v>13798.86</v>
      </c>
      <c r="W59" s="176">
        <v>0</v>
      </c>
      <c r="X59" s="200">
        <v>0</v>
      </c>
      <c r="Y59" s="173">
        <v>0</v>
      </c>
      <c r="Z59" s="187"/>
      <c r="AA59" s="173">
        <v>1.7959401432635264E-2</v>
      </c>
      <c r="AB59" s="187">
        <v>256.51</v>
      </c>
      <c r="AC59" s="173">
        <v>0</v>
      </c>
      <c r="AD59" s="187"/>
      <c r="AE59" s="173">
        <v>0</v>
      </c>
      <c r="AF59" s="187"/>
      <c r="AG59" s="173">
        <v>0</v>
      </c>
      <c r="AH59" s="187"/>
      <c r="AI59" s="173"/>
      <c r="AJ59" s="175"/>
      <c r="AK59" s="174"/>
      <c r="AL59" s="196">
        <f>ROUND(centralizator!$R$18*Gantt!AK59,2)</f>
        <v>0</v>
      </c>
      <c r="AM59" s="174"/>
      <c r="AN59" s="196">
        <f>ROUND(centralizator!$S$18*Gantt!AM59,2)</f>
        <v>0</v>
      </c>
      <c r="AO59" s="174"/>
      <c r="AP59" s="196">
        <f>ROUND(centralizator!$T$18*Gantt!AO59,2)</f>
        <v>0</v>
      </c>
      <c r="AQ59" s="174"/>
      <c r="AR59" s="196">
        <f>ROUND(centralizator!$U$18*Gantt!AQ59,2)</f>
        <v>0</v>
      </c>
      <c r="AS59" s="174"/>
      <c r="AT59" s="196">
        <f>ROUND(centralizator!$V$18*Gantt!AS59,2)</f>
        <v>0</v>
      </c>
      <c r="AU59" s="173">
        <v>1.5921281376091587E-2</v>
      </c>
      <c r="AV59" s="196">
        <f>ROUND(centralizator!$W$18*Gantt!AU59,2)</f>
        <v>300.52</v>
      </c>
      <c r="AW59" s="192">
        <f t="shared" si="0"/>
        <v>0</v>
      </c>
      <c r="AX59" s="192">
        <f t="shared" si="1"/>
        <v>0</v>
      </c>
      <c r="AY59" s="200">
        <f t="shared" si="2"/>
        <v>2727.62</v>
      </c>
      <c r="AZ59" s="175">
        <f t="shared" si="3"/>
        <v>17083.510000000002</v>
      </c>
      <c r="BA59" s="187">
        <f t="shared" si="4"/>
        <v>17083.510000000002</v>
      </c>
    </row>
    <row r="60" spans="1:53" ht="14.4">
      <c r="A60" s="250">
        <v>24.13</v>
      </c>
      <c r="B60" s="219" t="s">
        <v>140</v>
      </c>
      <c r="C60" s="254">
        <v>713049.8</v>
      </c>
      <c r="D60" s="255">
        <f t="shared" si="12"/>
        <v>859021.09</v>
      </c>
      <c r="E60" s="221">
        <v>5.4095319752388446E-2</v>
      </c>
      <c r="F60" s="251">
        <v>39616.9</v>
      </c>
      <c r="G60" s="221">
        <v>0</v>
      </c>
      <c r="H60" s="251"/>
      <c r="I60" s="221">
        <v>0</v>
      </c>
      <c r="J60" s="256"/>
      <c r="K60" s="221">
        <v>0</v>
      </c>
      <c r="L60" s="251"/>
      <c r="M60" s="221">
        <v>0</v>
      </c>
      <c r="N60" s="251"/>
      <c r="O60" s="221">
        <v>0</v>
      </c>
      <c r="P60" s="251"/>
      <c r="Q60" s="224">
        <v>0</v>
      </c>
      <c r="R60" s="251"/>
      <c r="S60" s="225">
        <v>0</v>
      </c>
      <c r="T60" s="251"/>
      <c r="U60" s="225">
        <v>0</v>
      </c>
      <c r="V60" s="251"/>
      <c r="W60" s="224">
        <v>0</v>
      </c>
      <c r="X60" s="229">
        <v>0</v>
      </c>
      <c r="Y60" s="221">
        <v>0</v>
      </c>
      <c r="Z60" s="251"/>
      <c r="AA60" s="221">
        <v>0.1377798723337946</v>
      </c>
      <c r="AB60" s="251">
        <v>100903.58</v>
      </c>
      <c r="AC60" s="221">
        <v>2.5581592038686887E-2</v>
      </c>
      <c r="AD60" s="251">
        <v>18734.77</v>
      </c>
      <c r="AE60" s="221">
        <v>0</v>
      </c>
      <c r="AF60" s="251"/>
      <c r="AG60" s="221">
        <v>5.2158645886830939E-2</v>
      </c>
      <c r="AH60" s="251">
        <v>38198.57</v>
      </c>
      <c r="AI60" s="221">
        <v>3.7490061494341607E-2</v>
      </c>
      <c r="AJ60" s="231">
        <v>27455.98</v>
      </c>
      <c r="AK60" s="239">
        <v>0.30655411847796571</v>
      </c>
      <c r="AL60" s="220">
        <f>ROUND(centralizator!$R$18*Gantt!AK60,2)</f>
        <v>277700.45</v>
      </c>
      <c r="AM60" s="221">
        <v>0.25354530945408388</v>
      </c>
      <c r="AN60" s="220">
        <f>ROUND(centralizator!$S$18*Gantt!AM60,2)</f>
        <v>232822.76</v>
      </c>
      <c r="AO60" s="231">
        <v>0.13279508056190784</v>
      </c>
      <c r="AP60" s="220">
        <f>ROUND(centralizator!$T$18*Gantt!AO60,2)</f>
        <v>123588.08</v>
      </c>
      <c r="AQ60" s="231"/>
      <c r="AR60" s="220">
        <f>ROUND(centralizator!$U$18*Gantt!AQ60,2)</f>
        <v>0</v>
      </c>
      <c r="AS60" s="231"/>
      <c r="AT60" s="220">
        <f>ROUND(centralizator!$V$18*Gantt!AS60,2)</f>
        <v>0</v>
      </c>
      <c r="AU60" s="221">
        <v>0</v>
      </c>
      <c r="AV60" s="220">
        <f>ROUND(centralizator!$W$18*Gantt!AU60,2)</f>
        <v>0</v>
      </c>
      <c r="AW60" s="228">
        <f t="shared" si="0"/>
        <v>135479.46</v>
      </c>
      <c r="AX60" s="228">
        <f t="shared" si="1"/>
        <v>848529.26</v>
      </c>
      <c r="AY60" s="229">
        <f t="shared" si="2"/>
        <v>163214.01</v>
      </c>
      <c r="AZ60" s="230">
        <f t="shared" si="3"/>
        <v>1022235.1</v>
      </c>
      <c r="BA60" s="251">
        <f t="shared" si="4"/>
        <v>173705.83999999997</v>
      </c>
    </row>
    <row r="61" spans="1:53" s="93" customFormat="1" ht="14.4">
      <c r="A61" s="252"/>
      <c r="B61" s="112" t="s">
        <v>141</v>
      </c>
      <c r="C61" s="185">
        <v>0</v>
      </c>
      <c r="D61" s="165">
        <f t="shared" si="12"/>
        <v>47951.49</v>
      </c>
      <c r="E61" s="168"/>
      <c r="F61" s="187"/>
      <c r="G61" s="173">
        <v>0</v>
      </c>
      <c r="H61" s="187"/>
      <c r="I61" s="173">
        <v>0</v>
      </c>
      <c r="J61" s="188"/>
      <c r="K61" s="173">
        <v>0</v>
      </c>
      <c r="L61" s="187"/>
      <c r="M61" s="173">
        <v>0</v>
      </c>
      <c r="N61" s="187"/>
      <c r="O61" s="173">
        <v>0</v>
      </c>
      <c r="P61" s="187"/>
      <c r="Q61" s="176">
        <v>0</v>
      </c>
      <c r="R61" s="187"/>
      <c r="S61" s="186">
        <v>0</v>
      </c>
      <c r="T61" s="187"/>
      <c r="U61" s="186">
        <v>0</v>
      </c>
      <c r="V61" s="187"/>
      <c r="W61" s="176">
        <v>0</v>
      </c>
      <c r="X61" s="200">
        <v>0</v>
      </c>
      <c r="Y61" s="173">
        <v>0</v>
      </c>
      <c r="Z61" s="187"/>
      <c r="AA61" s="173">
        <v>6.1702321196319701E-2</v>
      </c>
      <c r="AB61" s="187">
        <v>2455.5500000000002</v>
      </c>
      <c r="AC61" s="173">
        <v>0</v>
      </c>
      <c r="AD61" s="187"/>
      <c r="AE61" s="173">
        <v>0</v>
      </c>
      <c r="AF61" s="187"/>
      <c r="AG61" s="173">
        <v>0</v>
      </c>
      <c r="AH61" s="187"/>
      <c r="AI61" s="173">
        <v>0.12536560801995744</v>
      </c>
      <c r="AJ61" s="174">
        <v>4989.1400000000003</v>
      </c>
      <c r="AK61" s="178">
        <v>0.16672052370145074</v>
      </c>
      <c r="AL61" s="196">
        <f>ROUND(centralizator!$R$18*Gantt!AK61,2)</f>
        <v>8207.01</v>
      </c>
      <c r="AM61" s="173">
        <v>0.56584185832400258</v>
      </c>
      <c r="AN61" s="196">
        <f>ROUND(centralizator!$S$18*Gantt!AM61,2)</f>
        <v>28235.23</v>
      </c>
      <c r="AO61" s="174">
        <v>8.0369688758269525E-2</v>
      </c>
      <c r="AP61" s="196">
        <f>ROUND(centralizator!$T$18*Gantt!AO61,2)</f>
        <v>4064.56</v>
      </c>
      <c r="AQ61" s="174"/>
      <c r="AR61" s="196">
        <f>ROUND(centralizator!$U$18*Gantt!AQ61,2)</f>
        <v>0</v>
      </c>
      <c r="AS61" s="174"/>
      <c r="AT61" s="196">
        <f>ROUND(centralizator!$V$18*Gantt!AS61,2)</f>
        <v>0</v>
      </c>
      <c r="AU61" s="173">
        <v>0</v>
      </c>
      <c r="AV61" s="196">
        <f>ROUND(centralizator!$W$18*Gantt!AU61,2)</f>
        <v>0</v>
      </c>
      <c r="AW61" s="192">
        <f t="shared" si="0"/>
        <v>0</v>
      </c>
      <c r="AX61" s="192">
        <f t="shared" si="1"/>
        <v>0</v>
      </c>
      <c r="AY61" s="200">
        <f t="shared" si="2"/>
        <v>9110.7800000000007</v>
      </c>
      <c r="AZ61" s="175">
        <f t="shared" si="3"/>
        <v>57062.27</v>
      </c>
      <c r="BA61" s="187">
        <f t="shared" si="4"/>
        <v>57062.27</v>
      </c>
    </row>
    <row r="62" spans="1:53" ht="14.4">
      <c r="A62" s="250">
        <v>24.14</v>
      </c>
      <c r="B62" s="219" t="s">
        <v>142</v>
      </c>
      <c r="C62" s="254">
        <v>720067.94</v>
      </c>
      <c r="D62" s="255">
        <f t="shared" si="12"/>
        <v>513123.51738760009</v>
      </c>
      <c r="E62" s="221"/>
      <c r="F62" s="251"/>
      <c r="G62" s="221">
        <v>3.4986318882670342E-2</v>
      </c>
      <c r="H62" s="251">
        <v>16746.669999999998</v>
      </c>
      <c r="I62" s="221">
        <v>2.3998221380582292E-2</v>
      </c>
      <c r="J62" s="256">
        <v>11487.07</v>
      </c>
      <c r="K62" s="221">
        <v>0</v>
      </c>
      <c r="L62" s="251"/>
      <c r="M62" s="221">
        <v>0</v>
      </c>
      <c r="N62" s="251"/>
      <c r="O62" s="221">
        <v>0</v>
      </c>
      <c r="P62" s="251"/>
      <c r="Q62" s="224">
        <v>0</v>
      </c>
      <c r="R62" s="251"/>
      <c r="S62" s="225">
        <v>0.11622499477137786</v>
      </c>
      <c r="T62" s="251">
        <v>55632.65</v>
      </c>
      <c r="U62" s="225">
        <v>9.8706211895587009E-2</v>
      </c>
      <c r="V62" s="251">
        <v>47247.05</v>
      </c>
      <c r="W62" s="224">
        <v>0.12879522160155177</v>
      </c>
      <c r="X62" s="229">
        <v>61649.557387599998</v>
      </c>
      <c r="Y62" s="221">
        <v>8.7303146371816728E-2</v>
      </c>
      <c r="Z62" s="251">
        <v>41788.82</v>
      </c>
      <c r="AA62" s="221">
        <v>0.13647101776469681</v>
      </c>
      <c r="AB62" s="251">
        <v>65323.68</v>
      </c>
      <c r="AC62" s="221">
        <v>3.9745759540958416E-2</v>
      </c>
      <c r="AD62" s="251">
        <v>19024.84</v>
      </c>
      <c r="AE62" s="221">
        <v>4.3012940680506193E-2</v>
      </c>
      <c r="AF62" s="251">
        <v>20588.72</v>
      </c>
      <c r="AG62" s="221">
        <v>0</v>
      </c>
      <c r="AH62" s="251"/>
      <c r="AI62" s="221">
        <v>0</v>
      </c>
      <c r="AJ62" s="231">
        <v>0</v>
      </c>
      <c r="AK62" s="239">
        <v>0.10750318715621847</v>
      </c>
      <c r="AL62" s="220">
        <f>ROUND(centralizator!$R$18*Gantt!AK62,2)</f>
        <v>63650.26</v>
      </c>
      <c r="AM62" s="221">
        <v>0.18325297449633654</v>
      </c>
      <c r="AN62" s="220">
        <f>ROUND(centralizator!$S$18*Gantt!AM62,2)</f>
        <v>109984.2</v>
      </c>
      <c r="AO62" s="231"/>
      <c r="AP62" s="220">
        <f>ROUND(centralizator!$T$18*Gantt!AO62,2)</f>
        <v>0</v>
      </c>
      <c r="AQ62" s="231"/>
      <c r="AR62" s="220">
        <f>ROUND(centralizator!$U$18*Gantt!AQ62,2)</f>
        <v>0</v>
      </c>
      <c r="AS62" s="231"/>
      <c r="AT62" s="220">
        <f>ROUND(centralizator!$V$18*Gantt!AS62,2)</f>
        <v>0</v>
      </c>
      <c r="AU62" s="221">
        <v>5.4576974961098394E-9</v>
      </c>
      <c r="AV62" s="220">
        <f>ROUND(centralizator!$W$18*Gantt!AU62,2)</f>
        <v>0</v>
      </c>
      <c r="AW62" s="228">
        <f t="shared" si="0"/>
        <v>136812.91</v>
      </c>
      <c r="AX62" s="228">
        <f t="shared" si="1"/>
        <v>856880.85</v>
      </c>
      <c r="AY62" s="229">
        <f t="shared" si="2"/>
        <v>97493.47</v>
      </c>
      <c r="AZ62" s="230">
        <f t="shared" si="3"/>
        <v>610616.98738760012</v>
      </c>
      <c r="BA62" s="251">
        <f t="shared" si="4"/>
        <v>-246263.86261239985</v>
      </c>
    </row>
    <row r="63" spans="1:53" s="93" customFormat="1" ht="15" thickBot="1">
      <c r="A63" s="257"/>
      <c r="B63" s="258" t="s">
        <v>143</v>
      </c>
      <c r="C63" s="185">
        <v>0</v>
      </c>
      <c r="D63" s="259">
        <f t="shared" si="12"/>
        <v>83350.961644399998</v>
      </c>
      <c r="E63" s="171"/>
      <c r="F63" s="193"/>
      <c r="G63" s="176">
        <v>0</v>
      </c>
      <c r="H63" s="193"/>
      <c r="I63" s="176">
        <v>0</v>
      </c>
      <c r="J63" s="194"/>
      <c r="K63" s="176">
        <v>0</v>
      </c>
      <c r="L63" s="193"/>
      <c r="M63" s="176">
        <v>0.2728189877022415</v>
      </c>
      <c r="N63" s="193">
        <v>20741.349999999999</v>
      </c>
      <c r="O63" s="176">
        <v>0</v>
      </c>
      <c r="P63" s="193"/>
      <c r="Q63" s="176">
        <v>0</v>
      </c>
      <c r="R63" s="193"/>
      <c r="S63" s="195">
        <v>5.0108482553019654E-2</v>
      </c>
      <c r="T63" s="193">
        <v>3809.55</v>
      </c>
      <c r="U63" s="195">
        <v>0</v>
      </c>
      <c r="V63" s="193"/>
      <c r="W63" s="176">
        <v>0.10828843066817227</v>
      </c>
      <c r="X63" s="260">
        <v>8232.7416443999991</v>
      </c>
      <c r="Y63" s="176">
        <v>0</v>
      </c>
      <c r="Z63" s="193">
        <v>0</v>
      </c>
      <c r="AA63" s="176">
        <v>0.18768474753061615</v>
      </c>
      <c r="AB63" s="193">
        <v>14268.93</v>
      </c>
      <c r="AC63" s="176">
        <v>0</v>
      </c>
      <c r="AD63" s="193">
        <v>0</v>
      </c>
      <c r="AE63" s="176">
        <v>0</v>
      </c>
      <c r="AF63" s="193">
        <v>0</v>
      </c>
      <c r="AG63" s="176">
        <v>0</v>
      </c>
      <c r="AH63" s="193"/>
      <c r="AI63" s="176">
        <v>0</v>
      </c>
      <c r="AJ63" s="177"/>
      <c r="AK63" s="203">
        <v>2.3552321868622661E-2</v>
      </c>
      <c r="AL63" s="261">
        <f>ROUND(centralizator!$R$18*Gantt!AK63,2)</f>
        <v>2214.85</v>
      </c>
      <c r="AM63" s="176">
        <v>0.35754705130675601</v>
      </c>
      <c r="AN63" s="261">
        <f>ROUND(centralizator!$S$18*Gantt!AM63,2)</f>
        <v>34083.54</v>
      </c>
      <c r="AO63" s="203"/>
      <c r="AP63" s="261">
        <f>ROUND(centralizator!$T$18*Gantt!AO63,2)</f>
        <v>0</v>
      </c>
      <c r="AQ63" s="203"/>
      <c r="AR63" s="261">
        <f>ROUND(centralizator!$U$18*Gantt!AQ63,2)</f>
        <v>0</v>
      </c>
      <c r="AS63" s="203"/>
      <c r="AT63" s="261">
        <f>ROUND(centralizator!$V$18*Gantt!AS63,2)</f>
        <v>0</v>
      </c>
      <c r="AU63" s="176">
        <v>-3.4353995447069517E-9</v>
      </c>
      <c r="AV63" s="261">
        <f>ROUND(centralizator!$W$18*Gantt!AU63,2)</f>
        <v>0</v>
      </c>
      <c r="AW63" s="262">
        <f t="shared" si="0"/>
        <v>0</v>
      </c>
      <c r="AX63" s="262">
        <f t="shared" si="1"/>
        <v>0</v>
      </c>
      <c r="AY63" s="260">
        <f t="shared" si="2"/>
        <v>15836.68</v>
      </c>
      <c r="AZ63" s="177">
        <f t="shared" si="3"/>
        <v>99187.641644399991</v>
      </c>
      <c r="BA63" s="193">
        <f t="shared" si="4"/>
        <v>99187.641644399991</v>
      </c>
    </row>
    <row r="64" spans="1:53" ht="15" thickBot="1">
      <c r="A64" s="275">
        <v>24.15</v>
      </c>
      <c r="B64" s="276" t="s">
        <v>144</v>
      </c>
      <c r="C64" s="277">
        <v>735859.18</v>
      </c>
      <c r="D64" s="278">
        <f t="shared" si="12"/>
        <v>851396.41737769998</v>
      </c>
      <c r="E64" s="279"/>
      <c r="F64" s="280"/>
      <c r="G64" s="279">
        <v>0</v>
      </c>
      <c r="H64" s="280"/>
      <c r="I64" s="279">
        <v>0</v>
      </c>
      <c r="J64" s="281"/>
      <c r="K64" s="279">
        <v>0</v>
      </c>
      <c r="L64" s="280"/>
      <c r="M64" s="279">
        <v>0</v>
      </c>
      <c r="N64" s="280"/>
      <c r="O64" s="279">
        <v>0</v>
      </c>
      <c r="P64" s="280"/>
      <c r="Q64" s="279">
        <v>0</v>
      </c>
      <c r="R64" s="280"/>
      <c r="S64" s="282">
        <v>8.3505824197254538E-2</v>
      </c>
      <c r="T64" s="280">
        <v>62555.63</v>
      </c>
      <c r="U64" s="282">
        <v>7.1671116995253761E-2</v>
      </c>
      <c r="V64" s="280">
        <v>53690.05</v>
      </c>
      <c r="W64" s="279">
        <v>4.5315109304892666E-2</v>
      </c>
      <c r="X64" s="283">
        <v>33946.317377699997</v>
      </c>
      <c r="Y64" s="279">
        <v>3.2142603844630566E-2</v>
      </c>
      <c r="Z64" s="280">
        <v>24078.57</v>
      </c>
      <c r="AA64" s="279">
        <v>5.5977119300875011E-2</v>
      </c>
      <c r="AB64" s="280">
        <v>41933.410000000003</v>
      </c>
      <c r="AC64" s="279">
        <v>6.9827145952921083E-3</v>
      </c>
      <c r="AD64" s="280">
        <v>5230.87</v>
      </c>
      <c r="AE64" s="279">
        <v>2.1117703420868973E-2</v>
      </c>
      <c r="AF64" s="280">
        <v>15819.63</v>
      </c>
      <c r="AG64" s="279">
        <v>0.15164056422323474</v>
      </c>
      <c r="AH64" s="280">
        <v>113596.52</v>
      </c>
      <c r="AI64" s="279">
        <v>0</v>
      </c>
      <c r="AJ64" s="284">
        <v>0</v>
      </c>
      <c r="AK64" s="279">
        <v>0.16763191200968261</v>
      </c>
      <c r="AL64" s="285">
        <f>ROUND(centralizator!$R$18*Gantt!AK64,2)</f>
        <v>155329.87</v>
      </c>
      <c r="AM64" s="286">
        <v>0.16215404918673784</v>
      </c>
      <c r="AN64" s="285">
        <f>ROUND(centralizator!$S$18*Gantt!AM64,2)</f>
        <v>152309.32</v>
      </c>
      <c r="AO64" s="286">
        <v>0.14345719601039075</v>
      </c>
      <c r="AP64" s="285">
        <f>ROUND(centralizator!$T$18*Gantt!AO64,2)</f>
        <v>136567</v>
      </c>
      <c r="AQ64" s="279">
        <v>5.840408341036514E-2</v>
      </c>
      <c r="AR64" s="285">
        <f>ROUND(centralizator!$U$18*Gantt!AQ64,2)</f>
        <v>56339.23</v>
      </c>
      <c r="AS64" s="286"/>
      <c r="AT64" s="285">
        <f>ROUND(centralizator!$V$18*Gantt!AS64,2)</f>
        <v>0</v>
      </c>
      <c r="AU64" s="279">
        <v>3.5005213458862243E-9</v>
      </c>
      <c r="AV64" s="285">
        <f>ROUND(centralizator!$W$18*Gantt!AU64,2)</f>
        <v>0</v>
      </c>
      <c r="AW64" s="287">
        <f t="shared" si="0"/>
        <v>139813.24</v>
      </c>
      <c r="AX64" s="287">
        <f t="shared" si="1"/>
        <v>875672.42</v>
      </c>
      <c r="AY64" s="283">
        <f t="shared" si="2"/>
        <v>161765.32</v>
      </c>
      <c r="AZ64" s="284">
        <f t="shared" si="3"/>
        <v>1013161.7373776999</v>
      </c>
      <c r="BA64" s="280">
        <f t="shared" si="4"/>
        <v>137489.31737769989</v>
      </c>
    </row>
    <row r="65" spans="1:53" s="127" customFormat="1" ht="14.4">
      <c r="A65" s="263"/>
      <c r="B65" s="264" t="s">
        <v>145</v>
      </c>
      <c r="C65" s="265">
        <v>0</v>
      </c>
      <c r="D65" s="266">
        <f t="shared" si="12"/>
        <v>8363.483422199999</v>
      </c>
      <c r="E65" s="267"/>
      <c r="F65" s="268"/>
      <c r="G65" s="201">
        <v>0</v>
      </c>
      <c r="H65" s="268"/>
      <c r="I65" s="201">
        <v>0</v>
      </c>
      <c r="J65" s="268"/>
      <c r="K65" s="201">
        <v>0</v>
      </c>
      <c r="L65" s="268"/>
      <c r="M65" s="201">
        <v>0</v>
      </c>
      <c r="N65" s="268"/>
      <c r="O65" s="201">
        <v>0</v>
      </c>
      <c r="P65" s="268"/>
      <c r="Q65" s="269">
        <v>0</v>
      </c>
      <c r="R65" s="268"/>
      <c r="S65" s="270">
        <v>0</v>
      </c>
      <c r="T65" s="268"/>
      <c r="U65" s="270">
        <v>0</v>
      </c>
      <c r="V65" s="268"/>
      <c r="W65" s="269">
        <v>0.94062301542996918</v>
      </c>
      <c r="X65" s="271">
        <v>7798.1034221999998</v>
      </c>
      <c r="Y65" s="201">
        <v>0</v>
      </c>
      <c r="Z65" s="268"/>
      <c r="AA65" s="201">
        <v>0</v>
      </c>
      <c r="AB65" s="268"/>
      <c r="AC65" s="201">
        <v>0</v>
      </c>
      <c r="AD65" s="268">
        <v>0</v>
      </c>
      <c r="AE65" s="201">
        <v>0</v>
      </c>
      <c r="AF65" s="268"/>
      <c r="AG65" s="201">
        <v>3.1949155404590389E-2</v>
      </c>
      <c r="AH65" s="268">
        <v>264.87</v>
      </c>
      <c r="AI65" s="272">
        <v>0</v>
      </c>
      <c r="AJ65" s="268">
        <v>0</v>
      </c>
      <c r="AK65" s="268"/>
      <c r="AL65" s="217">
        <f>ROUND(centralizator!$R$18*Gantt!AK65,2)</f>
        <v>0</v>
      </c>
      <c r="AM65" s="268"/>
      <c r="AN65" s="217">
        <f>ROUND(centralizator!$S$18*Gantt!AM65,2)</f>
        <v>0</v>
      </c>
      <c r="AO65" s="268"/>
      <c r="AP65" s="217">
        <f>ROUND(centralizator!$T$18*Gantt!AO65,2)</f>
        <v>0</v>
      </c>
      <c r="AQ65" s="268"/>
      <c r="AR65" s="217">
        <f>ROUND(centralizator!$U$18*Gantt!AQ65,2)</f>
        <v>0</v>
      </c>
      <c r="AS65" s="268"/>
      <c r="AT65" s="217">
        <f>ROUND(centralizator!$V$18*Gantt!AS65,2)</f>
        <v>0</v>
      </c>
      <c r="AU65" s="269">
        <v>3.0353948302626338E-4</v>
      </c>
      <c r="AV65" s="217">
        <f>ROUND(centralizator!$W$18*Gantt!AU65,2)</f>
        <v>300.51</v>
      </c>
      <c r="AW65" s="197">
        <f t="shared" si="0"/>
        <v>0</v>
      </c>
      <c r="AX65" s="197">
        <f t="shared" si="1"/>
        <v>0</v>
      </c>
      <c r="AY65" s="271">
        <f t="shared" si="2"/>
        <v>1589.06</v>
      </c>
      <c r="AZ65" s="273">
        <f t="shared" si="3"/>
        <v>9952.5434221999985</v>
      </c>
      <c r="BA65" s="274">
        <f t="shared" si="4"/>
        <v>9952.5434221999985</v>
      </c>
    </row>
    <row r="66" spans="1:53" ht="14.4">
      <c r="A66" s="288">
        <v>24.16</v>
      </c>
      <c r="B66" s="289" t="s">
        <v>146</v>
      </c>
      <c r="C66" s="227">
        <f>C67+C68</f>
        <v>104285.35</v>
      </c>
      <c r="D66" s="227">
        <f>D67+D68</f>
        <v>114320.79999999999</v>
      </c>
      <c r="E66" s="221">
        <v>0.67383230900106095</v>
      </c>
      <c r="F66" s="290">
        <v>70497.009999999995</v>
      </c>
      <c r="G66" s="221">
        <v>0</v>
      </c>
      <c r="H66" s="290"/>
      <c r="I66" s="221">
        <v>0</v>
      </c>
      <c r="J66" s="290"/>
      <c r="K66" s="221">
        <v>0</v>
      </c>
      <c r="L66" s="290">
        <v>0</v>
      </c>
      <c r="M66" s="221">
        <v>6.4006270251670315E-3</v>
      </c>
      <c r="N66" s="290">
        <v>669.64</v>
      </c>
      <c r="O66" s="221">
        <v>2.3274486001854311E-3</v>
      </c>
      <c r="P66" s="290">
        <v>243.5</v>
      </c>
      <c r="Q66" s="224">
        <v>0</v>
      </c>
      <c r="R66" s="290">
        <v>0</v>
      </c>
      <c r="S66" s="225">
        <v>0</v>
      </c>
      <c r="T66" s="290">
        <v>0</v>
      </c>
      <c r="U66" s="225">
        <v>0</v>
      </c>
      <c r="V66" s="290">
        <v>0</v>
      </c>
      <c r="W66" s="224">
        <v>0</v>
      </c>
      <c r="X66" s="290">
        <v>0</v>
      </c>
      <c r="Y66" s="221">
        <v>5.4031217442004949E-3</v>
      </c>
      <c r="Z66" s="290">
        <v>565.28</v>
      </c>
      <c r="AA66" s="221">
        <v>4.1988702077020868E-3</v>
      </c>
      <c r="AB66" s="290">
        <v>439.29</v>
      </c>
      <c r="AC66" s="221">
        <v>4.2618594737194255E-3</v>
      </c>
      <c r="AD66" s="290">
        <v>445.88</v>
      </c>
      <c r="AE66" s="221">
        <v>4.305636535685952E-3</v>
      </c>
      <c r="AF66" s="290">
        <v>450.46</v>
      </c>
      <c r="AG66" s="221">
        <v>4.3358407967807608E-3</v>
      </c>
      <c r="AH66" s="290">
        <v>453.62</v>
      </c>
      <c r="AI66" s="291">
        <v>3.1912331176341272E-3</v>
      </c>
      <c r="AJ66" s="292">
        <v>333.87</v>
      </c>
      <c r="AK66" s="293"/>
      <c r="AL66" s="220">
        <f>ROUND(centralizator!$R$18*Gantt!AK66,2)</f>
        <v>560.33000000000004</v>
      </c>
      <c r="AM66" s="293"/>
      <c r="AN66" s="220">
        <f>ROUND(centralizator!$S$18*Gantt!AM66,2)</f>
        <v>568</v>
      </c>
      <c r="AO66" s="293"/>
      <c r="AP66" s="220">
        <f>ROUND(centralizator!$T$18*Gantt!AO66,2)</f>
        <v>575.66999999999996</v>
      </c>
      <c r="AQ66" s="293"/>
      <c r="AR66" s="220">
        <f>ROUND(centralizator!$U$18*Gantt!AQ66,2)</f>
        <v>583.33000000000004</v>
      </c>
      <c r="AS66" s="293"/>
      <c r="AT66" s="220">
        <f>ROUND(centralizator!$V$18*Gantt!AS66,2)</f>
        <v>591</v>
      </c>
      <c r="AU66" s="291">
        <v>0.27009348027642638</v>
      </c>
      <c r="AV66" s="220">
        <f>ROUND(centralizator!$W$18*Gantt!AU66,2)</f>
        <v>37343.919999999998</v>
      </c>
      <c r="AW66" s="228">
        <f t="shared" si="0"/>
        <v>19814.22</v>
      </c>
      <c r="AX66" s="228">
        <f t="shared" si="1"/>
        <v>124099.57</v>
      </c>
      <c r="AY66" s="229">
        <f t="shared" si="2"/>
        <v>21720.95</v>
      </c>
      <c r="AZ66" s="230">
        <f t="shared" si="3"/>
        <v>136041.75</v>
      </c>
      <c r="BA66" s="251">
        <f t="shared" si="4"/>
        <v>11942.179999999993</v>
      </c>
    </row>
    <row r="67" spans="1:53" ht="14.4">
      <c r="A67" s="253" t="s">
        <v>147</v>
      </c>
      <c r="B67" s="136" t="s">
        <v>146</v>
      </c>
      <c r="C67" s="165">
        <v>100443.89</v>
      </c>
      <c r="D67" s="165">
        <f t="shared" ref="D67:D68" si="13">F67+H67+J67+L67+N67+P67+R67+T67+V67+X67+Z67+AB67+AD67+AF67+AH67+AJ67+AL67+AN67+AP67+AR67+AT67+AV67</f>
        <v>109244.07999999999</v>
      </c>
      <c r="E67" s="166">
        <v>0.69951708451933792</v>
      </c>
      <c r="F67" s="187">
        <v>70497.009999999995</v>
      </c>
      <c r="G67" s="173">
        <v>0</v>
      </c>
      <c r="H67" s="187"/>
      <c r="I67" s="173">
        <v>0</v>
      </c>
      <c r="J67" s="188"/>
      <c r="K67" s="173">
        <v>0</v>
      </c>
      <c r="L67" s="187"/>
      <c r="M67" s="173">
        <v>6.6446026643900147E-3</v>
      </c>
      <c r="N67" s="187">
        <v>669.64</v>
      </c>
      <c r="O67" s="173">
        <v>2.4161650271473756E-3</v>
      </c>
      <c r="P67" s="187">
        <v>243.5</v>
      </c>
      <c r="Q67" s="176">
        <v>0</v>
      </c>
      <c r="R67" s="187"/>
      <c r="S67" s="186">
        <v>0</v>
      </c>
      <c r="T67" s="187"/>
      <c r="U67" s="186">
        <v>0</v>
      </c>
      <c r="V67" s="187"/>
      <c r="W67" s="176">
        <v>0</v>
      </c>
      <c r="X67" s="187"/>
      <c r="Y67" s="173">
        <v>5.6090750166154762E-3</v>
      </c>
      <c r="Z67" s="187">
        <v>565.28</v>
      </c>
      <c r="AA67" s="173">
        <v>4.3589204713575793E-3</v>
      </c>
      <c r="AB67" s="187">
        <v>439.29</v>
      </c>
      <c r="AC67" s="173">
        <v>4.4243107281497817E-3</v>
      </c>
      <c r="AD67" s="187">
        <v>445.88</v>
      </c>
      <c r="AE67" s="173">
        <v>4.4697564604879126E-3</v>
      </c>
      <c r="AF67" s="187">
        <v>450.46</v>
      </c>
      <c r="AG67" s="173">
        <v>4.5011120312714271E-3</v>
      </c>
      <c r="AH67" s="187">
        <v>453.62</v>
      </c>
      <c r="AI67" s="173">
        <v>3.3128748156619888E-3</v>
      </c>
      <c r="AJ67" s="175">
        <v>333.87</v>
      </c>
      <c r="AK67" s="176">
        <v>4.49495998890251E-3</v>
      </c>
      <c r="AL67" s="196">
        <f>ROUND(centralizator!$R$18*Gantt!AK67,2)</f>
        <v>560.33000000000004</v>
      </c>
      <c r="AM67" s="174">
        <v>4.49495998890251E-3</v>
      </c>
      <c r="AN67" s="196">
        <f>ROUND(centralizator!$S$18*Gantt!AM67,2)</f>
        <v>568</v>
      </c>
      <c r="AO67" s="174">
        <v>4.49495998890251E-3</v>
      </c>
      <c r="AP67" s="196">
        <f>ROUND(centralizator!$T$18*Gantt!AO67,2)</f>
        <v>575.66999999999996</v>
      </c>
      <c r="AQ67" s="173">
        <v>4.49495998890251E-3</v>
      </c>
      <c r="AR67" s="196">
        <f>ROUND(centralizator!$U$18*Gantt!AQ67,2)</f>
        <v>583.33000000000004</v>
      </c>
      <c r="AS67" s="173">
        <v>4.49495998890251E-3</v>
      </c>
      <c r="AT67" s="196">
        <f>ROUND(centralizator!$V$18*Gantt!AS67,2)</f>
        <v>591</v>
      </c>
      <c r="AU67" s="173">
        <v>0.242271298321068</v>
      </c>
      <c r="AV67" s="196">
        <f>ROUND(centralizator!$W$18*Gantt!AU67,2)</f>
        <v>32267.200000000001</v>
      </c>
      <c r="AW67" s="192">
        <f t="shared" si="0"/>
        <v>19084.34</v>
      </c>
      <c r="AX67" s="192">
        <f t="shared" si="1"/>
        <v>119528.23</v>
      </c>
      <c r="AY67" s="200">
        <f t="shared" si="2"/>
        <v>20756.38</v>
      </c>
      <c r="AZ67" s="175">
        <f t="shared" si="3"/>
        <v>130000.45999999999</v>
      </c>
      <c r="BA67" s="187">
        <f t="shared" si="4"/>
        <v>10472.229999999996</v>
      </c>
    </row>
    <row r="68" spans="1:53" ht="15" thickBot="1">
      <c r="A68" s="294" t="s">
        <v>148</v>
      </c>
      <c r="B68" s="138" t="s">
        <v>146</v>
      </c>
      <c r="C68" s="172">
        <v>3841.46</v>
      </c>
      <c r="D68" s="259">
        <f t="shared" si="13"/>
        <v>5076.72</v>
      </c>
      <c r="E68" s="171">
        <v>0</v>
      </c>
      <c r="F68" s="193"/>
      <c r="G68" s="176">
        <v>0</v>
      </c>
      <c r="H68" s="193"/>
      <c r="I68" s="176">
        <v>0</v>
      </c>
      <c r="J68" s="194"/>
      <c r="K68" s="176">
        <v>0</v>
      </c>
      <c r="L68" s="193"/>
      <c r="M68" s="176">
        <v>0</v>
      </c>
      <c r="N68" s="193"/>
      <c r="O68" s="176">
        <v>0</v>
      </c>
      <c r="P68" s="193"/>
      <c r="Q68" s="176">
        <v>0</v>
      </c>
      <c r="R68" s="193"/>
      <c r="S68" s="195">
        <v>0</v>
      </c>
      <c r="T68" s="193"/>
      <c r="U68" s="195">
        <v>0</v>
      </c>
      <c r="V68" s="193"/>
      <c r="W68" s="176">
        <v>0</v>
      </c>
      <c r="X68" s="193"/>
      <c r="Y68" s="176">
        <v>0</v>
      </c>
      <c r="Z68" s="193"/>
      <c r="AA68" s="176">
        <v>0</v>
      </c>
      <c r="AB68" s="193"/>
      <c r="AC68" s="176">
        <v>0</v>
      </c>
      <c r="AD68" s="193"/>
      <c r="AE68" s="176">
        <v>0</v>
      </c>
      <c r="AF68" s="193"/>
      <c r="AG68" s="176">
        <v>0</v>
      </c>
      <c r="AH68" s="193"/>
      <c r="AI68" s="176">
        <v>0</v>
      </c>
      <c r="AJ68" s="177"/>
      <c r="AK68" s="203"/>
      <c r="AL68" s="261">
        <f>ROUND(centralizator!$R$18*Gantt!AK68,2)</f>
        <v>0</v>
      </c>
      <c r="AM68" s="203"/>
      <c r="AN68" s="261">
        <f>ROUND(centralizator!$S$18*Gantt!AM68,2)</f>
        <v>0</v>
      </c>
      <c r="AO68" s="203"/>
      <c r="AP68" s="261">
        <f>ROUND(centralizator!$T$18*Gantt!AO68,2)</f>
        <v>0</v>
      </c>
      <c r="AQ68" s="203"/>
      <c r="AR68" s="261">
        <f>ROUND(centralizator!$U$18*Gantt!AQ68,2)</f>
        <v>0</v>
      </c>
      <c r="AS68" s="203"/>
      <c r="AT68" s="261">
        <f>ROUND(centralizator!$V$18*Gantt!AS68,2)</f>
        <v>0</v>
      </c>
      <c r="AU68" s="176">
        <v>1</v>
      </c>
      <c r="AV68" s="261">
        <f>ROUND(centralizator!$W$18*Gantt!AU68,2)</f>
        <v>5076.72</v>
      </c>
      <c r="AW68" s="262">
        <f t="shared" si="0"/>
        <v>729.88</v>
      </c>
      <c r="AX68" s="262">
        <f t="shared" si="1"/>
        <v>4571.34</v>
      </c>
      <c r="AY68" s="260">
        <f t="shared" si="2"/>
        <v>964.58</v>
      </c>
      <c r="AZ68" s="177">
        <f t="shared" si="3"/>
        <v>6041.3</v>
      </c>
      <c r="BA68" s="193">
        <f t="shared" si="4"/>
        <v>1469.96</v>
      </c>
    </row>
    <row r="69" spans="1:53" ht="15" thickBot="1">
      <c r="A69" s="295"/>
      <c r="B69" s="296" t="s">
        <v>149</v>
      </c>
      <c r="C69" s="297">
        <f>C11+C14+C16+C19+C22+C25+C32+C39+C46+C56+C58+C59+C60+C61+C62+C63+C64+C65+C66</f>
        <v>65262378.11999999</v>
      </c>
      <c r="D69" s="297">
        <f>D11+D14+D16+D19+D22+D25+D32+D39+D46+D56+D58+D59+D60+D61+D62+D63+D64+D65+D66</f>
        <v>77989284.552378058</v>
      </c>
      <c r="E69" s="297">
        <f t="shared" ref="E69:BA69" si="14">E11+E14+E16+E19+E22+E25+E32+E39+E46+E56+E58+E59+E60+E61+E62+E63+E64+E65+E66</f>
        <v>0.78435770893816015</v>
      </c>
      <c r="F69" s="297">
        <f t="shared" si="14"/>
        <v>316505.05</v>
      </c>
      <c r="G69" s="297">
        <f t="shared" si="14"/>
        <v>0.15917965562852954</v>
      </c>
      <c r="H69" s="297">
        <f t="shared" si="14"/>
        <v>1592445.5699999998</v>
      </c>
      <c r="I69" s="297">
        <f t="shared" si="14"/>
        <v>0.17154224945569907</v>
      </c>
      <c r="J69" s="297">
        <f t="shared" si="14"/>
        <v>725240.56</v>
      </c>
      <c r="K69" s="297">
        <f t="shared" si="14"/>
        <v>0.22740761479587801</v>
      </c>
      <c r="L69" s="297">
        <f t="shared" si="14"/>
        <v>2006611.43</v>
      </c>
      <c r="M69" s="297">
        <f t="shared" si="14"/>
        <v>0.56559652660878657</v>
      </c>
      <c r="N69" s="297">
        <f t="shared" si="14"/>
        <v>4307535.6091418555</v>
      </c>
      <c r="O69" s="297">
        <f t="shared" si="14"/>
        <v>9.5912814341078678E-2</v>
      </c>
      <c r="P69" s="297">
        <f t="shared" si="14"/>
        <v>1724521.75</v>
      </c>
      <c r="Q69" s="297">
        <f t="shared" si="14"/>
        <v>0.11104287284746601</v>
      </c>
      <c r="R69" s="297">
        <f t="shared" si="14"/>
        <v>1370368.1700000002</v>
      </c>
      <c r="S69" s="297">
        <f t="shared" si="14"/>
        <v>0.62229379385943939</v>
      </c>
      <c r="T69" s="297">
        <f t="shared" si="14"/>
        <v>1008769.0000000001</v>
      </c>
      <c r="U69" s="297">
        <f t="shared" si="14"/>
        <v>1.5500285517501771</v>
      </c>
      <c r="V69" s="297">
        <f t="shared" si="14"/>
        <v>3191783.3</v>
      </c>
      <c r="W69" s="297">
        <f t="shared" si="14"/>
        <v>1.8689438068447872</v>
      </c>
      <c r="X69" s="297">
        <f t="shared" si="14"/>
        <v>4888035.6432361994</v>
      </c>
      <c r="Y69" s="297">
        <f t="shared" si="14"/>
        <v>0.89024522708295506</v>
      </c>
      <c r="Z69" s="297">
        <f t="shared" si="14"/>
        <v>4656691.3600000013</v>
      </c>
      <c r="AA69" s="297">
        <f t="shared" si="14"/>
        <v>1.1745496944566063</v>
      </c>
      <c r="AB69" s="297">
        <f t="shared" si="14"/>
        <v>7292769.0099999998</v>
      </c>
      <c r="AC69" s="297">
        <f t="shared" si="14"/>
        <v>0.39593570327030447</v>
      </c>
      <c r="AD69" s="297">
        <f t="shared" si="14"/>
        <v>2706165.04</v>
      </c>
      <c r="AE69" s="297">
        <f t="shared" si="14"/>
        <v>0.30315041944273446</v>
      </c>
      <c r="AF69" s="297">
        <f t="shared" si="14"/>
        <v>3634882.2100000004</v>
      </c>
      <c r="AG69" s="297">
        <f t="shared" si="14"/>
        <v>0.58541017795519035</v>
      </c>
      <c r="AH69" s="297">
        <f t="shared" si="14"/>
        <v>1855181.4700000004</v>
      </c>
      <c r="AI69" s="297">
        <f t="shared" si="14"/>
        <v>0.31055971193400217</v>
      </c>
      <c r="AJ69" s="297">
        <f t="shared" si="14"/>
        <v>1660599.99</v>
      </c>
      <c r="AK69" s="297">
        <f t="shared" si="14"/>
        <v>0.89938395421152506</v>
      </c>
      <c r="AL69" s="297">
        <f t="shared" si="14"/>
        <v>6738163.0999999996</v>
      </c>
      <c r="AM69" s="297">
        <f t="shared" si="14"/>
        <v>1.7945299054244603</v>
      </c>
      <c r="AN69" s="297">
        <f t="shared" si="14"/>
        <v>10765184.109999999</v>
      </c>
      <c r="AO69" s="297">
        <f t="shared" si="14"/>
        <v>0.51909528404024052</v>
      </c>
      <c r="AP69" s="297">
        <f t="shared" si="14"/>
        <v>10224664.010000004</v>
      </c>
      <c r="AQ69" s="297">
        <f t="shared" si="14"/>
        <v>5.840408341036514E-2</v>
      </c>
      <c r="AR69" s="297">
        <f t="shared" si="14"/>
        <v>3140856.4199999995</v>
      </c>
      <c r="AS69" s="297">
        <f t="shared" si="14"/>
        <v>0</v>
      </c>
      <c r="AT69" s="297">
        <f t="shared" si="14"/>
        <v>2539827.69</v>
      </c>
      <c r="AU69" s="297">
        <f t="shared" si="14"/>
        <v>0.96552767323823607</v>
      </c>
      <c r="AV69" s="298">
        <f t="shared" si="14"/>
        <v>1642484.11</v>
      </c>
      <c r="AW69" s="287">
        <f t="shared" si="0"/>
        <v>12399851.84</v>
      </c>
      <c r="AX69" s="287">
        <f t="shared" si="1"/>
        <v>77662229.959999993</v>
      </c>
      <c r="AY69" s="299">
        <f t="shared" si="14"/>
        <v>14817964.070000002</v>
      </c>
      <c r="AZ69" s="298">
        <f t="shared" si="14"/>
        <v>92807248.622378066</v>
      </c>
      <c r="BA69" s="300">
        <f t="shared" si="14"/>
        <v>15145018.65237806</v>
      </c>
    </row>
    <row r="70" spans="1:53" ht="15" hidden="1" thickBot="1">
      <c r="E70" s="779">
        <f>F69+H69+J69</f>
        <v>2634191.1799999997</v>
      </c>
      <c r="F70" s="779"/>
      <c r="G70" s="779"/>
      <c r="H70" s="779"/>
      <c r="I70" s="779"/>
      <c r="J70" s="779"/>
      <c r="K70" s="780">
        <f>L69+N69</f>
        <v>6314147.0391418552</v>
      </c>
      <c r="L70" s="781"/>
      <c r="M70" s="781"/>
      <c r="N70" s="782"/>
      <c r="O70" s="154"/>
      <c r="P70" s="155"/>
      <c r="Q70" s="783">
        <f>R69+T69+V69</f>
        <v>5570920.4700000007</v>
      </c>
      <c r="R70" s="783"/>
      <c r="S70" s="783"/>
      <c r="T70" s="783"/>
      <c r="U70" s="783"/>
      <c r="V70" s="783"/>
      <c r="AL70" s="70">
        <f>ROUND(centralizator!$R$18*Gantt!AK70,2)</f>
        <v>0</v>
      </c>
      <c r="AR70" s="70">
        <f>ROUND(centralizator!$W$18*Gantt!AQ70,2)</f>
        <v>0</v>
      </c>
      <c r="AT70" s="70">
        <f>ROUND(centralizator!$V$18*Gantt!AS70,2)</f>
        <v>0</v>
      </c>
      <c r="AV70" s="70">
        <f>ROUND(centralizator!$W$18*Gantt!AU70,2)</f>
        <v>0</v>
      </c>
      <c r="AW70" s="213"/>
      <c r="AX70" s="213"/>
    </row>
    <row r="71" spans="1:53">
      <c r="B71" s="18" t="s">
        <v>149</v>
      </c>
      <c r="D71" s="18">
        <v>70645801.779999986</v>
      </c>
      <c r="F71" s="18">
        <v>316505.05000000005</v>
      </c>
      <c r="H71" s="18">
        <v>1592445.57</v>
      </c>
      <c r="J71" s="18">
        <v>725240.56000000017</v>
      </c>
      <c r="L71" s="18">
        <v>2006611.4300000002</v>
      </c>
      <c r="N71" s="18">
        <v>4307535.6091418564</v>
      </c>
      <c r="P71" s="18">
        <v>1724521.7500000002</v>
      </c>
      <c r="R71" s="18">
        <v>1370368.1700000002</v>
      </c>
      <c r="T71" s="18">
        <v>1008768.9999999999</v>
      </c>
      <c r="V71" s="18">
        <v>3191783.3</v>
      </c>
      <c r="W71" s="18">
        <v>6.9190744815355976E-2</v>
      </c>
      <c r="X71" s="18">
        <v>4888035.6432362003</v>
      </c>
      <c r="Z71" s="18">
        <v>4656691.3600000003</v>
      </c>
      <c r="AB71" s="18">
        <v>7292769.0099999998</v>
      </c>
      <c r="AD71" s="18">
        <v>2706165.04</v>
      </c>
      <c r="AF71" s="18">
        <v>3634882.21</v>
      </c>
      <c r="AH71" s="18">
        <v>1855181.4700000002</v>
      </c>
      <c r="AJ71" s="18">
        <v>1660599.99</v>
      </c>
      <c r="AL71" s="18">
        <v>5447445.3999999994</v>
      </c>
      <c r="AN71" s="18">
        <v>8585634.8399999999</v>
      </c>
      <c r="AP71" s="18">
        <v>8045911.6112881303</v>
      </c>
      <c r="AR71" s="18">
        <v>2439102.29</v>
      </c>
      <c r="AT71" s="18">
        <v>1946765.1500000001</v>
      </c>
      <c r="AV71" s="18">
        <v>1242837.3263338166</v>
      </c>
    </row>
    <row r="72" spans="1:53">
      <c r="F72" s="41">
        <f>F69-F71</f>
        <v>0</v>
      </c>
      <c r="G72" s="41">
        <f t="shared" ref="G72:AV72" si="15">G69-G71</f>
        <v>0.15917965562852954</v>
      </c>
      <c r="H72" s="41">
        <f t="shared" si="15"/>
        <v>0</v>
      </c>
      <c r="I72" s="41">
        <f t="shared" si="15"/>
        <v>0.17154224945569907</v>
      </c>
      <c r="J72" s="41">
        <f t="shared" si="15"/>
        <v>0</v>
      </c>
      <c r="K72" s="41">
        <f t="shared" si="15"/>
        <v>0.22740761479587801</v>
      </c>
      <c r="L72" s="41">
        <f t="shared" si="15"/>
        <v>0</v>
      </c>
      <c r="M72" s="41">
        <f t="shared" si="15"/>
        <v>0.56559652660878657</v>
      </c>
      <c r="N72" s="41">
        <f t="shared" si="15"/>
        <v>0</v>
      </c>
      <c r="O72" s="41">
        <f t="shared" si="15"/>
        <v>9.5912814341078678E-2</v>
      </c>
      <c r="P72" s="41">
        <f t="shared" si="15"/>
        <v>0</v>
      </c>
      <c r="Q72" s="41">
        <f t="shared" si="15"/>
        <v>0.11104287284746601</v>
      </c>
      <c r="R72" s="41">
        <f t="shared" si="15"/>
        <v>0</v>
      </c>
      <c r="S72" s="41">
        <f t="shared" si="15"/>
        <v>0.62229379385943939</v>
      </c>
      <c r="T72" s="41">
        <f t="shared" si="15"/>
        <v>0</v>
      </c>
      <c r="U72" s="41">
        <f t="shared" si="15"/>
        <v>1.5500285517501771</v>
      </c>
      <c r="V72" s="41">
        <f t="shared" si="15"/>
        <v>0</v>
      </c>
      <c r="W72" s="41">
        <f t="shared" si="15"/>
        <v>1.7997530620294313</v>
      </c>
      <c r="X72" s="41">
        <f t="shared" si="15"/>
        <v>0</v>
      </c>
      <c r="Y72" s="41">
        <f t="shared" si="15"/>
        <v>0.89024522708295506</v>
      </c>
      <c r="Z72" s="41">
        <f t="shared" si="15"/>
        <v>0</v>
      </c>
      <c r="AA72" s="41">
        <f t="shared" si="15"/>
        <v>1.1745496944566063</v>
      </c>
      <c r="AB72" s="41">
        <f t="shared" si="15"/>
        <v>0</v>
      </c>
      <c r="AC72" s="41">
        <f t="shared" si="15"/>
        <v>0.39593570327030447</v>
      </c>
      <c r="AD72" s="41">
        <f t="shared" si="15"/>
        <v>0</v>
      </c>
      <c r="AE72" s="41">
        <f t="shared" si="15"/>
        <v>0.30315041944273446</v>
      </c>
      <c r="AF72" s="41">
        <f t="shared" si="15"/>
        <v>0</v>
      </c>
      <c r="AG72" s="41">
        <f t="shared" si="15"/>
        <v>0.58541017795519035</v>
      </c>
      <c r="AH72" s="41">
        <f t="shared" si="15"/>
        <v>0</v>
      </c>
      <c r="AI72" s="41">
        <f t="shared" si="15"/>
        <v>0.31055971193400217</v>
      </c>
      <c r="AJ72" s="41">
        <f t="shared" si="15"/>
        <v>0</v>
      </c>
      <c r="AK72" s="41">
        <f t="shared" si="15"/>
        <v>0.89938395421152506</v>
      </c>
      <c r="AL72" s="41">
        <f t="shared" si="15"/>
        <v>1290717.7000000002</v>
      </c>
      <c r="AM72" s="41">
        <f t="shared" si="15"/>
        <v>1.7945299054244603</v>
      </c>
      <c r="AN72" s="41">
        <f t="shared" si="15"/>
        <v>2179549.2699999996</v>
      </c>
      <c r="AO72" s="41">
        <f t="shared" si="15"/>
        <v>0.51909528404024052</v>
      </c>
      <c r="AP72" s="41">
        <f t="shared" si="15"/>
        <v>2178752.3987118732</v>
      </c>
      <c r="AQ72" s="41">
        <f t="shared" si="15"/>
        <v>5.840408341036514E-2</v>
      </c>
      <c r="AR72" s="41">
        <f t="shared" si="15"/>
        <v>701754.12999999942</v>
      </c>
      <c r="AS72" s="41">
        <f t="shared" si="15"/>
        <v>0</v>
      </c>
      <c r="AT72" s="41">
        <f t="shared" si="15"/>
        <v>593062.5399999998</v>
      </c>
      <c r="AU72" s="41">
        <f t="shared" si="15"/>
        <v>0.96552767323823607</v>
      </c>
      <c r="AV72" s="41">
        <f t="shared" si="15"/>
        <v>399646.78366618347</v>
      </c>
      <c r="AW72" s="41">
        <f>SUM(F72:AV72)</f>
        <v>7343496.0219270317</v>
      </c>
      <c r="AX72" s="41"/>
      <c r="BA72" s="41">
        <f>BA69-Gantt_apr22_ajustare!BK69</f>
        <v>2877513.602378061</v>
      </c>
    </row>
    <row r="73" spans="1:53">
      <c r="AV73" s="41"/>
      <c r="AW73" s="41"/>
      <c r="AX73" s="41"/>
      <c r="BA73" s="41">
        <f>BA72+Gantt_apr22_ajustare!BI69</f>
        <v>6406274.102378061</v>
      </c>
    </row>
    <row r="74" spans="1:53">
      <c r="D74" s="18">
        <v>77989284.559999987</v>
      </c>
      <c r="X74" s="39"/>
    </row>
    <row r="75" spans="1:53">
      <c r="D75" s="41">
        <f>D69-D74</f>
        <v>-7.6219290494918823E-3</v>
      </c>
    </row>
    <row r="76" spans="1:53">
      <c r="D76" s="41" t="e">
        <f>D74-#REF!</f>
        <v>#REF!</v>
      </c>
    </row>
    <row r="77" spans="1:53">
      <c r="B77" s="41"/>
      <c r="C77" s="182"/>
    </row>
  </sheetData>
  <mergeCells count="47">
    <mergeCell ref="U8:V8"/>
    <mergeCell ref="W8:X8"/>
    <mergeCell ref="Y8:Z8"/>
    <mergeCell ref="AA8:AB8"/>
    <mergeCell ref="E8:F8"/>
    <mergeCell ref="G8:H8"/>
    <mergeCell ref="I8:J8"/>
    <mergeCell ref="K8:L8"/>
    <mergeCell ref="M8:N8"/>
    <mergeCell ref="O8:P8"/>
    <mergeCell ref="AS8:AT8"/>
    <mergeCell ref="AU8:AV8"/>
    <mergeCell ref="E9:F9"/>
    <mergeCell ref="G9:H9"/>
    <mergeCell ref="I9:J9"/>
    <mergeCell ref="K9:L9"/>
    <mergeCell ref="M9:N9"/>
    <mergeCell ref="O9:P9"/>
    <mergeCell ref="AC8:AD8"/>
    <mergeCell ref="AE8:AF8"/>
    <mergeCell ref="AG8:AH8"/>
    <mergeCell ref="AI8:AJ8"/>
    <mergeCell ref="AK8:AL8"/>
    <mergeCell ref="AM8:AN8"/>
    <mergeCell ref="Q8:R8"/>
    <mergeCell ref="S8:T8"/>
    <mergeCell ref="AA9:AB9"/>
    <mergeCell ref="AO8:AP8"/>
    <mergeCell ref="AQ8:AR8"/>
    <mergeCell ref="AO9:AP9"/>
    <mergeCell ref="AQ9:AR9"/>
    <mergeCell ref="AS9:AT9"/>
    <mergeCell ref="AU9:AV9"/>
    <mergeCell ref="E70:J70"/>
    <mergeCell ref="K70:N70"/>
    <mergeCell ref="Q70:V70"/>
    <mergeCell ref="AC9:AD9"/>
    <mergeCell ref="AE9:AF9"/>
    <mergeCell ref="AG9:AH9"/>
    <mergeCell ref="AI9:AJ9"/>
    <mergeCell ref="AK9:AL9"/>
    <mergeCell ref="AM9:AN9"/>
    <mergeCell ref="Q9:R9"/>
    <mergeCell ref="S9:T9"/>
    <mergeCell ref="U9:V9"/>
    <mergeCell ref="W9:X9"/>
    <mergeCell ref="Y9:Z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BO76"/>
  <sheetViews>
    <sheetView topLeftCell="AM59" zoomScale="140" zoomScaleNormal="140" workbookViewId="0">
      <selection activeCell="BL72" sqref="BL72"/>
    </sheetView>
  </sheetViews>
  <sheetFormatPr defaultColWidth="9.109375" defaultRowHeight="13.2"/>
  <cols>
    <col min="1" max="1" width="9.6640625" style="18" customWidth="1"/>
    <col min="2" max="2" width="39.44140625" style="18" customWidth="1"/>
    <col min="3" max="3" width="15" style="18" customWidth="1"/>
    <col min="4" max="4" width="9.109375" style="18" hidden="1" customWidth="1"/>
    <col min="5" max="5" width="9.33203125" style="18" hidden="1" customWidth="1"/>
    <col min="6" max="6" width="9.109375" style="18" hidden="1" customWidth="1"/>
    <col min="7" max="7" width="11.33203125" style="18" hidden="1" customWidth="1"/>
    <col min="8" max="8" width="9.109375" style="18" hidden="1" customWidth="1"/>
    <col min="9" max="9" width="10.109375" style="18" hidden="1" customWidth="1"/>
    <col min="10" max="10" width="8" style="18" hidden="1" customWidth="1"/>
    <col min="11" max="11" width="11.44140625" style="18" hidden="1" customWidth="1"/>
    <col min="12" max="12" width="7.88671875" style="18" hidden="1" customWidth="1"/>
    <col min="13" max="13" width="11.5546875" style="18" hidden="1" customWidth="1"/>
    <col min="14" max="14" width="9.109375" style="18" hidden="1" customWidth="1"/>
    <col min="15" max="15" width="11.109375" style="18" hidden="1" customWidth="1"/>
    <col min="16" max="16" width="9.109375" style="18" hidden="1" customWidth="1"/>
    <col min="17" max="17" width="14.5546875" style="18" hidden="1" customWidth="1"/>
    <col min="18" max="18" width="9.109375" style="18" hidden="1" customWidth="1"/>
    <col min="19" max="19" width="10.6640625" style="18" hidden="1" customWidth="1"/>
    <col min="20" max="20" width="9.109375" style="18" hidden="1" customWidth="1"/>
    <col min="21" max="21" width="11.109375" style="18" hidden="1" customWidth="1"/>
    <col min="22" max="22" width="0" style="18" hidden="1" customWidth="1"/>
    <col min="23" max="23" width="11.33203125" style="18" customWidth="1"/>
    <col min="24" max="24" width="7.5546875" style="18" hidden="1" customWidth="1"/>
    <col min="25" max="25" width="10.33203125" style="18" customWidth="1"/>
    <col min="26" max="26" width="6.88671875" style="18" hidden="1" customWidth="1"/>
    <col min="27" max="27" width="11.109375" style="18" customWidth="1"/>
    <col min="28" max="28" width="7.6640625" style="18" hidden="1" customWidth="1"/>
    <col min="29" max="29" width="11.44140625" style="18" customWidth="1"/>
    <col min="30" max="30" width="6.44140625" style="18" hidden="1" customWidth="1"/>
    <col min="31" max="31" width="11.44140625" style="18" customWidth="1"/>
    <col min="32" max="32" width="8.5546875" style="18" hidden="1" customWidth="1"/>
    <col min="33" max="33" width="12" style="18" customWidth="1"/>
    <col min="34" max="34" width="5.88671875" style="18" hidden="1" customWidth="1"/>
    <col min="35" max="35" width="14.33203125" style="18" customWidth="1"/>
    <col min="36" max="36" width="7.33203125" style="18" hidden="1" customWidth="1"/>
    <col min="37" max="37" width="11" style="18" customWidth="1"/>
    <col min="38" max="38" width="6.33203125" style="18" hidden="1" customWidth="1"/>
    <col min="39" max="39" width="11.44140625" style="18" customWidth="1"/>
    <col min="40" max="40" width="6.6640625" style="18" hidden="1" customWidth="1"/>
    <col min="41" max="41" width="12.44140625" style="18" customWidth="1"/>
    <col min="42" max="42" width="6.5546875" style="18" hidden="1" customWidth="1"/>
    <col min="43" max="43" width="11.109375" style="18" customWidth="1"/>
    <col min="44" max="44" width="6.33203125" style="18" hidden="1" customWidth="1"/>
    <col min="45" max="45" width="10.33203125" style="18" customWidth="1"/>
    <col min="46" max="46" width="7.44140625" style="18" hidden="1" customWidth="1"/>
    <col min="47" max="47" width="14" style="18" customWidth="1"/>
    <col min="48" max="49" width="14" style="18" hidden="1" customWidth="1"/>
    <col min="50" max="51" width="11.33203125" style="18" hidden="1" customWidth="1"/>
    <col min="52" max="56" width="0" style="18" hidden="1" customWidth="1"/>
    <col min="57" max="64" width="9.109375" style="18"/>
    <col min="65" max="65" width="9.88671875" style="18" customWidth="1"/>
    <col min="66" max="66" width="11.6640625" style="18" customWidth="1"/>
    <col min="67" max="16384" width="9.109375" style="18"/>
  </cols>
  <sheetData>
    <row r="1" spans="1:67">
      <c r="A1" s="17" t="s">
        <v>19</v>
      </c>
      <c r="B1" s="18" t="s">
        <v>20</v>
      </c>
    </row>
    <row r="2" spans="1:67">
      <c r="A2" s="17" t="s">
        <v>21</v>
      </c>
      <c r="B2" s="18" t="s">
        <v>22</v>
      </c>
    </row>
    <row r="3" spans="1:67">
      <c r="A3" s="17" t="s">
        <v>23</v>
      </c>
      <c r="B3" s="18" t="s">
        <v>24</v>
      </c>
    </row>
    <row r="4" spans="1:67">
      <c r="A4" s="17" t="s">
        <v>25</v>
      </c>
      <c r="B4" s="18" t="s">
        <v>26</v>
      </c>
    </row>
    <row r="6" spans="1:67" ht="13.8">
      <c r="D6" s="19" t="s">
        <v>27</v>
      </c>
    </row>
    <row r="8" spans="1:67" ht="52.8">
      <c r="A8" s="20" t="s">
        <v>28</v>
      </c>
      <c r="B8" s="20" t="s">
        <v>29</v>
      </c>
      <c r="C8" s="21" t="s">
        <v>30</v>
      </c>
      <c r="D8" s="784" t="s">
        <v>31</v>
      </c>
      <c r="E8" s="785"/>
      <c r="F8" s="784" t="s">
        <v>32</v>
      </c>
      <c r="G8" s="785"/>
      <c r="H8" s="784" t="s">
        <v>33</v>
      </c>
      <c r="I8" s="785"/>
      <c r="J8" s="784" t="s">
        <v>34</v>
      </c>
      <c r="K8" s="785"/>
      <c r="L8" s="784" t="s">
        <v>35</v>
      </c>
      <c r="M8" s="785"/>
      <c r="N8" s="784" t="s">
        <v>36</v>
      </c>
      <c r="O8" s="785"/>
      <c r="P8" s="784" t="s">
        <v>37</v>
      </c>
      <c r="Q8" s="785"/>
      <c r="R8" s="784" t="s">
        <v>38</v>
      </c>
      <c r="S8" s="785"/>
      <c r="T8" s="784" t="s">
        <v>39</v>
      </c>
      <c r="U8" s="785"/>
      <c r="V8" s="784" t="s">
        <v>40</v>
      </c>
      <c r="W8" s="785"/>
      <c r="X8" s="784" t="s">
        <v>41</v>
      </c>
      <c r="Y8" s="785"/>
      <c r="Z8" s="784" t="s">
        <v>42</v>
      </c>
      <c r="AA8" s="785"/>
      <c r="AB8" s="784" t="s">
        <v>43</v>
      </c>
      <c r="AC8" s="785"/>
      <c r="AD8" s="803" t="s">
        <v>44</v>
      </c>
      <c r="AE8" s="804"/>
      <c r="AF8" s="784" t="s">
        <v>45</v>
      </c>
      <c r="AG8" s="785"/>
      <c r="AH8" s="784" t="s">
        <v>46</v>
      </c>
      <c r="AI8" s="785"/>
      <c r="AJ8" s="786" t="s">
        <v>47</v>
      </c>
      <c r="AK8" s="787"/>
      <c r="AL8" s="786" t="s">
        <v>48</v>
      </c>
      <c r="AM8" s="787"/>
      <c r="AN8" s="786" t="s">
        <v>49</v>
      </c>
      <c r="AO8" s="787"/>
      <c r="AP8" s="786" t="s">
        <v>50</v>
      </c>
      <c r="AQ8" s="787"/>
      <c r="AR8" s="786" t="s">
        <v>51</v>
      </c>
      <c r="AS8" s="787"/>
      <c r="AT8" s="786" t="s">
        <v>52</v>
      </c>
      <c r="AU8" s="787"/>
      <c r="AW8" s="22" t="s">
        <v>53</v>
      </c>
      <c r="AX8" s="22" t="s">
        <v>54</v>
      </c>
      <c r="AY8" s="22" t="s">
        <v>55</v>
      </c>
      <c r="BE8" s="157" t="s">
        <v>162</v>
      </c>
      <c r="BF8" s="157" t="s">
        <v>160</v>
      </c>
      <c r="BG8" s="157" t="s">
        <v>161</v>
      </c>
      <c r="BH8" s="157" t="s">
        <v>161</v>
      </c>
      <c r="BI8" s="157" t="s">
        <v>163</v>
      </c>
      <c r="BJ8" s="157" t="s">
        <v>165</v>
      </c>
      <c r="BK8" s="157" t="s">
        <v>164</v>
      </c>
    </row>
    <row r="9" spans="1:67" s="156" customFormat="1" ht="27" customHeight="1">
      <c r="A9" s="20"/>
      <c r="B9" s="20"/>
      <c r="C9" s="21"/>
      <c r="D9" s="792" t="s">
        <v>56</v>
      </c>
      <c r="E9" s="793"/>
      <c r="F9" s="792" t="s">
        <v>57</v>
      </c>
      <c r="G9" s="793"/>
      <c r="H9" s="792" t="s">
        <v>58</v>
      </c>
      <c r="I9" s="797"/>
      <c r="J9" s="792" t="s">
        <v>59</v>
      </c>
      <c r="K9" s="793"/>
      <c r="L9" s="792" t="s">
        <v>60</v>
      </c>
      <c r="M9" s="793"/>
      <c r="N9" s="792" t="s">
        <v>61</v>
      </c>
      <c r="O9" s="793"/>
      <c r="P9" s="792" t="s">
        <v>62</v>
      </c>
      <c r="Q9" s="793"/>
      <c r="R9" s="792" t="s">
        <v>63</v>
      </c>
      <c r="S9" s="793"/>
      <c r="T9" s="792" t="s">
        <v>64</v>
      </c>
      <c r="U9" s="793"/>
      <c r="V9" s="792" t="s">
        <v>65</v>
      </c>
      <c r="W9" s="793"/>
      <c r="X9" s="792" t="s">
        <v>57</v>
      </c>
      <c r="Y9" s="793"/>
      <c r="Z9" s="792" t="s">
        <v>58</v>
      </c>
      <c r="AA9" s="793"/>
      <c r="AB9" s="792" t="s">
        <v>59</v>
      </c>
      <c r="AC9" s="793"/>
      <c r="AD9" s="801" t="s">
        <v>60</v>
      </c>
      <c r="AE9" s="802"/>
      <c r="AF9" s="792" t="s">
        <v>61</v>
      </c>
      <c r="AG9" s="793"/>
      <c r="AH9" s="792" t="s">
        <v>66</v>
      </c>
      <c r="AI9" s="793"/>
      <c r="AJ9" s="789" t="s">
        <v>67</v>
      </c>
      <c r="AK9" s="790"/>
      <c r="AL9" s="789" t="s">
        <v>68</v>
      </c>
      <c r="AM9" s="790"/>
      <c r="AN9" s="789" t="s">
        <v>65</v>
      </c>
      <c r="AO9" s="790"/>
      <c r="AP9" s="789" t="s">
        <v>57</v>
      </c>
      <c r="AQ9" s="790"/>
      <c r="AR9" s="789" t="s">
        <v>58</v>
      </c>
      <c r="AS9" s="790"/>
      <c r="AT9" s="789" t="s">
        <v>59</v>
      </c>
      <c r="AU9" s="800"/>
      <c r="AW9" s="157"/>
      <c r="AX9" s="157"/>
      <c r="AY9" s="157"/>
      <c r="BE9" s="157"/>
      <c r="BF9" s="157"/>
      <c r="BG9" s="157"/>
      <c r="BH9" s="157"/>
      <c r="BI9" s="157"/>
      <c r="BJ9" s="157"/>
      <c r="BK9" s="157"/>
    </row>
    <row r="10" spans="1:67" s="162" customFormat="1" ht="13.8">
      <c r="A10" s="24"/>
      <c r="B10" s="24"/>
      <c r="C10" s="25"/>
      <c r="D10" s="158" t="s">
        <v>69</v>
      </c>
      <c r="E10" s="159" t="s">
        <v>70</v>
      </c>
      <c r="F10" s="158" t="s">
        <v>69</v>
      </c>
      <c r="G10" s="159" t="s">
        <v>70</v>
      </c>
      <c r="H10" s="158" t="s">
        <v>69</v>
      </c>
      <c r="I10" s="160" t="s">
        <v>70</v>
      </c>
      <c r="J10" s="158" t="s">
        <v>69</v>
      </c>
      <c r="K10" s="159" t="s">
        <v>70</v>
      </c>
      <c r="L10" s="158" t="s">
        <v>69</v>
      </c>
      <c r="M10" s="159" t="s">
        <v>70</v>
      </c>
      <c r="N10" s="158" t="s">
        <v>69</v>
      </c>
      <c r="O10" s="159" t="s">
        <v>70</v>
      </c>
      <c r="P10" s="158" t="s">
        <v>69</v>
      </c>
      <c r="Q10" s="159" t="s">
        <v>70</v>
      </c>
      <c r="R10" s="158" t="s">
        <v>69</v>
      </c>
      <c r="S10" s="159" t="s">
        <v>70</v>
      </c>
      <c r="T10" s="158" t="s">
        <v>69</v>
      </c>
      <c r="U10" s="159" t="s">
        <v>70</v>
      </c>
      <c r="V10" s="158" t="s">
        <v>69</v>
      </c>
      <c r="W10" s="159" t="s">
        <v>70</v>
      </c>
      <c r="X10" s="158" t="s">
        <v>69</v>
      </c>
      <c r="Y10" s="159" t="s">
        <v>70</v>
      </c>
      <c r="Z10" s="158" t="s">
        <v>69</v>
      </c>
      <c r="AA10" s="159" t="s">
        <v>70</v>
      </c>
      <c r="AB10" s="158" t="s">
        <v>69</v>
      </c>
      <c r="AC10" s="159" t="s">
        <v>70</v>
      </c>
      <c r="AD10" s="158" t="s">
        <v>69</v>
      </c>
      <c r="AE10" s="159" t="s">
        <v>70</v>
      </c>
      <c r="AF10" s="158" t="s">
        <v>69</v>
      </c>
      <c r="AG10" s="159" t="s">
        <v>70</v>
      </c>
      <c r="AH10" s="158" t="s">
        <v>69</v>
      </c>
      <c r="AI10" s="159" t="s">
        <v>70</v>
      </c>
      <c r="AJ10" s="158" t="s">
        <v>69</v>
      </c>
      <c r="AK10" s="159" t="s">
        <v>70</v>
      </c>
      <c r="AL10" s="158" t="s">
        <v>69</v>
      </c>
      <c r="AM10" s="159" t="s">
        <v>70</v>
      </c>
      <c r="AN10" s="158" t="s">
        <v>69</v>
      </c>
      <c r="AO10" s="159" t="s">
        <v>70</v>
      </c>
      <c r="AP10" s="158" t="s">
        <v>69</v>
      </c>
      <c r="AQ10" s="159" t="s">
        <v>70</v>
      </c>
      <c r="AR10" s="158" t="s">
        <v>69</v>
      </c>
      <c r="AS10" s="159" t="s">
        <v>70</v>
      </c>
      <c r="AT10" s="158" t="s">
        <v>69</v>
      </c>
      <c r="AU10" s="161" t="s">
        <v>70</v>
      </c>
      <c r="AW10" s="163"/>
      <c r="AX10" s="163"/>
      <c r="AY10" s="163"/>
      <c r="BE10" s="163"/>
      <c r="BF10" s="163"/>
      <c r="BG10" s="163"/>
      <c r="BH10" s="163"/>
      <c r="BI10" s="163"/>
      <c r="BJ10" s="163"/>
      <c r="BK10" s="163"/>
    </row>
    <row r="11" spans="1:67" ht="14.4">
      <c r="A11" s="30">
        <v>24.2</v>
      </c>
      <c r="B11" s="31" t="s">
        <v>71</v>
      </c>
      <c r="C11" s="164">
        <f>SUM(C12:C13)</f>
        <v>90772.06</v>
      </c>
      <c r="D11" s="164">
        <f t="shared" ref="D11:AI11" si="0">SUM(D12:D13)</f>
        <v>7.7321411634552875E-2</v>
      </c>
      <c r="E11" s="164">
        <f t="shared" si="0"/>
        <v>0</v>
      </c>
      <c r="F11" s="164">
        <f t="shared" si="0"/>
        <v>0</v>
      </c>
      <c r="G11" s="164">
        <f t="shared" si="0"/>
        <v>0</v>
      </c>
      <c r="H11" s="164">
        <f t="shared" si="0"/>
        <v>0</v>
      </c>
      <c r="I11" s="164">
        <f t="shared" si="0"/>
        <v>0</v>
      </c>
      <c r="J11" s="164">
        <f t="shared" si="0"/>
        <v>0</v>
      </c>
      <c r="K11" s="164">
        <f t="shared" si="0"/>
        <v>0</v>
      </c>
      <c r="L11" s="164">
        <f t="shared" si="0"/>
        <v>0</v>
      </c>
      <c r="M11" s="164">
        <f t="shared" si="0"/>
        <v>0</v>
      </c>
      <c r="N11" s="164">
        <f t="shared" si="0"/>
        <v>0</v>
      </c>
      <c r="O11" s="164">
        <f t="shared" si="0"/>
        <v>0</v>
      </c>
      <c r="P11" s="164">
        <f t="shared" si="0"/>
        <v>0</v>
      </c>
      <c r="Q11" s="164">
        <f t="shared" si="0"/>
        <v>0</v>
      </c>
      <c r="R11" s="164">
        <f t="shared" si="0"/>
        <v>0</v>
      </c>
      <c r="S11" s="164">
        <f t="shared" si="0"/>
        <v>0</v>
      </c>
      <c r="T11" s="164">
        <f t="shared" si="0"/>
        <v>0</v>
      </c>
      <c r="U11" s="164">
        <f t="shared" si="0"/>
        <v>0</v>
      </c>
      <c r="V11" s="164">
        <f t="shared" si="0"/>
        <v>0.31385070487827427</v>
      </c>
      <c r="W11" s="164">
        <f t="shared" si="0"/>
        <v>17663.53</v>
      </c>
      <c r="X11" s="164">
        <f t="shared" si="0"/>
        <v>0</v>
      </c>
      <c r="Y11" s="164">
        <f t="shared" si="0"/>
        <v>32557.659999999996</v>
      </c>
      <c r="Z11" s="164">
        <f t="shared" si="0"/>
        <v>0</v>
      </c>
      <c r="AA11" s="164">
        <f t="shared" si="0"/>
        <v>8860.5299999999988</v>
      </c>
      <c r="AB11" s="164">
        <f t="shared" si="0"/>
        <v>0</v>
      </c>
      <c r="AC11" s="164">
        <f t="shared" si="0"/>
        <v>2232.86</v>
      </c>
      <c r="AD11" s="164">
        <f t="shared" si="0"/>
        <v>0</v>
      </c>
      <c r="AE11" s="164">
        <f t="shared" ref="AE11" si="1">SUM(AE12:AE13)</f>
        <v>0</v>
      </c>
      <c r="AF11" s="164">
        <f t="shared" si="0"/>
        <v>0</v>
      </c>
      <c r="AG11" s="164">
        <f t="shared" si="0"/>
        <v>0</v>
      </c>
      <c r="AH11" s="164">
        <f t="shared" si="0"/>
        <v>0</v>
      </c>
      <c r="AI11" s="164">
        <f t="shared" si="0"/>
        <v>0</v>
      </c>
      <c r="AJ11" s="192"/>
      <c r="AK11" s="196">
        <f>ROUND((centralizator!$R$18-1)*Gantt!AK11,2)</f>
        <v>27318.04</v>
      </c>
      <c r="AL11" s="196">
        <f>ROUND((centralizator!$R$18-1)*Gantt!AL11,2)</f>
        <v>0</v>
      </c>
      <c r="AM11" s="196">
        <f>ROUND((centralizator!$S$18-1)*Gantt!AM11,2)</f>
        <v>0</v>
      </c>
      <c r="AN11" s="192"/>
      <c r="AO11" s="196">
        <f>ROUND((centralizator!$T$18-1)*Gantt!AO11,2)</f>
        <v>0</v>
      </c>
      <c r="AP11" s="192"/>
      <c r="AQ11" s="196">
        <f>ROUND((centralizator!$U$18-1)*Gantt!AQ11,2)</f>
        <v>0</v>
      </c>
      <c r="AR11" s="192"/>
      <c r="AS11" s="196">
        <f>ROUND((centralizator!$V$18-1)*Gantt!AS11,2)</f>
        <v>0</v>
      </c>
      <c r="AT11" s="173">
        <v>4.1018481986732393E-3</v>
      </c>
      <c r="AU11" s="196">
        <f>ROUND((centralizator!$W$18-1)*Gantt!AU11,2)</f>
        <v>2139.44</v>
      </c>
      <c r="AV11" s="39">
        <f t="shared" ref="AV11:AV42" si="2">C11-(AU11+AS11+AQ11+AO11+AM11+AK11+AI11+AG11+AE11+AC11+AA11+Y11+W11+U11+S11+Q11+O11+M11+K11+I11+G11+E11)</f>
        <v>0</v>
      </c>
      <c r="AW11" s="40">
        <f>SUM(D11:AI11)</f>
        <v>61314.971172116508</v>
      </c>
      <c r="AX11" s="40">
        <f>SUM(AJ11:AU11)</f>
        <v>29457.484101848197</v>
      </c>
      <c r="AY11" s="40">
        <f>AW11+AX11</f>
        <v>90772.455273964704</v>
      </c>
      <c r="AZ11" s="41">
        <f t="shared" ref="AZ11:AZ42" si="3">C11-AY11</f>
        <v>-0.3952739647065755</v>
      </c>
      <c r="BE11" s="40">
        <f>W11+Y11+AA11+AC11+AE11+AG11+AI11</f>
        <v>61314.579999999994</v>
      </c>
      <c r="BF11" s="40">
        <f>AK11+AM11+AO11+AQ11+AS11+AU11</f>
        <v>29457.48</v>
      </c>
      <c r="BG11" s="40">
        <f>ROUND(BE11*19%,2)</f>
        <v>11649.77</v>
      </c>
      <c r="BH11" s="40">
        <f>ROUND(BF11*19%,2)</f>
        <v>5596.92</v>
      </c>
      <c r="BI11" s="40">
        <f>BE11+BG11</f>
        <v>72964.349999999991</v>
      </c>
      <c r="BJ11" s="40">
        <f>BF11+BH11</f>
        <v>35054.400000000001</v>
      </c>
      <c r="BK11" s="40">
        <f>BI11+BJ11</f>
        <v>108018.75</v>
      </c>
      <c r="BL11" s="41"/>
      <c r="BM11" s="41">
        <f>BE11+BF11</f>
        <v>90772.06</v>
      </c>
      <c r="BN11" s="41">
        <f t="shared" ref="BN11:BN42" si="4">AU11+AS11+AQ11+AO11+AM11+AK11+AG11++AI11+AE11+AC11+AA11+Y11+W11+U11+S11+Q11+O11+M11+K11+I11+G11+E11</f>
        <v>90772.06</v>
      </c>
      <c r="BO11" s="41">
        <f t="shared" ref="BO11:BO42" si="5">BN11-C11</f>
        <v>0</v>
      </c>
    </row>
    <row r="12" spans="1:67" ht="14.4">
      <c r="A12" s="42" t="s">
        <v>72</v>
      </c>
      <c r="B12" s="43" t="s">
        <v>71</v>
      </c>
      <c r="C12" s="165">
        <f>E12+G12+I12+K12+M12+O12+Q12+S12+U12+W12+Y12+AA12+AC12+AE12+AG12+AI12+AK12+AM12+AO12+AQ12+AS12+AU12</f>
        <v>28157.77</v>
      </c>
      <c r="D12" s="166">
        <v>7.7321411634552875E-2</v>
      </c>
      <c r="E12" s="187"/>
      <c r="F12" s="173"/>
      <c r="G12" s="187"/>
      <c r="H12" s="173"/>
      <c r="I12" s="188"/>
      <c r="J12" s="173"/>
      <c r="K12" s="187"/>
      <c r="L12" s="173"/>
      <c r="M12" s="174"/>
      <c r="N12" s="173"/>
      <c r="O12" s="174"/>
      <c r="P12" s="176"/>
      <c r="Q12" s="174"/>
      <c r="R12" s="186"/>
      <c r="S12" s="174"/>
      <c r="T12" s="186"/>
      <c r="U12" s="174"/>
      <c r="V12" s="167">
        <v>0.13876404304135781</v>
      </c>
      <c r="W12" s="196">
        <v>9648.7000000000007</v>
      </c>
      <c r="X12" s="173"/>
      <c r="Y12" s="196">
        <v>8576.3799999999992</v>
      </c>
      <c r="Z12" s="173"/>
      <c r="AA12" s="196">
        <v>4138.53</v>
      </c>
      <c r="AB12" s="173"/>
      <c r="AC12" s="196">
        <v>1287.76</v>
      </c>
      <c r="AD12" s="173"/>
      <c r="AE12" s="196">
        <v>0</v>
      </c>
      <c r="AF12" s="173"/>
      <c r="AG12" s="196">
        <v>0</v>
      </c>
      <c r="AH12" s="173"/>
      <c r="AI12" s="196">
        <v>0</v>
      </c>
      <c r="AJ12" s="173">
        <v>1.0520324730628312E-2</v>
      </c>
      <c r="AK12" s="196">
        <f>ROUND((centralizator!$R$18-1)*Gantt!AK12,2)</f>
        <v>2438.11</v>
      </c>
      <c r="AL12" s="174"/>
      <c r="AM12" s="196">
        <f>ROUND((centralizator!$S$18-1)*Gantt!AM12,2)</f>
        <v>0</v>
      </c>
      <c r="AN12" s="174"/>
      <c r="AO12" s="196">
        <f>ROUND((centralizator!$T$18-1)*Gantt!AO12,2)</f>
        <v>0</v>
      </c>
      <c r="AP12" s="174"/>
      <c r="AQ12" s="196">
        <f>ROUND((centralizator!$U$18-1)*Gantt!AQ12,2)</f>
        <v>0</v>
      </c>
      <c r="AR12" s="174"/>
      <c r="AS12" s="196">
        <f>ROUND((centralizator!$V$18-1)*Gantt!AS12,2)</f>
        <v>0</v>
      </c>
      <c r="AT12" s="173">
        <v>6.5760220593114507E-3</v>
      </c>
      <c r="AU12" s="196">
        <f>ROUND((centralizator!$W$18-1)*Gantt!AU12,2)</f>
        <v>2068.29</v>
      </c>
      <c r="AV12" s="39">
        <f t="shared" si="2"/>
        <v>0</v>
      </c>
      <c r="AW12" s="40">
        <f>SUM(D12:AI12)</f>
        <v>23651.586085454674</v>
      </c>
      <c r="AX12" s="40">
        <f>SUM(AJ12:AU12)</f>
        <v>4506.4170963467895</v>
      </c>
      <c r="AY12" s="40">
        <f>AW12+AX12</f>
        <v>28158.003181801461</v>
      </c>
      <c r="AZ12" s="41">
        <f t="shared" si="3"/>
        <v>-0.23318180146088707</v>
      </c>
      <c r="BE12" s="40">
        <f t="shared" ref="BE12:BE68" si="6">W12+Y12+AA12+AC12+AE12+AG12+AI12</f>
        <v>23651.37</v>
      </c>
      <c r="BF12" s="40">
        <f t="shared" ref="BF12:BF68" si="7">AK12+AM12+AO12+AQ12+AS12+AU12</f>
        <v>4506.3999999999996</v>
      </c>
      <c r="BG12" s="40">
        <f t="shared" ref="BG12:BG68" si="8">ROUND(BE12*19%,2)</f>
        <v>4493.76</v>
      </c>
      <c r="BH12" s="40">
        <f t="shared" ref="BH12:BH68" si="9">ROUND(BF12*19%,2)</f>
        <v>856.22</v>
      </c>
      <c r="BI12" s="40">
        <f t="shared" ref="BI12:BI68" si="10">BE12+BG12</f>
        <v>28145.129999999997</v>
      </c>
      <c r="BJ12" s="40">
        <f t="shared" ref="BJ12:BJ68" si="11">BF12+BH12</f>
        <v>5362.62</v>
      </c>
      <c r="BK12" s="40">
        <f t="shared" ref="BK12:BK68" si="12">BI12+BJ12</f>
        <v>33507.75</v>
      </c>
      <c r="BL12" s="41"/>
      <c r="BM12" s="41">
        <f t="shared" ref="BM12:BM69" si="13">BE12+BF12</f>
        <v>28157.769999999997</v>
      </c>
      <c r="BN12" s="41">
        <f t="shared" si="4"/>
        <v>28157.77</v>
      </c>
      <c r="BO12" s="41">
        <f t="shared" si="5"/>
        <v>0</v>
      </c>
    </row>
    <row r="13" spans="1:67" ht="14.4">
      <c r="A13" s="42"/>
      <c r="B13" s="57" t="s">
        <v>73</v>
      </c>
      <c r="C13" s="165">
        <f>E13+G13+I13+K13+M13+O13+Q13+S13+U13+W13+Y13+AA13+AC13+AE13+AG13+AI13+AK13+AM13+AO13+AQ13+AS13+AU13</f>
        <v>62614.29</v>
      </c>
      <c r="D13" s="168">
        <v>0</v>
      </c>
      <c r="E13" s="189"/>
      <c r="F13" s="173"/>
      <c r="G13" s="189"/>
      <c r="H13" s="173"/>
      <c r="I13" s="190"/>
      <c r="J13" s="173"/>
      <c r="K13" s="189"/>
      <c r="L13" s="173"/>
      <c r="M13" s="189"/>
      <c r="N13" s="173"/>
      <c r="O13" s="191"/>
      <c r="P13" s="176"/>
      <c r="Q13" s="189"/>
      <c r="R13" s="186"/>
      <c r="S13" s="189"/>
      <c r="T13" s="186"/>
      <c r="U13" s="189"/>
      <c r="V13" s="169">
        <v>0.17508666183691646</v>
      </c>
      <c r="W13" s="196">
        <v>8014.83</v>
      </c>
      <c r="X13" s="173"/>
      <c r="Y13" s="196">
        <v>23981.279999999999</v>
      </c>
      <c r="Z13" s="173"/>
      <c r="AA13" s="196">
        <v>4722</v>
      </c>
      <c r="AB13" s="173"/>
      <c r="AC13" s="196">
        <v>945.1</v>
      </c>
      <c r="AD13" s="173"/>
      <c r="AE13" s="196">
        <v>0</v>
      </c>
      <c r="AF13" s="173"/>
      <c r="AG13" s="196">
        <v>0</v>
      </c>
      <c r="AH13" s="173"/>
      <c r="AI13" s="196">
        <v>0</v>
      </c>
      <c r="AJ13" s="178">
        <v>0.16307038185340778</v>
      </c>
      <c r="AK13" s="196">
        <f>ROUND((centralizator!$R$18-1)*Gantt!AK13,2)</f>
        <v>24879.93</v>
      </c>
      <c r="AL13" s="174">
        <v>0</v>
      </c>
      <c r="AM13" s="196">
        <f>ROUND((centralizator!$S$18-1)*Gantt!AM13,2)</f>
        <v>0</v>
      </c>
      <c r="AN13" s="174"/>
      <c r="AO13" s="196">
        <f>ROUND((centralizator!$T$18-1)*Gantt!AO13,2)</f>
        <v>0</v>
      </c>
      <c r="AP13" s="174"/>
      <c r="AQ13" s="196">
        <f>ROUND((centralizator!$U$18-1)*Gantt!AQ13,2)</f>
        <v>0</v>
      </c>
      <c r="AR13" s="174"/>
      <c r="AS13" s="196">
        <f>ROUND((centralizator!$V$18-1)*Gantt!AS13,2)</f>
        <v>0</v>
      </c>
      <c r="AT13" s="173">
        <v>2.262321927275146E-4</v>
      </c>
      <c r="AU13" s="196">
        <f>ROUND((centralizator!$W$18-1)*Gantt!AU13,2)</f>
        <v>71.150000000000006</v>
      </c>
      <c r="AV13" s="39">
        <f t="shared" si="2"/>
        <v>0</v>
      </c>
      <c r="AW13" s="40">
        <f>SUM(D13:AI13)</f>
        <v>37663.385086661838</v>
      </c>
      <c r="AX13" s="40">
        <f>SUM(AJ13:AU13)</f>
        <v>24951.243296614048</v>
      </c>
      <c r="AY13" s="40">
        <f>AW13+AX13</f>
        <v>62614.628383275885</v>
      </c>
      <c r="AZ13" s="41">
        <f t="shared" si="3"/>
        <v>-0.33838327588455286</v>
      </c>
      <c r="BE13" s="40">
        <f t="shared" si="6"/>
        <v>37663.21</v>
      </c>
      <c r="BF13" s="40">
        <f t="shared" si="7"/>
        <v>24951.08</v>
      </c>
      <c r="BG13" s="40">
        <f t="shared" si="8"/>
        <v>7156.01</v>
      </c>
      <c r="BH13" s="40">
        <f t="shared" si="9"/>
        <v>4740.71</v>
      </c>
      <c r="BI13" s="40">
        <f t="shared" si="10"/>
        <v>44819.22</v>
      </c>
      <c r="BJ13" s="40">
        <f t="shared" si="11"/>
        <v>29691.79</v>
      </c>
      <c r="BK13" s="40">
        <f t="shared" si="12"/>
        <v>74511.010000000009</v>
      </c>
      <c r="BL13" s="41"/>
      <c r="BM13" s="41">
        <f t="shared" si="13"/>
        <v>62614.29</v>
      </c>
      <c r="BN13" s="41">
        <f t="shared" si="4"/>
        <v>62614.29</v>
      </c>
      <c r="BO13" s="41">
        <f t="shared" si="5"/>
        <v>0</v>
      </c>
    </row>
    <row r="14" spans="1:67" ht="14.4">
      <c r="A14" s="30">
        <v>24.3</v>
      </c>
      <c r="B14" s="31" t="s">
        <v>74</v>
      </c>
      <c r="C14" s="164">
        <f>C15</f>
        <v>51701.32</v>
      </c>
      <c r="D14" s="164">
        <f t="shared" ref="D14:AI14" si="14">D15</f>
        <v>0</v>
      </c>
      <c r="E14" s="164">
        <f t="shared" si="14"/>
        <v>0</v>
      </c>
      <c r="F14" s="164">
        <f t="shared" si="14"/>
        <v>0</v>
      </c>
      <c r="G14" s="164">
        <f t="shared" si="14"/>
        <v>0</v>
      </c>
      <c r="H14" s="164">
        <f t="shared" si="14"/>
        <v>0</v>
      </c>
      <c r="I14" s="164">
        <f t="shared" si="14"/>
        <v>0</v>
      </c>
      <c r="J14" s="164">
        <f t="shared" si="14"/>
        <v>0</v>
      </c>
      <c r="K14" s="164">
        <f t="shared" si="14"/>
        <v>0</v>
      </c>
      <c r="L14" s="164">
        <f t="shared" si="14"/>
        <v>0</v>
      </c>
      <c r="M14" s="164">
        <f t="shared" si="14"/>
        <v>0</v>
      </c>
      <c r="N14" s="164">
        <f t="shared" si="14"/>
        <v>0</v>
      </c>
      <c r="O14" s="164">
        <f t="shared" si="14"/>
        <v>0</v>
      </c>
      <c r="P14" s="164">
        <f t="shared" si="14"/>
        <v>0</v>
      </c>
      <c r="Q14" s="164">
        <f t="shared" si="14"/>
        <v>0</v>
      </c>
      <c r="R14" s="164">
        <f t="shared" si="14"/>
        <v>0</v>
      </c>
      <c r="S14" s="164">
        <f t="shared" si="14"/>
        <v>0</v>
      </c>
      <c r="T14" s="164">
        <f t="shared" si="14"/>
        <v>0</v>
      </c>
      <c r="U14" s="164">
        <f t="shared" si="14"/>
        <v>0</v>
      </c>
      <c r="V14" s="164">
        <f t="shared" si="14"/>
        <v>0</v>
      </c>
      <c r="W14" s="164">
        <f t="shared" si="14"/>
        <v>0</v>
      </c>
      <c r="X14" s="164">
        <f t="shared" si="14"/>
        <v>0</v>
      </c>
      <c r="Y14" s="164">
        <f t="shared" si="14"/>
        <v>0</v>
      </c>
      <c r="Z14" s="164">
        <f t="shared" si="14"/>
        <v>0</v>
      </c>
      <c r="AA14" s="164">
        <f t="shared" si="14"/>
        <v>0</v>
      </c>
      <c r="AB14" s="164">
        <f t="shared" si="14"/>
        <v>0</v>
      </c>
      <c r="AC14" s="164">
        <f t="shared" si="14"/>
        <v>0</v>
      </c>
      <c r="AD14" s="164">
        <f t="shared" si="14"/>
        <v>0</v>
      </c>
      <c r="AE14" s="164">
        <f t="shared" si="14"/>
        <v>0</v>
      </c>
      <c r="AF14" s="164">
        <f t="shared" si="14"/>
        <v>0</v>
      </c>
      <c r="AG14" s="164">
        <f t="shared" si="14"/>
        <v>0</v>
      </c>
      <c r="AH14" s="164">
        <f t="shared" si="14"/>
        <v>0</v>
      </c>
      <c r="AI14" s="164">
        <f t="shared" si="14"/>
        <v>0</v>
      </c>
      <c r="AJ14" s="197"/>
      <c r="AK14" s="196">
        <f>ROUND((centralizator!$R$18-1)*Gantt!AK14,2)</f>
        <v>0</v>
      </c>
      <c r="AL14" s="192"/>
      <c r="AM14" s="196">
        <f>ROUND((centralizator!$S$18-1)*Gantt!AM14,2)</f>
        <v>0</v>
      </c>
      <c r="AN14" s="192"/>
      <c r="AO14" s="196">
        <f>ROUND((centralizator!$T$18-1)*Gantt!AO14,2)</f>
        <v>12247.83</v>
      </c>
      <c r="AP14" s="192"/>
      <c r="AQ14" s="196">
        <f>ROUND((centralizator!$U$18-1)*Gantt!AQ14,2)</f>
        <v>19202.34</v>
      </c>
      <c r="AR14" s="192"/>
      <c r="AS14" s="196">
        <f>ROUND((centralizator!$V$18-1)*Gantt!AS14,2)</f>
        <v>20251.150000000001</v>
      </c>
      <c r="AT14" s="173">
        <v>0</v>
      </c>
      <c r="AU14" s="196">
        <f>ROUND((centralizator!$W$18-1)*Gantt!AU14,2)</f>
        <v>0</v>
      </c>
      <c r="AV14" s="39">
        <f t="shared" si="2"/>
        <v>0</v>
      </c>
      <c r="AW14" s="40">
        <f t="shared" ref="AW14:AW68" si="15">SUM(D14:AI14)</f>
        <v>0</v>
      </c>
      <c r="AX14" s="40">
        <f t="shared" ref="AX14:AX68" si="16">SUM(AJ14:AU14)</f>
        <v>51701.32</v>
      </c>
      <c r="AY14" s="40">
        <f t="shared" ref="AY14:AY68" si="17">AW14+AX14</f>
        <v>51701.32</v>
      </c>
      <c r="AZ14" s="41">
        <f t="shared" si="3"/>
        <v>0</v>
      </c>
      <c r="BE14" s="40">
        <f t="shared" si="6"/>
        <v>0</v>
      </c>
      <c r="BF14" s="40">
        <f t="shared" si="7"/>
        <v>51701.32</v>
      </c>
      <c r="BG14" s="40">
        <f t="shared" si="8"/>
        <v>0</v>
      </c>
      <c r="BH14" s="40">
        <f t="shared" si="9"/>
        <v>9823.25</v>
      </c>
      <c r="BI14" s="40">
        <f t="shared" si="10"/>
        <v>0</v>
      </c>
      <c r="BJ14" s="40">
        <f t="shared" si="11"/>
        <v>61524.57</v>
      </c>
      <c r="BK14" s="40">
        <f t="shared" si="12"/>
        <v>61524.57</v>
      </c>
      <c r="BL14" s="41"/>
      <c r="BM14" s="41">
        <f t="shared" si="13"/>
        <v>51701.32</v>
      </c>
      <c r="BN14" s="41">
        <f t="shared" si="4"/>
        <v>51701.320000000007</v>
      </c>
      <c r="BO14" s="41">
        <f t="shared" si="5"/>
        <v>0</v>
      </c>
    </row>
    <row r="15" spans="1:67" ht="14.4">
      <c r="A15" s="42" t="s">
        <v>75</v>
      </c>
      <c r="B15" s="43" t="s">
        <v>74</v>
      </c>
      <c r="C15" s="165">
        <f>E15+G15+I15+K15+M15+O15+Q15+S15+U15+W15+Y15+AA15+AC15+AE15+AG15+AI15+AK15+AM15+AO15+AQ15+AS15+AU15</f>
        <v>51701.32</v>
      </c>
      <c r="D15" s="168">
        <v>0</v>
      </c>
      <c r="E15" s="187"/>
      <c r="F15" s="173"/>
      <c r="G15" s="187"/>
      <c r="H15" s="173"/>
      <c r="I15" s="188"/>
      <c r="J15" s="173"/>
      <c r="K15" s="187"/>
      <c r="L15" s="173"/>
      <c r="M15" s="187"/>
      <c r="N15" s="173"/>
      <c r="O15" s="187"/>
      <c r="P15" s="176"/>
      <c r="Q15" s="187"/>
      <c r="R15" s="186"/>
      <c r="S15" s="187"/>
      <c r="T15" s="186"/>
      <c r="U15" s="187"/>
      <c r="V15" s="171">
        <v>0</v>
      </c>
      <c r="W15" s="196">
        <v>0</v>
      </c>
      <c r="X15" s="173"/>
      <c r="Y15" s="196">
        <v>0</v>
      </c>
      <c r="Z15" s="173"/>
      <c r="AA15" s="196">
        <v>0</v>
      </c>
      <c r="AB15" s="173"/>
      <c r="AC15" s="196">
        <v>0</v>
      </c>
      <c r="AD15" s="173"/>
      <c r="AE15" s="196">
        <v>0</v>
      </c>
      <c r="AF15" s="173"/>
      <c r="AG15" s="196">
        <v>0</v>
      </c>
      <c r="AH15" s="173"/>
      <c r="AI15" s="196">
        <v>0</v>
      </c>
      <c r="AJ15" s="174"/>
      <c r="AK15" s="196">
        <f>ROUND((centralizator!$R$18-1)*Gantt!AK15,2)</f>
        <v>0</v>
      </c>
      <c r="AL15" s="174"/>
      <c r="AM15" s="196">
        <f>ROUND((centralizator!$S$18-1)*Gantt!AM15,2)</f>
        <v>0</v>
      </c>
      <c r="AN15" s="173">
        <v>0.25346367668816727</v>
      </c>
      <c r="AO15" s="196">
        <f>ROUND((centralizator!$T$18-1)*Gantt!AO15,2)</f>
        <v>12247.83</v>
      </c>
      <c r="AP15" s="173">
        <v>0.3740144308981132</v>
      </c>
      <c r="AQ15" s="196">
        <f>ROUND((centralizator!$U$18-1)*Gantt!AQ15,2)</f>
        <v>19202.34</v>
      </c>
      <c r="AR15" s="173">
        <v>0.37252189241371952</v>
      </c>
      <c r="AS15" s="196">
        <f>ROUND((centralizator!$V$18-1)*Gantt!AS15,2)</f>
        <v>20251.150000000001</v>
      </c>
      <c r="AT15" s="173">
        <v>0</v>
      </c>
      <c r="AU15" s="196">
        <f>ROUND((centralizator!$W$18-1)*Gantt!AU15,2)</f>
        <v>0</v>
      </c>
      <c r="AV15" s="39">
        <f t="shared" si="2"/>
        <v>0</v>
      </c>
      <c r="AW15" s="40">
        <f t="shared" si="15"/>
        <v>0</v>
      </c>
      <c r="AX15" s="40">
        <f t="shared" si="16"/>
        <v>51702.320000000007</v>
      </c>
      <c r="AY15" s="40">
        <f t="shared" si="17"/>
        <v>51702.320000000007</v>
      </c>
      <c r="AZ15" s="41">
        <f t="shared" si="3"/>
        <v>-1.000000000007276</v>
      </c>
      <c r="BE15" s="40">
        <f t="shared" si="6"/>
        <v>0</v>
      </c>
      <c r="BF15" s="40">
        <f t="shared" si="7"/>
        <v>51701.32</v>
      </c>
      <c r="BG15" s="40">
        <f t="shared" si="8"/>
        <v>0</v>
      </c>
      <c r="BH15" s="40">
        <f t="shared" si="9"/>
        <v>9823.25</v>
      </c>
      <c r="BI15" s="40">
        <f t="shared" si="10"/>
        <v>0</v>
      </c>
      <c r="BJ15" s="40">
        <f t="shared" si="11"/>
        <v>61524.57</v>
      </c>
      <c r="BK15" s="40">
        <f t="shared" si="12"/>
        <v>61524.57</v>
      </c>
      <c r="BL15" s="41"/>
      <c r="BM15" s="41">
        <f t="shared" si="13"/>
        <v>51701.32</v>
      </c>
      <c r="BN15" s="41">
        <f t="shared" si="4"/>
        <v>51701.320000000007</v>
      </c>
      <c r="BO15" s="41">
        <f t="shared" si="5"/>
        <v>0</v>
      </c>
    </row>
    <row r="16" spans="1:67" ht="14.4">
      <c r="A16" s="30">
        <v>24.4</v>
      </c>
      <c r="B16" s="31" t="s">
        <v>76</v>
      </c>
      <c r="C16" s="164">
        <f>SUM(C17:C18)</f>
        <v>268658.06999999995</v>
      </c>
      <c r="D16" s="164">
        <f t="shared" ref="D16:AI16" si="18">SUM(D17:D18)</f>
        <v>6.1531835517373108E-3</v>
      </c>
      <c r="E16" s="164">
        <f t="shared" si="18"/>
        <v>0</v>
      </c>
      <c r="F16" s="164">
        <f t="shared" si="18"/>
        <v>0</v>
      </c>
      <c r="G16" s="164">
        <f t="shared" si="18"/>
        <v>0</v>
      </c>
      <c r="H16" s="164">
        <f t="shared" si="18"/>
        <v>0</v>
      </c>
      <c r="I16" s="164">
        <f t="shared" si="18"/>
        <v>0</v>
      </c>
      <c r="J16" s="164">
        <f t="shared" si="18"/>
        <v>0</v>
      </c>
      <c r="K16" s="164">
        <f t="shared" si="18"/>
        <v>0</v>
      </c>
      <c r="L16" s="164">
        <f t="shared" si="18"/>
        <v>0</v>
      </c>
      <c r="M16" s="164">
        <f t="shared" si="18"/>
        <v>0</v>
      </c>
      <c r="N16" s="164">
        <f t="shared" si="18"/>
        <v>0</v>
      </c>
      <c r="O16" s="164">
        <f t="shared" si="18"/>
        <v>0</v>
      </c>
      <c r="P16" s="164">
        <f t="shared" si="18"/>
        <v>0</v>
      </c>
      <c r="Q16" s="164">
        <f t="shared" si="18"/>
        <v>0</v>
      </c>
      <c r="R16" s="164">
        <f t="shared" si="18"/>
        <v>0</v>
      </c>
      <c r="S16" s="164">
        <f t="shared" si="18"/>
        <v>0</v>
      </c>
      <c r="T16" s="164">
        <f t="shared" si="18"/>
        <v>0</v>
      </c>
      <c r="U16" s="164">
        <f t="shared" si="18"/>
        <v>0</v>
      </c>
      <c r="V16" s="164">
        <f t="shared" si="18"/>
        <v>0.10782403708564969</v>
      </c>
      <c r="W16" s="164">
        <f t="shared" si="18"/>
        <v>17098.920000000002</v>
      </c>
      <c r="X16" s="164">
        <f t="shared" si="18"/>
        <v>0</v>
      </c>
      <c r="Y16" s="164">
        <f t="shared" si="18"/>
        <v>56977.770000000004</v>
      </c>
      <c r="Z16" s="164">
        <f t="shared" si="18"/>
        <v>0</v>
      </c>
      <c r="AA16" s="164">
        <f t="shared" si="18"/>
        <v>55239.909999999996</v>
      </c>
      <c r="AB16" s="164">
        <f t="shared" si="18"/>
        <v>0</v>
      </c>
      <c r="AC16" s="164">
        <f t="shared" si="18"/>
        <v>43701.96</v>
      </c>
      <c r="AD16" s="164">
        <f t="shared" si="18"/>
        <v>0</v>
      </c>
      <c r="AE16" s="164">
        <f t="shared" ref="AE16" si="19">SUM(AE17:AE18)</f>
        <v>0</v>
      </c>
      <c r="AF16" s="164">
        <f t="shared" si="18"/>
        <v>0</v>
      </c>
      <c r="AG16" s="164">
        <f t="shared" si="18"/>
        <v>0</v>
      </c>
      <c r="AH16" s="164">
        <f t="shared" si="18"/>
        <v>0</v>
      </c>
      <c r="AI16" s="164">
        <f t="shared" si="18"/>
        <v>0</v>
      </c>
      <c r="AJ16" s="198"/>
      <c r="AK16" s="196">
        <f>ROUND((centralizator!$R$18-1)*Gantt!AK16,2)</f>
        <v>95639.41</v>
      </c>
      <c r="AL16" s="198"/>
      <c r="AM16" s="196">
        <f>ROUND((centralizator!$S$18-1)*Gantt!AM16,2)</f>
        <v>0</v>
      </c>
      <c r="AN16" s="198"/>
      <c r="AO16" s="196">
        <f>ROUND((centralizator!$T$18-1)*Gantt!AO16,2)</f>
        <v>0</v>
      </c>
      <c r="AP16" s="198"/>
      <c r="AQ16" s="196">
        <f>ROUND((centralizator!$U$18-1)*Gantt!AQ16,2)</f>
        <v>0</v>
      </c>
      <c r="AR16" s="198"/>
      <c r="AS16" s="196">
        <f>ROUND((centralizator!$V$18-1)*Gantt!AS16,2)</f>
        <v>0</v>
      </c>
      <c r="AT16" s="173">
        <v>9.2541296236409261E-8</v>
      </c>
      <c r="AU16" s="196">
        <f>ROUND((centralizator!$W$18-1)*Gantt!AU16,2)</f>
        <v>0.1</v>
      </c>
      <c r="AV16" s="39">
        <f t="shared" si="2"/>
        <v>0</v>
      </c>
      <c r="AW16" s="40">
        <f t="shared" si="15"/>
        <v>173018.67397722063</v>
      </c>
      <c r="AX16" s="40">
        <f t="shared" si="16"/>
        <v>95639.510000092545</v>
      </c>
      <c r="AY16" s="40">
        <f t="shared" si="17"/>
        <v>268658.18397731317</v>
      </c>
      <c r="AZ16" s="41">
        <f t="shared" si="3"/>
        <v>-0.11397731321630999</v>
      </c>
      <c r="BE16" s="40">
        <f t="shared" si="6"/>
        <v>173018.56</v>
      </c>
      <c r="BF16" s="40">
        <f t="shared" si="7"/>
        <v>95639.510000000009</v>
      </c>
      <c r="BG16" s="40">
        <f t="shared" si="8"/>
        <v>32873.53</v>
      </c>
      <c r="BH16" s="40">
        <f t="shared" si="9"/>
        <v>18171.509999999998</v>
      </c>
      <c r="BI16" s="40">
        <f t="shared" si="10"/>
        <v>205892.09</v>
      </c>
      <c r="BJ16" s="40">
        <f t="shared" si="11"/>
        <v>113811.02</v>
      </c>
      <c r="BK16" s="40">
        <f t="shared" si="12"/>
        <v>319703.11</v>
      </c>
      <c r="BL16" s="41"/>
      <c r="BM16" s="41">
        <f t="shared" si="13"/>
        <v>268658.07</v>
      </c>
      <c r="BN16" s="41">
        <f t="shared" si="4"/>
        <v>268658.07</v>
      </c>
      <c r="BO16" s="41">
        <f t="shared" si="5"/>
        <v>0</v>
      </c>
    </row>
    <row r="17" spans="1:67" ht="14.4">
      <c r="A17" s="42" t="s">
        <v>77</v>
      </c>
      <c r="B17" s="43" t="s">
        <v>76</v>
      </c>
      <c r="C17" s="165">
        <f>E17+G17+I17+K17+M17+O17+Q17+S17+U17+W17+Y17+AA17+AC17+AE17+AG17+AI17+AK17+AM17+AO17+AQ17+AS17+AU17</f>
        <v>218806.42999999996</v>
      </c>
      <c r="D17" s="166">
        <v>6.1531835517373108E-3</v>
      </c>
      <c r="E17" s="187"/>
      <c r="F17" s="173"/>
      <c r="G17" s="187"/>
      <c r="H17" s="173"/>
      <c r="I17" s="188"/>
      <c r="J17" s="173"/>
      <c r="K17" s="187"/>
      <c r="L17" s="173"/>
      <c r="M17" s="187"/>
      <c r="N17" s="173"/>
      <c r="O17" s="187"/>
      <c r="P17" s="176"/>
      <c r="Q17" s="187"/>
      <c r="R17" s="186"/>
      <c r="S17" s="187"/>
      <c r="T17" s="186"/>
      <c r="U17" s="187"/>
      <c r="V17" s="167">
        <v>8.2363843259448594E-2</v>
      </c>
      <c r="W17" s="196">
        <v>16127.09</v>
      </c>
      <c r="X17" s="173"/>
      <c r="Y17" s="196">
        <v>37951.54</v>
      </c>
      <c r="Z17" s="173"/>
      <c r="AA17" s="196">
        <v>54534.71</v>
      </c>
      <c r="AB17" s="173"/>
      <c r="AC17" s="196">
        <v>43320.74</v>
      </c>
      <c r="AD17" s="173"/>
      <c r="AE17" s="196">
        <v>0</v>
      </c>
      <c r="AF17" s="173"/>
      <c r="AG17" s="196">
        <v>0</v>
      </c>
      <c r="AH17" s="173"/>
      <c r="AI17" s="196">
        <v>0</v>
      </c>
      <c r="AJ17" s="173">
        <v>0.10246934330174766</v>
      </c>
      <c r="AK17" s="196">
        <f>ROUND((centralizator!$R$18-1)*Gantt!AK17,2)</f>
        <v>66872.27</v>
      </c>
      <c r="AL17" s="174"/>
      <c r="AM17" s="196">
        <f>ROUND((centralizator!$S$18-1)*Gantt!AM17,2)</f>
        <v>0</v>
      </c>
      <c r="AN17" s="174"/>
      <c r="AO17" s="196">
        <f>ROUND((centralizator!$T$18-1)*Gantt!AO17,2)</f>
        <v>0</v>
      </c>
      <c r="AP17" s="174"/>
      <c r="AQ17" s="196">
        <f>ROUND((centralizator!$U$18-1)*Gantt!AQ17,2)</f>
        <v>0</v>
      </c>
      <c r="AR17" s="174"/>
      <c r="AS17" s="196">
        <f>ROUND((centralizator!$V$18-1)*Gantt!AS17,2)</f>
        <v>0</v>
      </c>
      <c r="AT17" s="173">
        <v>8.488199629203686E-8</v>
      </c>
      <c r="AU17" s="196">
        <f>ROUND((centralizator!$W$18-1)*Gantt!AU17,2)</f>
        <v>0.08</v>
      </c>
      <c r="AV17" s="39">
        <f t="shared" si="2"/>
        <v>0</v>
      </c>
      <c r="AW17" s="40">
        <f t="shared" si="15"/>
        <v>151934.16851702682</v>
      </c>
      <c r="AX17" s="40">
        <f t="shared" si="16"/>
        <v>66872.452469428186</v>
      </c>
      <c r="AY17" s="40">
        <f t="shared" si="17"/>
        <v>218806.620986455</v>
      </c>
      <c r="AZ17" s="41">
        <f t="shared" si="3"/>
        <v>-0.1909864550398197</v>
      </c>
      <c r="BE17" s="40">
        <f t="shared" si="6"/>
        <v>151934.07999999999</v>
      </c>
      <c r="BF17" s="40">
        <f t="shared" si="7"/>
        <v>66872.350000000006</v>
      </c>
      <c r="BG17" s="40">
        <f t="shared" si="8"/>
        <v>28867.48</v>
      </c>
      <c r="BH17" s="40">
        <f t="shared" si="9"/>
        <v>12705.75</v>
      </c>
      <c r="BI17" s="40">
        <f t="shared" si="10"/>
        <v>180801.56</v>
      </c>
      <c r="BJ17" s="40">
        <f t="shared" si="11"/>
        <v>79578.100000000006</v>
      </c>
      <c r="BK17" s="40">
        <f t="shared" si="12"/>
        <v>260379.66</v>
      </c>
      <c r="BL17" s="41"/>
      <c r="BM17" s="41">
        <f t="shared" si="13"/>
        <v>218806.43</v>
      </c>
      <c r="BN17" s="41">
        <f t="shared" si="4"/>
        <v>218806.43</v>
      </c>
      <c r="BO17" s="41">
        <f t="shared" si="5"/>
        <v>0</v>
      </c>
    </row>
    <row r="18" spans="1:67" ht="14.25" customHeight="1">
      <c r="A18" s="42"/>
      <c r="B18" s="43" t="s">
        <v>78</v>
      </c>
      <c r="C18" s="165">
        <f>E18+G18+I18+K18+M18+O18+Q18+S18+U18+W18+Y18+AA18+AC18+AE18+AG18+AI18+AK18+AM18+AO18+AQ18+AS18+AU18</f>
        <v>49851.64</v>
      </c>
      <c r="D18" s="168">
        <v>0</v>
      </c>
      <c r="E18" s="187"/>
      <c r="F18" s="173"/>
      <c r="G18" s="187"/>
      <c r="H18" s="173"/>
      <c r="I18" s="188"/>
      <c r="J18" s="173"/>
      <c r="K18" s="187"/>
      <c r="L18" s="173"/>
      <c r="M18" s="187"/>
      <c r="N18" s="173"/>
      <c r="O18" s="187"/>
      <c r="P18" s="176"/>
      <c r="Q18" s="187"/>
      <c r="R18" s="186"/>
      <c r="S18" s="187"/>
      <c r="T18" s="186"/>
      <c r="U18" s="187"/>
      <c r="V18" s="169">
        <v>2.5460193826201093E-2</v>
      </c>
      <c r="W18" s="196">
        <v>971.83</v>
      </c>
      <c r="X18" s="173"/>
      <c r="Y18" s="196">
        <v>19026.23</v>
      </c>
      <c r="Z18" s="173"/>
      <c r="AA18" s="196">
        <v>705.2</v>
      </c>
      <c r="AB18" s="173"/>
      <c r="AC18" s="196">
        <v>381.22</v>
      </c>
      <c r="AD18" s="173"/>
      <c r="AE18" s="196">
        <v>0</v>
      </c>
      <c r="AF18" s="173"/>
      <c r="AG18" s="196">
        <v>0</v>
      </c>
      <c r="AH18" s="173"/>
      <c r="AI18" s="196">
        <v>0</v>
      </c>
      <c r="AJ18" s="174">
        <v>0.22611826977276889</v>
      </c>
      <c r="AK18" s="196">
        <f>ROUND((centralizator!$R$18-1)*Gantt!AK18,2)</f>
        <v>28767.14</v>
      </c>
      <c r="AL18" s="174"/>
      <c r="AM18" s="196">
        <f>ROUND((centralizator!$S$18-1)*Gantt!AM18,2)</f>
        <v>0</v>
      </c>
      <c r="AN18" s="174"/>
      <c r="AO18" s="196">
        <f>ROUND((centralizator!$T$18-1)*Gantt!AO18,2)</f>
        <v>0</v>
      </c>
      <c r="AP18" s="174"/>
      <c r="AQ18" s="196">
        <f>ROUND((centralizator!$U$18-1)*Gantt!AQ18,2)</f>
        <v>0</v>
      </c>
      <c r="AR18" s="174"/>
      <c r="AS18" s="196">
        <f>ROUND((centralizator!$V$18-1)*Gantt!AS18,2)</f>
        <v>0</v>
      </c>
      <c r="AT18" s="173">
        <v>2.5699632166938356E-8</v>
      </c>
      <c r="AU18" s="196">
        <f>ROUND((centralizator!$W$18-1)*Gantt!AU18,2)</f>
        <v>0.02</v>
      </c>
      <c r="AV18" s="39">
        <f t="shared" si="2"/>
        <v>0</v>
      </c>
      <c r="AW18" s="40">
        <f t="shared" si="15"/>
        <v>21084.505460193828</v>
      </c>
      <c r="AX18" s="40">
        <f t="shared" si="16"/>
        <v>28767.386118295472</v>
      </c>
      <c r="AY18" s="40">
        <f t="shared" si="17"/>
        <v>49851.891578489303</v>
      </c>
      <c r="AZ18" s="41">
        <f t="shared" si="3"/>
        <v>-0.25157848930393811</v>
      </c>
      <c r="BE18" s="40">
        <f t="shared" si="6"/>
        <v>21084.480000000003</v>
      </c>
      <c r="BF18" s="40">
        <f t="shared" si="7"/>
        <v>28767.16</v>
      </c>
      <c r="BG18" s="40">
        <f t="shared" si="8"/>
        <v>4006.05</v>
      </c>
      <c r="BH18" s="40">
        <f t="shared" si="9"/>
        <v>5465.76</v>
      </c>
      <c r="BI18" s="40">
        <f t="shared" si="10"/>
        <v>25090.530000000002</v>
      </c>
      <c r="BJ18" s="40">
        <f t="shared" si="11"/>
        <v>34232.92</v>
      </c>
      <c r="BK18" s="40">
        <f t="shared" si="12"/>
        <v>59323.45</v>
      </c>
      <c r="BL18" s="41"/>
      <c r="BM18" s="41">
        <f t="shared" si="13"/>
        <v>49851.64</v>
      </c>
      <c r="BN18" s="41">
        <f t="shared" si="4"/>
        <v>49851.64</v>
      </c>
      <c r="BO18" s="41">
        <f t="shared" si="5"/>
        <v>0</v>
      </c>
    </row>
    <row r="19" spans="1:67" ht="14.4">
      <c r="A19" s="30">
        <v>24.5</v>
      </c>
      <c r="B19" s="31" t="s">
        <v>79</v>
      </c>
      <c r="C19" s="164">
        <f>C20+C21</f>
        <v>4602099.0900000008</v>
      </c>
      <c r="D19" s="164">
        <f t="shared" ref="D19:AI19" si="20">D20+D21</f>
        <v>2.9965943527811129E-3</v>
      </c>
      <c r="E19" s="164">
        <f t="shared" si="20"/>
        <v>0</v>
      </c>
      <c r="F19" s="164">
        <f t="shared" si="20"/>
        <v>0</v>
      </c>
      <c r="G19" s="164">
        <f t="shared" si="20"/>
        <v>0</v>
      </c>
      <c r="H19" s="164">
        <f t="shared" si="20"/>
        <v>0</v>
      </c>
      <c r="I19" s="164">
        <f t="shared" si="20"/>
        <v>0</v>
      </c>
      <c r="J19" s="164">
        <f t="shared" si="20"/>
        <v>0</v>
      </c>
      <c r="K19" s="164">
        <f t="shared" si="20"/>
        <v>0</v>
      </c>
      <c r="L19" s="164">
        <f t="shared" si="20"/>
        <v>0</v>
      </c>
      <c r="M19" s="164">
        <f t="shared" si="20"/>
        <v>0</v>
      </c>
      <c r="N19" s="164">
        <f t="shared" si="20"/>
        <v>0</v>
      </c>
      <c r="O19" s="164">
        <f t="shared" si="20"/>
        <v>0</v>
      </c>
      <c r="P19" s="164">
        <f t="shared" si="20"/>
        <v>0</v>
      </c>
      <c r="Q19" s="164">
        <f t="shared" si="20"/>
        <v>0</v>
      </c>
      <c r="R19" s="164">
        <f t="shared" si="20"/>
        <v>0</v>
      </c>
      <c r="S19" s="164">
        <f t="shared" si="20"/>
        <v>0</v>
      </c>
      <c r="T19" s="164">
        <f t="shared" si="20"/>
        <v>0</v>
      </c>
      <c r="U19" s="164">
        <f t="shared" si="20"/>
        <v>0</v>
      </c>
      <c r="V19" s="164">
        <f t="shared" si="20"/>
        <v>7.3883358432134283E-2</v>
      </c>
      <c r="W19" s="164">
        <f t="shared" si="20"/>
        <v>193810.03</v>
      </c>
      <c r="X19" s="164">
        <f t="shared" si="20"/>
        <v>0</v>
      </c>
      <c r="Y19" s="164">
        <f t="shared" si="20"/>
        <v>170216.97</v>
      </c>
      <c r="Z19" s="164">
        <f t="shared" si="20"/>
        <v>0</v>
      </c>
      <c r="AA19" s="164">
        <f t="shared" si="20"/>
        <v>525726.44999999995</v>
      </c>
      <c r="AB19" s="164">
        <f t="shared" si="20"/>
        <v>0</v>
      </c>
      <c r="AC19" s="164">
        <f t="shared" si="20"/>
        <v>65729.78</v>
      </c>
      <c r="AD19" s="164">
        <f t="shared" si="20"/>
        <v>0</v>
      </c>
      <c r="AE19" s="164">
        <f t="shared" ref="AE19" si="21">AE20+AE21</f>
        <v>315963.92</v>
      </c>
      <c r="AF19" s="164">
        <f t="shared" si="20"/>
        <v>0</v>
      </c>
      <c r="AG19" s="164">
        <f t="shared" si="20"/>
        <v>0</v>
      </c>
      <c r="AH19" s="164">
        <f t="shared" si="20"/>
        <v>0</v>
      </c>
      <c r="AI19" s="164">
        <f t="shared" si="20"/>
        <v>114575.42</v>
      </c>
      <c r="AJ19" s="198"/>
      <c r="AK19" s="196">
        <f>ROUND((centralizator!$R$18-1)*Gantt!AK19,2)</f>
        <v>516030.56</v>
      </c>
      <c r="AL19" s="198"/>
      <c r="AM19" s="196">
        <f>ROUND((centralizator!$S$18-1)*Gantt!AM19,2)</f>
        <v>1245348.5</v>
      </c>
      <c r="AN19" s="198"/>
      <c r="AO19" s="196">
        <f>ROUND((centralizator!$T$18-1)*Gantt!AO19,2)</f>
        <v>1421501.49</v>
      </c>
      <c r="AP19" s="198"/>
      <c r="AQ19" s="196">
        <f>ROUND((centralizator!$U$18-1)*Gantt!AQ19,2)</f>
        <v>0</v>
      </c>
      <c r="AR19" s="198"/>
      <c r="AS19" s="196">
        <f>ROUND((centralizator!$V$18-1)*Gantt!AS19,2)</f>
        <v>0</v>
      </c>
      <c r="AT19" s="173">
        <v>2.7975737105313723E-3</v>
      </c>
      <c r="AU19" s="196">
        <f>ROUND((centralizator!$W$18-1)*Gantt!AU19,2)</f>
        <v>33195.980000000003</v>
      </c>
      <c r="AV19" s="39">
        <f t="shared" si="2"/>
        <v>-9.9999988451600075E-3</v>
      </c>
      <c r="AW19" s="40">
        <f t="shared" si="15"/>
        <v>1386022.6468799526</v>
      </c>
      <c r="AX19" s="40">
        <f t="shared" si="16"/>
        <v>3216076.5327975736</v>
      </c>
      <c r="AY19" s="40">
        <f t="shared" si="17"/>
        <v>4602099.1796775265</v>
      </c>
      <c r="AZ19" s="41">
        <f t="shared" si="3"/>
        <v>-8.967752568423748E-2</v>
      </c>
      <c r="BE19" s="40">
        <f t="shared" si="6"/>
        <v>1386022.5699999998</v>
      </c>
      <c r="BF19" s="40">
        <f t="shared" si="7"/>
        <v>3216076.53</v>
      </c>
      <c r="BG19" s="40">
        <f t="shared" si="8"/>
        <v>263344.28999999998</v>
      </c>
      <c r="BH19" s="40">
        <f t="shared" si="9"/>
        <v>611054.54</v>
      </c>
      <c r="BI19" s="40">
        <f t="shared" si="10"/>
        <v>1649366.8599999999</v>
      </c>
      <c r="BJ19" s="40">
        <f t="shared" si="11"/>
        <v>3827131.07</v>
      </c>
      <c r="BK19" s="40">
        <f t="shared" si="12"/>
        <v>5476497.9299999997</v>
      </c>
      <c r="BL19" s="41"/>
      <c r="BM19" s="41">
        <f t="shared" si="13"/>
        <v>4602099.0999999996</v>
      </c>
      <c r="BN19" s="41">
        <f t="shared" si="4"/>
        <v>4602099.0999999996</v>
      </c>
      <c r="BO19" s="41">
        <f t="shared" si="5"/>
        <v>9.9999988451600075E-3</v>
      </c>
    </row>
    <row r="20" spans="1:67" ht="14.4">
      <c r="A20" s="42" t="s">
        <v>80</v>
      </c>
      <c r="B20" s="43" t="s">
        <v>79</v>
      </c>
      <c r="C20" s="165">
        <f>E20+G20+I20+K20+M20+O20+Q20+S20+U20+W20+Y20+AA20+AC20+AE20+AG20+AI20+AK20+AM20+AO20+AQ20+AS20+AU20</f>
        <v>4601688.3900000006</v>
      </c>
      <c r="D20" s="166">
        <v>2.9965943527811129E-3</v>
      </c>
      <c r="E20" s="187"/>
      <c r="F20" s="173"/>
      <c r="G20" s="187"/>
      <c r="H20" s="173"/>
      <c r="I20" s="188"/>
      <c r="J20" s="173"/>
      <c r="K20" s="187"/>
      <c r="L20" s="173"/>
      <c r="M20" s="187"/>
      <c r="N20" s="173"/>
      <c r="O20" s="187"/>
      <c r="P20" s="176"/>
      <c r="Q20" s="187"/>
      <c r="R20" s="186"/>
      <c r="S20" s="187"/>
      <c r="T20" s="186"/>
      <c r="U20" s="187"/>
      <c r="V20" s="167">
        <v>7.3883358432134283E-2</v>
      </c>
      <c r="W20" s="196">
        <v>193810.03</v>
      </c>
      <c r="X20" s="173"/>
      <c r="Y20" s="196">
        <v>170216.97</v>
      </c>
      <c r="Z20" s="173"/>
      <c r="AA20" s="196">
        <v>525726.44999999995</v>
      </c>
      <c r="AB20" s="173"/>
      <c r="AC20" s="196">
        <v>65729.78</v>
      </c>
      <c r="AD20" s="173"/>
      <c r="AE20" s="196">
        <v>315963.92</v>
      </c>
      <c r="AF20" s="173"/>
      <c r="AG20" s="196">
        <v>0</v>
      </c>
      <c r="AH20" s="173"/>
      <c r="AI20" s="196">
        <v>114575.42</v>
      </c>
      <c r="AJ20" s="173">
        <v>5.902187459860981E-2</v>
      </c>
      <c r="AK20" s="196">
        <f>ROUND((centralizator!$R$18-1)*Gantt!AK20,2)</f>
        <v>516030.56</v>
      </c>
      <c r="AL20" s="173">
        <v>0.13294517580937831</v>
      </c>
      <c r="AM20" s="196">
        <f>ROUND((centralizator!$S$18-1)*Gantt!AM20,2)</f>
        <v>1245348.5</v>
      </c>
      <c r="AN20" s="173">
        <v>0.14222146829465082</v>
      </c>
      <c r="AO20" s="196">
        <f>ROUND((centralizator!$T$18-1)*Gantt!AO20,2)</f>
        <v>1421090.78</v>
      </c>
      <c r="AP20" s="174"/>
      <c r="AQ20" s="196">
        <f>ROUND((centralizator!$U$18-1)*Gantt!AQ20,2)</f>
        <v>0</v>
      </c>
      <c r="AR20" s="174"/>
      <c r="AS20" s="196">
        <f>ROUND((centralizator!$V$18-1)*Gantt!AS20,2)</f>
        <v>0</v>
      </c>
      <c r="AT20" s="173">
        <v>2.7976886990076109E-3</v>
      </c>
      <c r="AU20" s="196">
        <f>ROUND((centralizator!$W$18-1)*Gantt!AU20,2)</f>
        <v>33195.980000000003</v>
      </c>
      <c r="AV20" s="39">
        <f t="shared" si="2"/>
        <v>0</v>
      </c>
      <c r="AW20" s="40">
        <f t="shared" si="15"/>
        <v>1386022.6468799526</v>
      </c>
      <c r="AX20" s="40">
        <f t="shared" si="16"/>
        <v>3215666.1569862077</v>
      </c>
      <c r="AY20" s="40">
        <f t="shared" si="17"/>
        <v>4601688.8038661601</v>
      </c>
      <c r="AZ20" s="41">
        <f t="shared" si="3"/>
        <v>-0.41386615950614214</v>
      </c>
      <c r="BE20" s="40">
        <f t="shared" si="6"/>
        <v>1386022.5699999998</v>
      </c>
      <c r="BF20" s="40">
        <f t="shared" si="7"/>
        <v>3215665.82</v>
      </c>
      <c r="BG20" s="40">
        <f t="shared" si="8"/>
        <v>263344.28999999998</v>
      </c>
      <c r="BH20" s="40">
        <f t="shared" si="9"/>
        <v>610976.51</v>
      </c>
      <c r="BI20" s="40">
        <f t="shared" si="10"/>
        <v>1649366.8599999999</v>
      </c>
      <c r="BJ20" s="40">
        <f t="shared" si="11"/>
        <v>3826642.33</v>
      </c>
      <c r="BK20" s="40">
        <f t="shared" si="12"/>
        <v>5476009.1899999995</v>
      </c>
      <c r="BL20" s="41"/>
      <c r="BM20" s="41">
        <f t="shared" si="13"/>
        <v>4601688.3899999997</v>
      </c>
      <c r="BN20" s="41">
        <f t="shared" si="4"/>
        <v>4601688.3899999997</v>
      </c>
      <c r="BO20" s="41">
        <f t="shared" si="5"/>
        <v>0</v>
      </c>
    </row>
    <row r="21" spans="1:67" ht="14.4">
      <c r="A21" s="42"/>
      <c r="B21" s="43" t="s">
        <v>81</v>
      </c>
      <c r="C21" s="165">
        <f>E21+G21+I21+K21+M21+O21+Q21+S21+U21+W21+Y21+AA21+AC21+AE21+AG21+AI21+AK21+AM21+AO21+AQ21+AS21+AU21</f>
        <v>410.7</v>
      </c>
      <c r="D21" s="168">
        <v>0</v>
      </c>
      <c r="E21" s="187"/>
      <c r="F21" s="173"/>
      <c r="G21" s="187"/>
      <c r="H21" s="173"/>
      <c r="I21" s="187"/>
      <c r="J21" s="173"/>
      <c r="K21" s="187"/>
      <c r="L21" s="173"/>
      <c r="M21" s="187"/>
      <c r="N21" s="173"/>
      <c r="O21" s="174"/>
      <c r="P21" s="176"/>
      <c r="Q21" s="174"/>
      <c r="R21" s="186"/>
      <c r="S21" s="174"/>
      <c r="T21" s="186"/>
      <c r="U21" s="174"/>
      <c r="V21" s="171">
        <v>0</v>
      </c>
      <c r="W21" s="196">
        <v>0</v>
      </c>
      <c r="X21" s="173"/>
      <c r="Y21" s="196">
        <v>0</v>
      </c>
      <c r="Z21" s="173"/>
      <c r="AA21" s="196">
        <v>0</v>
      </c>
      <c r="AB21" s="173"/>
      <c r="AC21" s="196">
        <v>0</v>
      </c>
      <c r="AD21" s="173"/>
      <c r="AE21" s="196">
        <v>0</v>
      </c>
      <c r="AF21" s="173"/>
      <c r="AG21" s="196">
        <v>0</v>
      </c>
      <c r="AH21" s="178"/>
      <c r="AI21" s="196">
        <v>0</v>
      </c>
      <c r="AJ21" s="178"/>
      <c r="AK21" s="196">
        <f>ROUND((centralizator!$R$18-1)*Gantt!AK21,2)</f>
        <v>0</v>
      </c>
      <c r="AL21" s="178"/>
      <c r="AM21" s="196">
        <f>ROUND((centralizator!$S$18-1)*Gantt!AM21,2)</f>
        <v>0</v>
      </c>
      <c r="AN21" s="173">
        <v>1</v>
      </c>
      <c r="AO21" s="196">
        <f>ROUND((centralizator!$T$18-1)*Gantt!AO21,2)</f>
        <v>410.7</v>
      </c>
      <c r="AP21" s="174"/>
      <c r="AQ21" s="196">
        <f>ROUND((centralizator!$U$18-1)*Gantt!AQ21,2)</f>
        <v>0</v>
      </c>
      <c r="AR21" s="174"/>
      <c r="AS21" s="196">
        <f>ROUND((centralizator!$V$18-1)*Gantt!AS21,2)</f>
        <v>0</v>
      </c>
      <c r="AT21" s="173"/>
      <c r="AU21" s="196">
        <f>ROUND((centralizator!$W$18-1)*Gantt!AU21,2)</f>
        <v>0</v>
      </c>
      <c r="AV21" s="39">
        <f t="shared" si="2"/>
        <v>0</v>
      </c>
      <c r="AW21" s="40">
        <f t="shared" si="15"/>
        <v>0</v>
      </c>
      <c r="AX21" s="40">
        <f t="shared" si="16"/>
        <v>411.7</v>
      </c>
      <c r="AY21" s="40">
        <f t="shared" si="17"/>
        <v>411.7</v>
      </c>
      <c r="AZ21" s="41">
        <f t="shared" si="3"/>
        <v>-1</v>
      </c>
      <c r="BE21" s="40">
        <f t="shared" si="6"/>
        <v>0</v>
      </c>
      <c r="BF21" s="40">
        <f t="shared" si="7"/>
        <v>410.7</v>
      </c>
      <c r="BG21" s="40">
        <f t="shared" si="8"/>
        <v>0</v>
      </c>
      <c r="BH21" s="40">
        <f t="shared" si="9"/>
        <v>78.03</v>
      </c>
      <c r="BI21" s="40">
        <f t="shared" si="10"/>
        <v>0</v>
      </c>
      <c r="BJ21" s="40">
        <f t="shared" si="11"/>
        <v>488.73</v>
      </c>
      <c r="BK21" s="40">
        <f t="shared" si="12"/>
        <v>488.73</v>
      </c>
      <c r="BL21" s="41"/>
      <c r="BM21" s="41">
        <f t="shared" si="13"/>
        <v>410.7</v>
      </c>
      <c r="BN21" s="41">
        <f t="shared" si="4"/>
        <v>410.7</v>
      </c>
      <c r="BO21" s="41">
        <f t="shared" si="5"/>
        <v>0</v>
      </c>
    </row>
    <row r="22" spans="1:67" ht="14.4">
      <c r="A22" s="30">
        <v>24.6</v>
      </c>
      <c r="B22" s="31" t="s">
        <v>82</v>
      </c>
      <c r="C22" s="164">
        <f>C23+C24</f>
        <v>648555.06000000006</v>
      </c>
      <c r="D22" s="164">
        <f t="shared" ref="D22:AJ22" si="22">D23+D24</f>
        <v>5.7544896623521705E-4</v>
      </c>
      <c r="E22" s="164">
        <f t="shared" si="22"/>
        <v>0</v>
      </c>
      <c r="F22" s="164">
        <f t="shared" si="22"/>
        <v>0</v>
      </c>
      <c r="G22" s="164">
        <f t="shared" si="22"/>
        <v>0</v>
      </c>
      <c r="H22" s="164">
        <f t="shared" si="22"/>
        <v>0</v>
      </c>
      <c r="I22" s="164">
        <f t="shared" si="22"/>
        <v>0</v>
      </c>
      <c r="J22" s="164">
        <f t="shared" si="22"/>
        <v>0</v>
      </c>
      <c r="K22" s="164">
        <f t="shared" si="22"/>
        <v>0</v>
      </c>
      <c r="L22" s="164">
        <f t="shared" si="22"/>
        <v>0</v>
      </c>
      <c r="M22" s="164">
        <f t="shared" si="22"/>
        <v>0</v>
      </c>
      <c r="N22" s="164">
        <f t="shared" si="22"/>
        <v>0</v>
      </c>
      <c r="O22" s="164">
        <f t="shared" si="22"/>
        <v>0</v>
      </c>
      <c r="P22" s="164">
        <f t="shared" si="22"/>
        <v>0</v>
      </c>
      <c r="Q22" s="164">
        <f t="shared" si="22"/>
        <v>0</v>
      </c>
      <c r="R22" s="164">
        <f t="shared" si="22"/>
        <v>0</v>
      </c>
      <c r="S22" s="164">
        <f t="shared" si="22"/>
        <v>0</v>
      </c>
      <c r="T22" s="164">
        <f t="shared" si="22"/>
        <v>0</v>
      </c>
      <c r="U22" s="164">
        <f t="shared" si="22"/>
        <v>0</v>
      </c>
      <c r="V22" s="164">
        <f t="shared" si="22"/>
        <v>2.1368839210641571E-2</v>
      </c>
      <c r="W22" s="164">
        <f t="shared" si="22"/>
        <v>4149.8500000000004</v>
      </c>
      <c r="X22" s="164">
        <f t="shared" si="22"/>
        <v>0</v>
      </c>
      <c r="Y22" s="164">
        <f t="shared" si="22"/>
        <v>2158.98</v>
      </c>
      <c r="Z22" s="164">
        <f t="shared" si="22"/>
        <v>0</v>
      </c>
      <c r="AA22" s="164">
        <f t="shared" si="22"/>
        <v>0</v>
      </c>
      <c r="AB22" s="164">
        <f t="shared" si="22"/>
        <v>0</v>
      </c>
      <c r="AC22" s="164">
        <f t="shared" si="22"/>
        <v>0</v>
      </c>
      <c r="AD22" s="164">
        <f t="shared" si="22"/>
        <v>0</v>
      </c>
      <c r="AE22" s="164">
        <f t="shared" ref="AE22" si="23">AE23+AE24</f>
        <v>1445.98</v>
      </c>
      <c r="AF22" s="164">
        <f t="shared" si="22"/>
        <v>0</v>
      </c>
      <c r="AG22" s="164">
        <f t="shared" si="22"/>
        <v>6241.97</v>
      </c>
      <c r="AH22" s="164">
        <f t="shared" si="22"/>
        <v>0</v>
      </c>
      <c r="AI22" s="164">
        <f t="shared" si="22"/>
        <v>0</v>
      </c>
      <c r="AJ22" s="164">
        <f t="shared" si="22"/>
        <v>0.11559833345879486</v>
      </c>
      <c r="AK22" s="196">
        <f>ROUND((centralizator!$R$18-1)*Gantt!AK22,2)</f>
        <v>74823.100000000006</v>
      </c>
      <c r="AL22" s="197"/>
      <c r="AM22" s="196">
        <f>ROUND((centralizator!$S$18-1)*Gantt!AM22,2)</f>
        <v>115684.87</v>
      </c>
      <c r="AN22" s="197"/>
      <c r="AO22" s="196">
        <f>ROUND((centralizator!$T$18-1)*Gantt!AO22,2)</f>
        <v>134229.53</v>
      </c>
      <c r="AP22" s="192"/>
      <c r="AQ22" s="196">
        <f>ROUND((centralizator!$U$18-1)*Gantt!AQ22,2)</f>
        <v>141755.01999999999</v>
      </c>
      <c r="AR22" s="192"/>
      <c r="AS22" s="196">
        <f>ROUND((centralizator!$V$18-1)*Gantt!AS22,2)</f>
        <v>123929.24</v>
      </c>
      <c r="AT22" s="173">
        <v>4.95873242004371E-2</v>
      </c>
      <c r="AU22" s="196">
        <f>ROUND((centralizator!$W$18-1)*Gantt!AU22,2)</f>
        <v>44136.53</v>
      </c>
      <c r="AV22" s="39">
        <f t="shared" si="2"/>
        <v>-9.9999998928979039E-3</v>
      </c>
      <c r="AW22" s="40">
        <f t="shared" si="15"/>
        <v>13996.801944288178</v>
      </c>
      <c r="AX22" s="40">
        <f t="shared" si="16"/>
        <v>634558.4551856576</v>
      </c>
      <c r="AY22" s="40">
        <f t="shared" si="17"/>
        <v>648555.25712994579</v>
      </c>
      <c r="AZ22" s="41">
        <f t="shared" si="3"/>
        <v>-0.19712994573637843</v>
      </c>
      <c r="BE22" s="40">
        <f t="shared" si="6"/>
        <v>13996.779999999999</v>
      </c>
      <c r="BF22" s="40">
        <f t="shared" si="7"/>
        <v>634558.29</v>
      </c>
      <c r="BG22" s="40">
        <f t="shared" si="8"/>
        <v>2659.39</v>
      </c>
      <c r="BH22" s="40">
        <f t="shared" si="9"/>
        <v>120566.08</v>
      </c>
      <c r="BI22" s="40">
        <f t="shared" si="10"/>
        <v>16656.169999999998</v>
      </c>
      <c r="BJ22" s="40">
        <f t="shared" si="11"/>
        <v>755124.37</v>
      </c>
      <c r="BK22" s="40">
        <f t="shared" si="12"/>
        <v>771780.54</v>
      </c>
      <c r="BL22" s="41"/>
      <c r="BM22" s="41">
        <f t="shared" si="13"/>
        <v>648555.07000000007</v>
      </c>
      <c r="BN22" s="41">
        <f t="shared" si="4"/>
        <v>648555.06999999995</v>
      </c>
      <c r="BO22" s="41">
        <f t="shared" si="5"/>
        <v>9.9999998928979039E-3</v>
      </c>
    </row>
    <row r="23" spans="1:67" ht="14.4">
      <c r="A23" s="42" t="s">
        <v>83</v>
      </c>
      <c r="B23" s="43" t="s">
        <v>82</v>
      </c>
      <c r="C23" s="165">
        <f>E23+G23+I23+K23+M23+O23+Q23+S23+U23+W23+Y23+AA23+AC23+AE23+AG23+AI23+AK23+AM23+AO23+AQ23+AS23+AU23</f>
        <v>643182.39</v>
      </c>
      <c r="D23" s="166">
        <v>5.7544896623521705E-4</v>
      </c>
      <c r="E23" s="187"/>
      <c r="F23" s="173"/>
      <c r="G23" s="187"/>
      <c r="H23" s="173"/>
      <c r="I23" s="188"/>
      <c r="J23" s="173"/>
      <c r="K23" s="187"/>
      <c r="L23" s="173"/>
      <c r="M23" s="187"/>
      <c r="N23" s="173"/>
      <c r="O23" s="187"/>
      <c r="P23" s="176"/>
      <c r="Q23" s="187"/>
      <c r="R23" s="186"/>
      <c r="S23" s="187"/>
      <c r="T23" s="186"/>
      <c r="U23" s="174"/>
      <c r="V23" s="167">
        <v>2.1368839210641571E-2</v>
      </c>
      <c r="W23" s="196">
        <v>4149.8500000000004</v>
      </c>
      <c r="X23" s="173"/>
      <c r="Y23" s="196">
        <v>2158.98</v>
      </c>
      <c r="Z23" s="173"/>
      <c r="AA23" s="196">
        <v>0</v>
      </c>
      <c r="AB23" s="173"/>
      <c r="AC23" s="196">
        <v>0</v>
      </c>
      <c r="AD23" s="173"/>
      <c r="AE23" s="196">
        <v>1445.98</v>
      </c>
      <c r="AF23" s="173"/>
      <c r="AG23" s="196">
        <v>1332.01</v>
      </c>
      <c r="AH23" s="173"/>
      <c r="AI23" s="196">
        <v>0</v>
      </c>
      <c r="AJ23" s="173">
        <v>0.11559833345879486</v>
      </c>
      <c r="AK23" s="196">
        <f>ROUND((centralizator!$R$18-1)*Gantt!AK23,2)</f>
        <v>74823.100000000006</v>
      </c>
      <c r="AL23" s="173">
        <v>0.16681555737554915</v>
      </c>
      <c r="AM23" s="196">
        <f>ROUND((centralizator!$S$18-1)*Gantt!AM23,2)</f>
        <v>115684.87</v>
      </c>
      <c r="AN23" s="173">
        <v>0.1814553304957891</v>
      </c>
      <c r="AO23" s="196">
        <f>ROUND((centralizator!$T$18-1)*Gantt!AO23,2)</f>
        <v>134229.53</v>
      </c>
      <c r="AP23" s="173">
        <v>0.18035897209352184</v>
      </c>
      <c r="AQ23" s="196">
        <f>ROUND((centralizator!$U$18-1)*Gantt!AQ23,2)</f>
        <v>141755.01999999999</v>
      </c>
      <c r="AR23" s="173">
        <v>0.1483668282458056</v>
      </c>
      <c r="AS23" s="196">
        <f>ROUND((centralizator!$V$18-1)*Gantt!AS23,2)</f>
        <v>123472.28</v>
      </c>
      <c r="AT23" s="173">
        <v>5.0238166893700704E-2</v>
      </c>
      <c r="AU23" s="196">
        <f>ROUND((centralizator!$W$18-1)*Gantt!AU23,2)</f>
        <v>44130.77</v>
      </c>
      <c r="AV23" s="39">
        <f t="shared" si="2"/>
        <v>0</v>
      </c>
      <c r="AW23" s="40">
        <f t="shared" si="15"/>
        <v>9086.8419442881768</v>
      </c>
      <c r="AX23" s="40">
        <f t="shared" si="16"/>
        <v>634096.41283318866</v>
      </c>
      <c r="AY23" s="40">
        <f t="shared" si="17"/>
        <v>643183.25477747689</v>
      </c>
      <c r="AZ23" s="41">
        <f t="shared" si="3"/>
        <v>-0.86477747687604278</v>
      </c>
      <c r="BE23" s="40">
        <f t="shared" si="6"/>
        <v>9086.82</v>
      </c>
      <c r="BF23" s="40">
        <f t="shared" si="7"/>
        <v>634095.57000000007</v>
      </c>
      <c r="BG23" s="40">
        <f t="shared" si="8"/>
        <v>1726.5</v>
      </c>
      <c r="BH23" s="40">
        <f t="shared" si="9"/>
        <v>120478.16</v>
      </c>
      <c r="BI23" s="40">
        <f t="shared" si="10"/>
        <v>10813.32</v>
      </c>
      <c r="BJ23" s="40">
        <f t="shared" si="11"/>
        <v>754573.7300000001</v>
      </c>
      <c r="BK23" s="40">
        <f t="shared" si="12"/>
        <v>765387.05</v>
      </c>
      <c r="BL23" s="41"/>
      <c r="BM23" s="41">
        <f t="shared" si="13"/>
        <v>643182.39</v>
      </c>
      <c r="BN23" s="41">
        <f t="shared" si="4"/>
        <v>643182.3899999999</v>
      </c>
      <c r="BO23" s="41">
        <f t="shared" si="5"/>
        <v>0</v>
      </c>
    </row>
    <row r="24" spans="1:67" s="93" customFormat="1" ht="14.4">
      <c r="A24" s="42"/>
      <c r="B24" s="43" t="s">
        <v>84</v>
      </c>
      <c r="C24" s="165">
        <f>E24+G24+I24+K24+M24+O24+Q24+S24+U24+W24+Y24+AA24+AC24+AE24+AG24+AI24+AK24+AM24+AO24+AQ24+AS24+AU24</f>
        <v>5372.67</v>
      </c>
      <c r="D24" s="168">
        <v>0</v>
      </c>
      <c r="E24" s="187"/>
      <c r="F24" s="173"/>
      <c r="G24" s="187"/>
      <c r="H24" s="173"/>
      <c r="I24" s="188"/>
      <c r="J24" s="173"/>
      <c r="K24" s="187"/>
      <c r="L24" s="173"/>
      <c r="M24" s="187"/>
      <c r="N24" s="173"/>
      <c r="O24" s="187"/>
      <c r="P24" s="176"/>
      <c r="Q24" s="187"/>
      <c r="R24" s="186"/>
      <c r="S24" s="187"/>
      <c r="T24" s="186"/>
      <c r="U24" s="187"/>
      <c r="V24" s="171">
        <v>0</v>
      </c>
      <c r="W24" s="196">
        <v>0</v>
      </c>
      <c r="X24" s="173"/>
      <c r="Y24" s="196">
        <v>0</v>
      </c>
      <c r="Z24" s="173"/>
      <c r="AA24" s="196">
        <v>0</v>
      </c>
      <c r="AB24" s="173"/>
      <c r="AC24" s="196">
        <v>0</v>
      </c>
      <c r="AD24" s="173"/>
      <c r="AE24" s="196">
        <v>0</v>
      </c>
      <c r="AF24" s="173"/>
      <c r="AG24" s="196">
        <v>4909.96</v>
      </c>
      <c r="AH24" s="173"/>
      <c r="AI24" s="196">
        <v>0</v>
      </c>
      <c r="AJ24" s="174"/>
      <c r="AK24" s="196">
        <f>ROUND((centralizator!$R$18-1)*Gantt!AK24,2)</f>
        <v>0</v>
      </c>
      <c r="AL24" s="174"/>
      <c r="AM24" s="196">
        <f>ROUND((centralizator!$S$18-1)*Gantt!AM24,2)</f>
        <v>0</v>
      </c>
      <c r="AN24" s="174"/>
      <c r="AO24" s="196">
        <f>ROUND((centralizator!$T$18-1)*Gantt!AO24,2)</f>
        <v>0</v>
      </c>
      <c r="AP24" s="174"/>
      <c r="AQ24" s="196">
        <f>ROUND((centralizator!$U$18-1)*Gantt!AQ24,2)</f>
        <v>0</v>
      </c>
      <c r="AR24" s="173">
        <v>4.1418283521404559E-2</v>
      </c>
      <c r="AS24" s="196">
        <f>ROUND((centralizator!$V$18-1)*Gantt!AS24,2)</f>
        <v>456.96</v>
      </c>
      <c r="AT24" s="173">
        <v>4.9398206146526898E-4</v>
      </c>
      <c r="AU24" s="196">
        <f>ROUND((centralizator!$W$18-1)*Gantt!AU24,2)</f>
        <v>5.75</v>
      </c>
      <c r="AV24" s="39">
        <f t="shared" si="2"/>
        <v>0</v>
      </c>
      <c r="AW24" s="40">
        <f t="shared" si="15"/>
        <v>4909.96</v>
      </c>
      <c r="AX24" s="40">
        <f t="shared" si="16"/>
        <v>462.75191226558286</v>
      </c>
      <c r="AY24" s="40">
        <f t="shared" si="17"/>
        <v>5372.7119122655831</v>
      </c>
      <c r="AZ24" s="41">
        <f t="shared" si="3"/>
        <v>-4.1912265583050612E-2</v>
      </c>
      <c r="BE24" s="40">
        <f t="shared" si="6"/>
        <v>4909.96</v>
      </c>
      <c r="BF24" s="40">
        <f t="shared" si="7"/>
        <v>462.71</v>
      </c>
      <c r="BG24" s="40">
        <f t="shared" si="8"/>
        <v>932.89</v>
      </c>
      <c r="BH24" s="40">
        <f t="shared" si="9"/>
        <v>87.91</v>
      </c>
      <c r="BI24" s="40">
        <f t="shared" si="10"/>
        <v>5842.85</v>
      </c>
      <c r="BJ24" s="40">
        <f t="shared" si="11"/>
        <v>550.62</v>
      </c>
      <c r="BK24" s="40">
        <f t="shared" si="12"/>
        <v>6393.47</v>
      </c>
      <c r="BL24" s="41"/>
      <c r="BM24" s="41">
        <f t="shared" si="13"/>
        <v>5372.67</v>
      </c>
      <c r="BN24" s="41">
        <f t="shared" si="4"/>
        <v>5372.67</v>
      </c>
      <c r="BO24" s="41">
        <f t="shared" si="5"/>
        <v>0</v>
      </c>
    </row>
    <row r="25" spans="1:67" ht="14.4">
      <c r="A25" s="30">
        <v>24.7</v>
      </c>
      <c r="B25" s="31" t="s">
        <v>85</v>
      </c>
      <c r="C25" s="164">
        <f>SUM(C26:C31)</f>
        <v>1727168.82</v>
      </c>
      <c r="D25" s="164">
        <f t="shared" ref="D25:AJ25" si="24">SUM(D26:D31)</f>
        <v>0</v>
      </c>
      <c r="E25" s="164">
        <f t="shared" si="24"/>
        <v>0</v>
      </c>
      <c r="F25" s="164">
        <f t="shared" si="24"/>
        <v>0</v>
      </c>
      <c r="G25" s="164">
        <f t="shared" si="24"/>
        <v>0</v>
      </c>
      <c r="H25" s="164">
        <f t="shared" si="24"/>
        <v>0</v>
      </c>
      <c r="I25" s="164">
        <f t="shared" si="24"/>
        <v>0</v>
      </c>
      <c r="J25" s="164">
        <f t="shared" si="24"/>
        <v>0</v>
      </c>
      <c r="K25" s="164">
        <f t="shared" si="24"/>
        <v>0</v>
      </c>
      <c r="L25" s="164">
        <f t="shared" si="24"/>
        <v>0</v>
      </c>
      <c r="M25" s="164">
        <f t="shared" si="24"/>
        <v>0</v>
      </c>
      <c r="N25" s="164">
        <f t="shared" si="24"/>
        <v>0</v>
      </c>
      <c r="O25" s="164">
        <f t="shared" si="24"/>
        <v>0</v>
      </c>
      <c r="P25" s="164">
        <f t="shared" si="24"/>
        <v>0</v>
      </c>
      <c r="Q25" s="164">
        <f t="shared" si="24"/>
        <v>0</v>
      </c>
      <c r="R25" s="164">
        <f t="shared" si="24"/>
        <v>0</v>
      </c>
      <c r="S25" s="164">
        <f t="shared" si="24"/>
        <v>0</v>
      </c>
      <c r="T25" s="164">
        <f t="shared" si="24"/>
        <v>0</v>
      </c>
      <c r="U25" s="164">
        <f t="shared" si="24"/>
        <v>0</v>
      </c>
      <c r="V25" s="164">
        <f t="shared" si="24"/>
        <v>0.12194144411386164</v>
      </c>
      <c r="W25" s="164">
        <f t="shared" si="24"/>
        <v>29101.87</v>
      </c>
      <c r="X25" s="164">
        <f t="shared" si="24"/>
        <v>0</v>
      </c>
      <c r="Y25" s="164">
        <f t="shared" si="24"/>
        <v>76017.649999999994</v>
      </c>
      <c r="Z25" s="164">
        <f t="shared" si="24"/>
        <v>0</v>
      </c>
      <c r="AA25" s="164">
        <f t="shared" si="24"/>
        <v>89843.64</v>
      </c>
      <c r="AB25" s="164">
        <f t="shared" si="24"/>
        <v>0</v>
      </c>
      <c r="AC25" s="164">
        <f t="shared" si="24"/>
        <v>129047.64</v>
      </c>
      <c r="AD25" s="164">
        <f t="shared" si="24"/>
        <v>0</v>
      </c>
      <c r="AE25" s="164">
        <f t="shared" ref="AE25" si="25">SUM(AE26:AE31)</f>
        <v>78331.689999999988</v>
      </c>
      <c r="AF25" s="164">
        <f t="shared" si="24"/>
        <v>0</v>
      </c>
      <c r="AG25" s="164">
        <f t="shared" si="24"/>
        <v>121614.86</v>
      </c>
      <c r="AH25" s="164">
        <f t="shared" si="24"/>
        <v>0</v>
      </c>
      <c r="AI25" s="164">
        <f t="shared" si="24"/>
        <v>70435.290000000008</v>
      </c>
      <c r="AJ25" s="164">
        <f t="shared" si="24"/>
        <v>0.22021269748499683</v>
      </c>
      <c r="AK25" s="196">
        <f>ROUND((centralizator!$R$18-1)*Gantt!AK25,2)</f>
        <v>117962.71</v>
      </c>
      <c r="AL25" s="198"/>
      <c r="AM25" s="196">
        <f>ROUND((centralizator!$S$18-1)*Gantt!AM25,2)</f>
        <v>174612.52</v>
      </c>
      <c r="AN25" s="198"/>
      <c r="AO25" s="196">
        <f>ROUND((centralizator!$T$18-1)*Gantt!AO25,2)</f>
        <v>226693.47</v>
      </c>
      <c r="AP25" s="198"/>
      <c r="AQ25" s="196">
        <f>ROUND((centralizator!$U$18-1)*Gantt!AQ25,2)</f>
        <v>246662.76</v>
      </c>
      <c r="AR25" s="198"/>
      <c r="AS25" s="196">
        <f>ROUND((centralizator!$V$18-1)*Gantt!AS25,2)</f>
        <v>352678.67</v>
      </c>
      <c r="AT25" s="173">
        <v>4.6425501612109843E-3</v>
      </c>
      <c r="AU25" s="196">
        <f>ROUND((centralizator!$W$18-1)*Gantt!AU25,2)</f>
        <v>14166.05</v>
      </c>
      <c r="AV25" s="39">
        <f t="shared" si="2"/>
        <v>0</v>
      </c>
      <c r="AW25" s="40">
        <f t="shared" si="15"/>
        <v>594392.76194144413</v>
      </c>
      <c r="AX25" s="40">
        <f t="shared" si="16"/>
        <v>1132776.4048552476</v>
      </c>
      <c r="AY25" s="40">
        <f t="shared" si="17"/>
        <v>1727169.1667966917</v>
      </c>
      <c r="AZ25" s="41">
        <f t="shared" si="3"/>
        <v>-0.34679669165052474</v>
      </c>
      <c r="BE25" s="40">
        <f t="shared" si="6"/>
        <v>594392.64</v>
      </c>
      <c r="BF25" s="40">
        <f t="shared" si="7"/>
        <v>1132776.18</v>
      </c>
      <c r="BG25" s="40">
        <f t="shared" si="8"/>
        <v>112934.6</v>
      </c>
      <c r="BH25" s="40">
        <f t="shared" si="9"/>
        <v>215227.47</v>
      </c>
      <c r="BI25" s="40">
        <f t="shared" si="10"/>
        <v>707327.24</v>
      </c>
      <c r="BJ25" s="40">
        <f t="shared" si="11"/>
        <v>1348003.65</v>
      </c>
      <c r="BK25" s="40">
        <f t="shared" si="12"/>
        <v>2055330.89</v>
      </c>
      <c r="BL25" s="41"/>
      <c r="BM25" s="41">
        <f t="shared" si="13"/>
        <v>1727168.8199999998</v>
      </c>
      <c r="BN25" s="41">
        <f t="shared" si="4"/>
        <v>1727168.8199999998</v>
      </c>
      <c r="BO25" s="41">
        <f t="shared" si="5"/>
        <v>0</v>
      </c>
    </row>
    <row r="26" spans="1:67" ht="14.4">
      <c r="A26" s="42" t="s">
        <v>86</v>
      </c>
      <c r="B26" s="43" t="s">
        <v>87</v>
      </c>
      <c r="C26" s="165">
        <f t="shared" ref="C26:C31" si="26">E26+G26+I26+K26+M26+O26+Q26+S26+U26+W26+Y26+AA26+AC26+AE26+AG26+AI26+AK26+AM26+AO26+AQ26+AS26+AU26</f>
        <v>644105.86</v>
      </c>
      <c r="D26" s="168"/>
      <c r="E26" s="187"/>
      <c r="F26" s="173"/>
      <c r="G26" s="187"/>
      <c r="H26" s="173"/>
      <c r="I26" s="188"/>
      <c r="J26" s="173"/>
      <c r="K26" s="187"/>
      <c r="L26" s="173"/>
      <c r="M26" s="187"/>
      <c r="N26" s="173"/>
      <c r="O26" s="187"/>
      <c r="P26" s="176"/>
      <c r="Q26" s="187"/>
      <c r="R26" s="186"/>
      <c r="S26" s="187"/>
      <c r="T26" s="186"/>
      <c r="U26" s="187"/>
      <c r="V26" s="167">
        <v>5.9351729714599476E-2</v>
      </c>
      <c r="W26" s="196">
        <v>15284.18</v>
      </c>
      <c r="X26" s="173"/>
      <c r="Y26" s="196">
        <v>36778.86</v>
      </c>
      <c r="Z26" s="173"/>
      <c r="AA26" s="196">
        <v>23627.200000000001</v>
      </c>
      <c r="AB26" s="173"/>
      <c r="AC26" s="196">
        <v>59851.31</v>
      </c>
      <c r="AD26" s="173"/>
      <c r="AE26" s="196">
        <v>37048.71</v>
      </c>
      <c r="AF26" s="173"/>
      <c r="AG26" s="196">
        <v>25921.11</v>
      </c>
      <c r="AH26" s="173"/>
      <c r="AI26" s="196">
        <v>0</v>
      </c>
      <c r="AJ26" s="173">
        <v>5.1264662174685206E-2</v>
      </c>
      <c r="AK26" s="196">
        <f>ROUND((centralizator!$R$18-1)*Gantt!AK26,2)</f>
        <v>44000.71</v>
      </c>
      <c r="AL26" s="173">
        <v>8.4668515520793033E-2</v>
      </c>
      <c r="AM26" s="196">
        <f>ROUND((centralizator!$S$18-1)*Gantt!AM26,2)</f>
        <v>77860.89</v>
      </c>
      <c r="AN26" s="173">
        <v>0.1043239629613423</v>
      </c>
      <c r="AO26" s="196">
        <f>ROUND((centralizator!$T$18-1)*Gantt!AO26,2)</f>
        <v>102333.98</v>
      </c>
      <c r="AP26" s="173">
        <v>7.492264233865864E-2</v>
      </c>
      <c r="AQ26" s="196">
        <f>ROUND((centralizator!$U$18-1)*Gantt!AQ26,2)</f>
        <v>78085.64</v>
      </c>
      <c r="AR26" s="173">
        <v>0.12452876139986482</v>
      </c>
      <c r="AS26" s="196">
        <f>ROUND((centralizator!$V$18-1)*Gantt!AS26,2)</f>
        <v>137423.1</v>
      </c>
      <c r="AT26" s="173">
        <v>5.0566437053224632E-3</v>
      </c>
      <c r="AU26" s="196">
        <f>ROUND((centralizator!$W$18-1)*Gantt!AU26,2)</f>
        <v>5890.17</v>
      </c>
      <c r="AV26" s="39">
        <f t="shared" si="2"/>
        <v>0</v>
      </c>
      <c r="AW26" s="40">
        <f t="shared" si="15"/>
        <v>198511.42935172969</v>
      </c>
      <c r="AX26" s="40">
        <f t="shared" si="16"/>
        <v>445594.93476518802</v>
      </c>
      <c r="AY26" s="40">
        <f t="shared" si="17"/>
        <v>644106.36411691771</v>
      </c>
      <c r="AZ26" s="41">
        <f t="shared" si="3"/>
        <v>-0.5041169177275151</v>
      </c>
      <c r="BE26" s="40">
        <f t="shared" si="6"/>
        <v>198511.37</v>
      </c>
      <c r="BF26" s="40">
        <f t="shared" si="7"/>
        <v>445594.49000000005</v>
      </c>
      <c r="BG26" s="40">
        <f t="shared" si="8"/>
        <v>37717.160000000003</v>
      </c>
      <c r="BH26" s="40">
        <f t="shared" si="9"/>
        <v>84662.95</v>
      </c>
      <c r="BI26" s="40">
        <f t="shared" si="10"/>
        <v>236228.53</v>
      </c>
      <c r="BJ26" s="40">
        <f t="shared" si="11"/>
        <v>530257.44000000006</v>
      </c>
      <c r="BK26" s="40">
        <f t="shared" si="12"/>
        <v>766485.97000000009</v>
      </c>
      <c r="BL26" s="41"/>
      <c r="BM26" s="41">
        <f t="shared" si="13"/>
        <v>644105.8600000001</v>
      </c>
      <c r="BN26" s="41">
        <f t="shared" si="4"/>
        <v>644105.8600000001</v>
      </c>
      <c r="BO26" s="41">
        <f t="shared" si="5"/>
        <v>0</v>
      </c>
    </row>
    <row r="27" spans="1:67" ht="14.4">
      <c r="A27" s="42"/>
      <c r="B27" s="43" t="s">
        <v>88</v>
      </c>
      <c r="C27" s="165">
        <f t="shared" si="26"/>
        <v>39742.39</v>
      </c>
      <c r="D27" s="168"/>
      <c r="E27" s="187"/>
      <c r="F27" s="173"/>
      <c r="G27" s="187"/>
      <c r="H27" s="173"/>
      <c r="I27" s="188"/>
      <c r="J27" s="173"/>
      <c r="K27" s="187"/>
      <c r="L27" s="173"/>
      <c r="M27" s="187"/>
      <c r="N27" s="173"/>
      <c r="O27" s="187"/>
      <c r="P27" s="176"/>
      <c r="Q27" s="187"/>
      <c r="R27" s="186"/>
      <c r="S27" s="187"/>
      <c r="T27" s="186"/>
      <c r="U27" s="187"/>
      <c r="V27" s="171">
        <v>0</v>
      </c>
      <c r="W27" s="196">
        <v>0</v>
      </c>
      <c r="X27" s="173"/>
      <c r="Y27" s="196">
        <v>0</v>
      </c>
      <c r="Z27" s="173"/>
      <c r="AA27" s="196">
        <v>0</v>
      </c>
      <c r="AB27" s="173"/>
      <c r="AC27" s="196">
        <v>0</v>
      </c>
      <c r="AD27" s="173"/>
      <c r="AE27" s="196">
        <v>0</v>
      </c>
      <c r="AF27" s="173"/>
      <c r="AG27" s="196">
        <v>0</v>
      </c>
      <c r="AH27" s="173"/>
      <c r="AI27" s="196">
        <v>0</v>
      </c>
      <c r="AJ27" s="174"/>
      <c r="AK27" s="196">
        <f>ROUND((centralizator!$R$18-1)*Gantt!AK27,2)</f>
        <v>0</v>
      </c>
      <c r="AL27" s="174"/>
      <c r="AM27" s="196">
        <f>ROUND((centralizator!$S$18-1)*Gantt!AM27,2)</f>
        <v>0</v>
      </c>
      <c r="AN27" s="174"/>
      <c r="AO27" s="196">
        <f>ROUND((centralizator!$T$18-1)*Gantt!AO27,2)</f>
        <v>0</v>
      </c>
      <c r="AP27" s="199">
        <v>3.8132136709568006E-2</v>
      </c>
      <c r="AQ27" s="196">
        <f>ROUND((centralizator!$U$18-1)*Gantt!AQ27,2)</f>
        <v>39741.96</v>
      </c>
      <c r="AR27" s="174"/>
      <c r="AS27" s="196">
        <f>ROUND((centralizator!$V$18-1)*Gantt!AS27,2)</f>
        <v>0</v>
      </c>
      <c r="AT27" s="173">
        <v>9.7731648440135608E-6</v>
      </c>
      <c r="AU27" s="196">
        <f>ROUND((centralizator!$W$18-1)*Gantt!AU27,2)</f>
        <v>0.43</v>
      </c>
      <c r="AV27" s="39">
        <f t="shared" si="2"/>
        <v>0</v>
      </c>
      <c r="AW27" s="40">
        <f t="shared" si="15"/>
        <v>0</v>
      </c>
      <c r="AX27" s="40">
        <f t="shared" si="16"/>
        <v>39742.428141909877</v>
      </c>
      <c r="AY27" s="40">
        <f t="shared" si="17"/>
        <v>39742.428141909877</v>
      </c>
      <c r="AZ27" s="41">
        <f t="shared" si="3"/>
        <v>-3.8141909877595026E-2</v>
      </c>
      <c r="BE27" s="40">
        <f t="shared" si="6"/>
        <v>0</v>
      </c>
      <c r="BF27" s="40">
        <f t="shared" si="7"/>
        <v>39742.39</v>
      </c>
      <c r="BG27" s="40">
        <f t="shared" si="8"/>
        <v>0</v>
      </c>
      <c r="BH27" s="40">
        <f t="shared" si="9"/>
        <v>7551.05</v>
      </c>
      <c r="BI27" s="40">
        <f t="shared" si="10"/>
        <v>0</v>
      </c>
      <c r="BJ27" s="40">
        <f t="shared" si="11"/>
        <v>47293.440000000002</v>
      </c>
      <c r="BK27" s="40">
        <f t="shared" si="12"/>
        <v>47293.440000000002</v>
      </c>
      <c r="BL27" s="41"/>
      <c r="BM27" s="41">
        <f t="shared" si="13"/>
        <v>39742.39</v>
      </c>
      <c r="BN27" s="41">
        <f t="shared" si="4"/>
        <v>39742.39</v>
      </c>
      <c r="BO27" s="41">
        <f t="shared" si="5"/>
        <v>0</v>
      </c>
    </row>
    <row r="28" spans="1:67" ht="14.4">
      <c r="A28" s="42" t="s">
        <v>89</v>
      </c>
      <c r="B28" s="43" t="s">
        <v>90</v>
      </c>
      <c r="C28" s="165">
        <f t="shared" si="26"/>
        <v>100057.56999999999</v>
      </c>
      <c r="D28" s="168"/>
      <c r="E28" s="187"/>
      <c r="F28" s="173"/>
      <c r="G28" s="187"/>
      <c r="H28" s="173"/>
      <c r="I28" s="188"/>
      <c r="J28" s="173"/>
      <c r="K28" s="187"/>
      <c r="L28" s="173"/>
      <c r="M28" s="187"/>
      <c r="N28" s="173"/>
      <c r="O28" s="187"/>
      <c r="P28" s="176"/>
      <c r="Q28" s="187"/>
      <c r="R28" s="186"/>
      <c r="S28" s="187"/>
      <c r="T28" s="186"/>
      <c r="U28" s="187"/>
      <c r="V28" s="171">
        <v>0</v>
      </c>
      <c r="W28" s="196">
        <v>0</v>
      </c>
      <c r="X28" s="173"/>
      <c r="Y28" s="196">
        <v>0</v>
      </c>
      <c r="Z28" s="173"/>
      <c r="AA28" s="196">
        <v>33534.239999999998</v>
      </c>
      <c r="AB28" s="173"/>
      <c r="AC28" s="196">
        <v>6905.4</v>
      </c>
      <c r="AD28" s="173"/>
      <c r="AE28" s="196">
        <v>0</v>
      </c>
      <c r="AF28" s="173"/>
      <c r="AG28" s="196">
        <v>12554.92</v>
      </c>
      <c r="AH28" s="173"/>
      <c r="AI28" s="196">
        <v>21574.22</v>
      </c>
      <c r="AJ28" s="173">
        <v>4.1240893244837609E-2</v>
      </c>
      <c r="AK28" s="196">
        <f>ROUND((centralizator!$R$18-1)*Gantt!AK28,2)</f>
        <v>6621.29</v>
      </c>
      <c r="AL28" s="173">
        <v>3.940944044409174E-2</v>
      </c>
      <c r="AM28" s="196">
        <f>ROUND((centralizator!$S$18-1)*Gantt!AM28,2)</f>
        <v>6779.08</v>
      </c>
      <c r="AN28" s="173">
        <v>2.1406303686397194E-2</v>
      </c>
      <c r="AO28" s="196">
        <f>ROUND((centralizator!$T$18-1)*Gantt!AO28,2)</f>
        <v>3927.81</v>
      </c>
      <c r="AP28" s="173">
        <v>2.0497513489218057E-2</v>
      </c>
      <c r="AQ28" s="196">
        <f>ROUND((centralizator!$U$18-1)*Gantt!AQ28,2)</f>
        <v>3996.06</v>
      </c>
      <c r="AR28" s="173">
        <v>1.8980167387997366E-2</v>
      </c>
      <c r="AS28" s="196">
        <f>ROUND((centralizator!$V$18-1)*Gantt!AS28,2)</f>
        <v>3917.99</v>
      </c>
      <c r="AT28" s="173">
        <v>1.1315751406123483E-3</v>
      </c>
      <c r="AU28" s="196">
        <f>ROUND((centralizator!$W$18-1)*Gantt!AU28,2)</f>
        <v>246.56</v>
      </c>
      <c r="AV28" s="39">
        <f t="shared" si="2"/>
        <v>0</v>
      </c>
      <c r="AW28" s="40">
        <f t="shared" si="15"/>
        <v>74568.78</v>
      </c>
      <c r="AX28" s="40">
        <f t="shared" si="16"/>
        <v>25488.93266589339</v>
      </c>
      <c r="AY28" s="40">
        <f t="shared" si="17"/>
        <v>100057.71266589338</v>
      </c>
      <c r="AZ28" s="41">
        <f t="shared" si="3"/>
        <v>-0.14266589339240454</v>
      </c>
      <c r="BE28" s="40">
        <f t="shared" si="6"/>
        <v>74568.78</v>
      </c>
      <c r="BF28" s="40">
        <f t="shared" si="7"/>
        <v>25488.790000000005</v>
      </c>
      <c r="BG28" s="40">
        <f t="shared" si="8"/>
        <v>14168.07</v>
      </c>
      <c r="BH28" s="40">
        <f t="shared" si="9"/>
        <v>4842.87</v>
      </c>
      <c r="BI28" s="40">
        <f t="shared" si="10"/>
        <v>88736.85</v>
      </c>
      <c r="BJ28" s="40">
        <f t="shared" si="11"/>
        <v>30331.660000000003</v>
      </c>
      <c r="BK28" s="40">
        <f t="shared" si="12"/>
        <v>119068.51000000001</v>
      </c>
      <c r="BL28" s="41"/>
      <c r="BM28" s="41">
        <f t="shared" si="13"/>
        <v>100057.57</v>
      </c>
      <c r="BN28" s="41">
        <f t="shared" si="4"/>
        <v>100057.57</v>
      </c>
      <c r="BO28" s="41">
        <f t="shared" si="5"/>
        <v>0</v>
      </c>
    </row>
    <row r="29" spans="1:67" ht="14.4">
      <c r="A29" s="42"/>
      <c r="B29" s="43" t="s">
        <v>91</v>
      </c>
      <c r="C29" s="165">
        <f t="shared" si="26"/>
        <v>2050.33</v>
      </c>
      <c r="D29" s="168"/>
      <c r="E29" s="187"/>
      <c r="F29" s="173"/>
      <c r="G29" s="187"/>
      <c r="H29" s="173"/>
      <c r="I29" s="188"/>
      <c r="J29" s="173"/>
      <c r="K29" s="187"/>
      <c r="L29" s="173"/>
      <c r="M29" s="187"/>
      <c r="N29" s="173"/>
      <c r="O29" s="187"/>
      <c r="P29" s="176"/>
      <c r="Q29" s="187"/>
      <c r="R29" s="186"/>
      <c r="S29" s="187"/>
      <c r="T29" s="186"/>
      <c r="U29" s="187"/>
      <c r="V29" s="171">
        <v>0</v>
      </c>
      <c r="W29" s="196">
        <v>0</v>
      </c>
      <c r="X29" s="173"/>
      <c r="Y29" s="196">
        <v>0</v>
      </c>
      <c r="Z29" s="173"/>
      <c r="AA29" s="196">
        <v>73.75</v>
      </c>
      <c r="AB29" s="173"/>
      <c r="AC29" s="196">
        <v>0</v>
      </c>
      <c r="AD29" s="173"/>
      <c r="AE29" s="196">
        <v>0</v>
      </c>
      <c r="AF29" s="173"/>
      <c r="AG29" s="196">
        <v>87.03</v>
      </c>
      <c r="AH29" s="173"/>
      <c r="AI29" s="196">
        <v>403.43</v>
      </c>
      <c r="AJ29" s="200"/>
      <c r="AK29" s="196">
        <f>ROUND((centralizator!$R$18-1)*Gantt!AK29,2)</f>
        <v>0</v>
      </c>
      <c r="AL29" s="174"/>
      <c r="AM29" s="196">
        <f>ROUND((centralizator!$S$18-1)*Gantt!AM29,2)</f>
        <v>0</v>
      </c>
      <c r="AN29" s="174"/>
      <c r="AO29" s="196">
        <f>ROUND((centralizator!$T$18-1)*Gantt!AO29,2)</f>
        <v>0</v>
      </c>
      <c r="AP29" s="174"/>
      <c r="AQ29" s="196">
        <f>ROUND((centralizator!$U$18-1)*Gantt!AQ29,2)</f>
        <v>0</v>
      </c>
      <c r="AR29" s="173">
        <v>0.47072436777438093</v>
      </c>
      <c r="AS29" s="196">
        <f>ROUND((centralizator!$V$18-1)*Gantt!AS29,2)</f>
        <v>1256.6400000000001</v>
      </c>
      <c r="AT29" s="173">
        <v>8.1439309649906574E-2</v>
      </c>
      <c r="AU29" s="196">
        <f>ROUND((centralizator!$W$18-1)*Gantt!AU29,2)</f>
        <v>229.48</v>
      </c>
      <c r="AV29" s="39">
        <f t="shared" si="2"/>
        <v>0</v>
      </c>
      <c r="AW29" s="40">
        <f t="shared" si="15"/>
        <v>564.21</v>
      </c>
      <c r="AX29" s="40">
        <f t="shared" si="16"/>
        <v>1486.6721636774244</v>
      </c>
      <c r="AY29" s="40">
        <f t="shared" si="17"/>
        <v>2050.8821636774246</v>
      </c>
      <c r="AZ29" s="41">
        <f t="shared" si="3"/>
        <v>-0.55216367742468719</v>
      </c>
      <c r="BE29" s="40">
        <f t="shared" si="6"/>
        <v>564.21</v>
      </c>
      <c r="BF29" s="40">
        <f t="shared" si="7"/>
        <v>1486.1200000000001</v>
      </c>
      <c r="BG29" s="40">
        <f t="shared" si="8"/>
        <v>107.2</v>
      </c>
      <c r="BH29" s="40">
        <f t="shared" si="9"/>
        <v>282.36</v>
      </c>
      <c r="BI29" s="40">
        <f t="shared" si="10"/>
        <v>671.41000000000008</v>
      </c>
      <c r="BJ29" s="40">
        <f t="shared" si="11"/>
        <v>1768.48</v>
      </c>
      <c r="BK29" s="40">
        <f t="shared" si="12"/>
        <v>2439.8900000000003</v>
      </c>
      <c r="BL29" s="41"/>
      <c r="BM29" s="41">
        <f t="shared" si="13"/>
        <v>2050.33</v>
      </c>
      <c r="BN29" s="41">
        <f t="shared" si="4"/>
        <v>2050.33</v>
      </c>
      <c r="BO29" s="41">
        <f t="shared" si="5"/>
        <v>0</v>
      </c>
    </row>
    <row r="30" spans="1:67" ht="14.4">
      <c r="A30" s="42" t="s">
        <v>92</v>
      </c>
      <c r="B30" s="43" t="s">
        <v>93</v>
      </c>
      <c r="C30" s="165">
        <f t="shared" si="26"/>
        <v>457790.89</v>
      </c>
      <c r="D30" s="168"/>
      <c r="E30" s="187"/>
      <c r="F30" s="173"/>
      <c r="G30" s="187"/>
      <c r="H30" s="173"/>
      <c r="I30" s="188"/>
      <c r="J30" s="173"/>
      <c r="K30" s="187"/>
      <c r="L30" s="173"/>
      <c r="M30" s="187"/>
      <c r="N30" s="173"/>
      <c r="O30" s="187"/>
      <c r="P30" s="176"/>
      <c r="Q30" s="187"/>
      <c r="R30" s="186"/>
      <c r="S30" s="187"/>
      <c r="T30" s="186"/>
      <c r="U30" s="187"/>
      <c r="V30" s="167">
        <v>6.0342315848169494E-2</v>
      </c>
      <c r="W30" s="196">
        <v>13515.48</v>
      </c>
      <c r="X30" s="173"/>
      <c r="Y30" s="196">
        <v>38392.379999999997</v>
      </c>
      <c r="Z30" s="173"/>
      <c r="AA30" s="196">
        <v>31908.36</v>
      </c>
      <c r="AB30" s="173"/>
      <c r="AC30" s="196">
        <v>60940.57</v>
      </c>
      <c r="AD30" s="173"/>
      <c r="AE30" s="196">
        <v>40394.28</v>
      </c>
      <c r="AF30" s="173"/>
      <c r="AG30" s="196">
        <v>60663.88</v>
      </c>
      <c r="AH30" s="173"/>
      <c r="AI30" s="196">
        <v>27290.87</v>
      </c>
      <c r="AJ30" s="173">
        <v>3.3866998933800831E-2</v>
      </c>
      <c r="AK30" s="196">
        <f>ROUND((centralizator!$R$18-1)*Gantt!AK30,2)</f>
        <v>25282.45</v>
      </c>
      <c r="AL30" s="173">
        <v>4.9135142430862692E-2</v>
      </c>
      <c r="AM30" s="196">
        <f>ROUND((centralizator!$S$18-1)*Gantt!AM30,2)</f>
        <v>39299.81</v>
      </c>
      <c r="AN30" s="173">
        <v>4.5798082650629693E-2</v>
      </c>
      <c r="AO30" s="196">
        <f>ROUND((centralizator!$T$18-1)*Gantt!AO30,2)</f>
        <v>39073.64</v>
      </c>
      <c r="AP30" s="173">
        <v>4.5767613015961404E-2</v>
      </c>
      <c r="AQ30" s="196">
        <f>ROUND((centralizator!$U$18-1)*Gantt!AQ30,2)</f>
        <v>41487.49</v>
      </c>
      <c r="AR30" s="173">
        <v>3.3070979728091837E-2</v>
      </c>
      <c r="AS30" s="196">
        <f>ROUND((centralizator!$V$18-1)*Gantt!AS30,2)</f>
        <v>31742.27</v>
      </c>
      <c r="AT30" s="173">
        <v>7.6983144574845948E-3</v>
      </c>
      <c r="AU30" s="196">
        <f>ROUND((centralizator!$W$18-1)*Gantt!AU30,2)</f>
        <v>7799.41</v>
      </c>
      <c r="AV30" s="39">
        <f t="shared" si="2"/>
        <v>0</v>
      </c>
      <c r="AW30" s="40">
        <f t="shared" si="15"/>
        <v>273105.88034231588</v>
      </c>
      <c r="AX30" s="40">
        <f t="shared" si="16"/>
        <v>184685.28533713121</v>
      </c>
      <c r="AY30" s="40">
        <f t="shared" si="17"/>
        <v>457791.16567944712</v>
      </c>
      <c r="AZ30" s="41">
        <f t="shared" si="3"/>
        <v>-0.27567944710608572</v>
      </c>
      <c r="BE30" s="40">
        <f t="shared" si="6"/>
        <v>273105.82</v>
      </c>
      <c r="BF30" s="40">
        <f t="shared" si="7"/>
        <v>184685.06999999998</v>
      </c>
      <c r="BG30" s="40">
        <f t="shared" si="8"/>
        <v>51890.11</v>
      </c>
      <c r="BH30" s="40">
        <f t="shared" si="9"/>
        <v>35090.160000000003</v>
      </c>
      <c r="BI30" s="40">
        <f t="shared" si="10"/>
        <v>324995.93</v>
      </c>
      <c r="BJ30" s="40">
        <f t="shared" si="11"/>
        <v>219775.22999999998</v>
      </c>
      <c r="BK30" s="40">
        <f t="shared" si="12"/>
        <v>544771.15999999992</v>
      </c>
      <c r="BL30" s="41"/>
      <c r="BM30" s="41">
        <f t="shared" si="13"/>
        <v>457790.89</v>
      </c>
      <c r="BN30" s="41">
        <f t="shared" si="4"/>
        <v>457790.88999999996</v>
      </c>
      <c r="BO30" s="41">
        <f t="shared" si="5"/>
        <v>0</v>
      </c>
    </row>
    <row r="31" spans="1:67" ht="14.4">
      <c r="A31" s="42"/>
      <c r="B31" s="43" t="s">
        <v>94</v>
      </c>
      <c r="C31" s="165">
        <f t="shared" si="26"/>
        <v>483421.78</v>
      </c>
      <c r="D31" s="168"/>
      <c r="E31" s="187"/>
      <c r="F31" s="173"/>
      <c r="G31" s="187"/>
      <c r="H31" s="173"/>
      <c r="I31" s="188"/>
      <c r="J31" s="173"/>
      <c r="K31" s="187"/>
      <c r="L31" s="173"/>
      <c r="M31" s="187"/>
      <c r="N31" s="173"/>
      <c r="O31" s="187"/>
      <c r="P31" s="176"/>
      <c r="Q31" s="187"/>
      <c r="R31" s="186"/>
      <c r="S31" s="187"/>
      <c r="T31" s="186"/>
      <c r="U31" s="187"/>
      <c r="V31" s="169">
        <v>2.2473985510926687E-3</v>
      </c>
      <c r="W31" s="196">
        <v>302.20999999999998</v>
      </c>
      <c r="X31" s="173"/>
      <c r="Y31" s="196">
        <v>846.41</v>
      </c>
      <c r="Z31" s="173"/>
      <c r="AA31" s="196">
        <v>700.09</v>
      </c>
      <c r="AB31" s="173"/>
      <c r="AC31" s="196">
        <v>1350.36</v>
      </c>
      <c r="AD31" s="173"/>
      <c r="AE31" s="196">
        <v>888.7</v>
      </c>
      <c r="AF31" s="173"/>
      <c r="AG31" s="196">
        <v>22387.919999999998</v>
      </c>
      <c r="AH31" s="173"/>
      <c r="AI31" s="196">
        <v>21166.77</v>
      </c>
      <c r="AJ31" s="173">
        <v>9.3840143131673201E-2</v>
      </c>
      <c r="AK31" s="196">
        <f>ROUND((centralizator!$R$18-1)*Gantt!AK31,2)</f>
        <v>42058.27</v>
      </c>
      <c r="AL31" s="173">
        <v>0.10552509284401743</v>
      </c>
      <c r="AM31" s="196">
        <f>ROUND((centralizator!$S$18-1)*Gantt!AM31,2)</f>
        <v>50672.74</v>
      </c>
      <c r="AN31" s="173">
        <v>0.15883400833482711</v>
      </c>
      <c r="AO31" s="196">
        <f>ROUND((centralizator!$T$18-1)*Gantt!AO31,2)</f>
        <v>81358.039999999994</v>
      </c>
      <c r="AP31" s="173">
        <v>0.15315621075483449</v>
      </c>
      <c r="AQ31" s="196">
        <f>ROUND((centralizator!$U$18-1)*Gantt!AQ31,2)</f>
        <v>83351.600000000006</v>
      </c>
      <c r="AR31" s="173">
        <v>0.3094811559317075</v>
      </c>
      <c r="AS31" s="196">
        <f>ROUND((centralizator!$V$18-1)*Gantt!AS31,2)</f>
        <v>178338.67</v>
      </c>
      <c r="AT31" s="173">
        <v>-4.4809145069816468E-10</v>
      </c>
      <c r="AU31" s="196">
        <f>ROUND((centralizator!$W$18-1)*Gantt!AU31,2)</f>
        <v>0</v>
      </c>
      <c r="AV31" s="39">
        <f t="shared" si="2"/>
        <v>0</v>
      </c>
      <c r="AW31" s="40">
        <f t="shared" si="15"/>
        <v>47642.462247398551</v>
      </c>
      <c r="AX31" s="40">
        <f t="shared" si="16"/>
        <v>435780.14083661058</v>
      </c>
      <c r="AY31" s="40">
        <f t="shared" si="17"/>
        <v>483422.60308400914</v>
      </c>
      <c r="AZ31" s="41">
        <f t="shared" si="3"/>
        <v>-0.82308400911279023</v>
      </c>
      <c r="BE31" s="40">
        <f t="shared" si="6"/>
        <v>47642.46</v>
      </c>
      <c r="BF31" s="40">
        <f t="shared" si="7"/>
        <v>435779.32</v>
      </c>
      <c r="BG31" s="40">
        <f t="shared" si="8"/>
        <v>9052.07</v>
      </c>
      <c r="BH31" s="40">
        <f t="shared" si="9"/>
        <v>82798.070000000007</v>
      </c>
      <c r="BI31" s="40">
        <f t="shared" si="10"/>
        <v>56694.53</v>
      </c>
      <c r="BJ31" s="40">
        <f t="shared" si="11"/>
        <v>518577.39</v>
      </c>
      <c r="BK31" s="40">
        <f t="shared" si="12"/>
        <v>575271.92000000004</v>
      </c>
      <c r="BL31" s="41"/>
      <c r="BM31" s="41">
        <f t="shared" si="13"/>
        <v>483421.78</v>
      </c>
      <c r="BN31" s="41">
        <f t="shared" si="4"/>
        <v>483421.78</v>
      </c>
      <c r="BO31" s="41">
        <f t="shared" si="5"/>
        <v>0</v>
      </c>
    </row>
    <row r="32" spans="1:67" ht="14.4">
      <c r="A32" s="30">
        <v>24.8</v>
      </c>
      <c r="B32" s="31" t="s">
        <v>95</v>
      </c>
      <c r="C32" s="164">
        <f>SUM(C33:C38)</f>
        <v>1713458.1800000002</v>
      </c>
      <c r="D32" s="164">
        <f t="shared" ref="D32:AI32" si="27">SUM(D33:D38)</f>
        <v>0</v>
      </c>
      <c r="E32" s="164">
        <f t="shared" si="27"/>
        <v>0</v>
      </c>
      <c r="F32" s="164">
        <f t="shared" si="27"/>
        <v>0</v>
      </c>
      <c r="G32" s="164">
        <f t="shared" si="27"/>
        <v>0</v>
      </c>
      <c r="H32" s="164">
        <f t="shared" si="27"/>
        <v>0</v>
      </c>
      <c r="I32" s="164">
        <f t="shared" si="27"/>
        <v>0</v>
      </c>
      <c r="J32" s="164">
        <f t="shared" si="27"/>
        <v>0</v>
      </c>
      <c r="K32" s="164">
        <f t="shared" si="27"/>
        <v>0</v>
      </c>
      <c r="L32" s="164">
        <f t="shared" si="27"/>
        <v>0</v>
      </c>
      <c r="M32" s="164">
        <f t="shared" si="27"/>
        <v>0</v>
      </c>
      <c r="N32" s="164">
        <f t="shared" si="27"/>
        <v>0</v>
      </c>
      <c r="O32" s="164">
        <f t="shared" si="27"/>
        <v>0</v>
      </c>
      <c r="P32" s="164">
        <f t="shared" si="27"/>
        <v>0</v>
      </c>
      <c r="Q32" s="164">
        <f t="shared" si="27"/>
        <v>0</v>
      </c>
      <c r="R32" s="164">
        <f t="shared" si="27"/>
        <v>0</v>
      </c>
      <c r="S32" s="164">
        <f t="shared" si="27"/>
        <v>0</v>
      </c>
      <c r="T32" s="164">
        <f t="shared" si="27"/>
        <v>0</v>
      </c>
      <c r="U32" s="164">
        <f t="shared" si="27"/>
        <v>0</v>
      </c>
      <c r="V32" s="164">
        <f t="shared" si="27"/>
        <v>0.38680090547062396</v>
      </c>
      <c r="W32" s="164">
        <f t="shared" si="27"/>
        <v>51946.530000000006</v>
      </c>
      <c r="X32" s="164">
        <f t="shared" si="27"/>
        <v>0</v>
      </c>
      <c r="Y32" s="208">
        <f t="shared" si="27"/>
        <v>76840.84</v>
      </c>
      <c r="Z32" s="164">
        <f t="shared" si="27"/>
        <v>0</v>
      </c>
      <c r="AA32" s="164">
        <f t="shared" si="27"/>
        <v>113346.95000000001</v>
      </c>
      <c r="AB32" s="164">
        <f t="shared" si="27"/>
        <v>0</v>
      </c>
      <c r="AC32" s="164">
        <f t="shared" si="27"/>
        <v>95678.36</v>
      </c>
      <c r="AD32" s="164">
        <f t="shared" si="27"/>
        <v>0</v>
      </c>
      <c r="AE32" s="164">
        <f t="shared" ref="AE32" si="28">SUM(AE33:AE38)</f>
        <v>82627.399999999994</v>
      </c>
      <c r="AF32" s="164">
        <f t="shared" si="27"/>
        <v>0</v>
      </c>
      <c r="AG32" s="164">
        <f t="shared" si="27"/>
        <v>77030.360000000015</v>
      </c>
      <c r="AH32" s="164">
        <f t="shared" si="27"/>
        <v>0</v>
      </c>
      <c r="AI32" s="164">
        <f t="shared" si="27"/>
        <v>52199.490000000005</v>
      </c>
      <c r="AJ32" s="198"/>
      <c r="AK32" s="196">
        <f>ROUND((centralizator!$R$18-1)*Gantt!AK32,2)</f>
        <v>339354.71</v>
      </c>
      <c r="AL32" s="198"/>
      <c r="AM32" s="196">
        <f>ROUND((centralizator!$S$18-1)*Gantt!AM32,2)</f>
        <v>434567.45</v>
      </c>
      <c r="AN32" s="198"/>
      <c r="AO32" s="196">
        <f>ROUND((centralizator!$T$18-1)*Gantt!AO32,2)</f>
        <v>282066.32</v>
      </c>
      <c r="AP32" s="198"/>
      <c r="AQ32" s="196">
        <f>ROUND((centralizator!$U$18-1)*Gantt!AQ32,2)</f>
        <v>107799.78</v>
      </c>
      <c r="AR32" s="198"/>
      <c r="AS32" s="196">
        <f>ROUND((centralizator!$V$18-1)*Gantt!AS32,2)</f>
        <v>0</v>
      </c>
      <c r="AT32" s="173">
        <v>1.6468232277751446E-11</v>
      </c>
      <c r="AU32" s="196">
        <f>ROUND((centralizator!$W$18-1)*Gantt!AU32,2)</f>
        <v>0</v>
      </c>
      <c r="AV32" s="39">
        <f t="shared" si="2"/>
        <v>-1.0000000009313226E-2</v>
      </c>
      <c r="AW32" s="40">
        <f t="shared" si="15"/>
        <v>549670.31680090551</v>
      </c>
      <c r="AX32" s="40">
        <f t="shared" si="16"/>
        <v>1163788.26</v>
      </c>
      <c r="AY32" s="40">
        <f t="shared" si="17"/>
        <v>1713458.5768009056</v>
      </c>
      <c r="AZ32" s="41">
        <f t="shared" si="3"/>
        <v>-0.39680090546607971</v>
      </c>
      <c r="BE32" s="40">
        <f t="shared" si="6"/>
        <v>549669.92999999993</v>
      </c>
      <c r="BF32" s="40">
        <f t="shared" si="7"/>
        <v>1163788.26</v>
      </c>
      <c r="BG32" s="40">
        <f t="shared" si="8"/>
        <v>104437.29</v>
      </c>
      <c r="BH32" s="40">
        <f t="shared" si="9"/>
        <v>221119.77</v>
      </c>
      <c r="BI32" s="40">
        <f t="shared" si="10"/>
        <v>654107.22</v>
      </c>
      <c r="BJ32" s="40">
        <f t="shared" si="11"/>
        <v>1384908.03</v>
      </c>
      <c r="BK32" s="40">
        <f t="shared" si="12"/>
        <v>2039015.25</v>
      </c>
      <c r="BL32" s="41"/>
      <c r="BM32" s="41">
        <f t="shared" si="13"/>
        <v>1713458.19</v>
      </c>
      <c r="BN32" s="41">
        <f t="shared" si="4"/>
        <v>1713458.1900000002</v>
      </c>
      <c r="BO32" s="41">
        <f t="shared" si="5"/>
        <v>1.0000000009313226E-2</v>
      </c>
    </row>
    <row r="33" spans="1:67" ht="14.4">
      <c r="A33" s="42" t="s">
        <v>96</v>
      </c>
      <c r="B33" s="43" t="s">
        <v>97</v>
      </c>
      <c r="C33" s="165">
        <f t="shared" ref="C33:C38" si="29">E33+G33+I33+K33+M33+O33+Q33+S33+U33+W33+Y33+AA33+AC33+AE33+AG33+AI33+AK33+AM33+AO33+AQ33+AS33+AU33</f>
        <v>8800.0300000000007</v>
      </c>
      <c r="D33" s="168"/>
      <c r="E33" s="187"/>
      <c r="F33" s="173"/>
      <c r="G33" s="187"/>
      <c r="H33" s="173"/>
      <c r="I33" s="188"/>
      <c r="J33" s="173"/>
      <c r="K33" s="187"/>
      <c r="L33" s="173"/>
      <c r="M33" s="187"/>
      <c r="N33" s="173"/>
      <c r="O33" s="187"/>
      <c r="P33" s="176"/>
      <c r="Q33" s="187"/>
      <c r="R33" s="186"/>
      <c r="S33" s="187"/>
      <c r="T33" s="186"/>
      <c r="U33" s="187"/>
      <c r="V33" s="167">
        <v>6.6911200710770224E-2</v>
      </c>
      <c r="W33" s="196">
        <v>376.72</v>
      </c>
      <c r="X33" s="173"/>
      <c r="Y33" s="196">
        <v>995.72</v>
      </c>
      <c r="Z33" s="173"/>
      <c r="AA33" s="196">
        <v>2049.06</v>
      </c>
      <c r="AB33" s="173"/>
      <c r="AC33" s="196">
        <v>1067.8399999999999</v>
      </c>
      <c r="AD33" s="173"/>
      <c r="AE33" s="196">
        <v>1497.99</v>
      </c>
      <c r="AF33" s="173"/>
      <c r="AG33" s="196">
        <v>0</v>
      </c>
      <c r="AH33" s="173"/>
      <c r="AI33" s="196">
        <v>0</v>
      </c>
      <c r="AJ33" s="173">
        <v>0</v>
      </c>
      <c r="AK33" s="196">
        <f>ROUND((centralizator!$R$18-1)*Gantt!AK33,2)</f>
        <v>0</v>
      </c>
      <c r="AL33" s="173">
        <v>9.147890132892518E-2</v>
      </c>
      <c r="AM33" s="196">
        <f>ROUND((centralizator!$S$18-1)*Gantt!AM33,2)</f>
        <v>1839.22</v>
      </c>
      <c r="AN33" s="173">
        <v>4.5391843465900084E-2</v>
      </c>
      <c r="AO33" s="196">
        <f>ROUND((centralizator!$T$18-1)*Gantt!AO33,2)</f>
        <v>973.48</v>
      </c>
      <c r="AP33" s="174"/>
      <c r="AQ33" s="196">
        <f>ROUND((centralizator!$U$18-1)*Gantt!AQ33,2)</f>
        <v>0</v>
      </c>
      <c r="AR33" s="174"/>
      <c r="AS33" s="196">
        <f>ROUND((centralizator!$V$18-1)*Gantt!AS33,2)</f>
        <v>0</v>
      </c>
      <c r="AT33" s="173">
        <v>-3.4741780081193101E-8</v>
      </c>
      <c r="AU33" s="196">
        <f>ROUND((centralizator!$W$18-1)*Gantt!AU33,2)</f>
        <v>0</v>
      </c>
      <c r="AV33" s="39">
        <f t="shared" si="2"/>
        <v>0</v>
      </c>
      <c r="AW33" s="40">
        <f t="shared" si="15"/>
        <v>5987.3969112007107</v>
      </c>
      <c r="AX33" s="40">
        <f t="shared" si="16"/>
        <v>2812.8368707100531</v>
      </c>
      <c r="AY33" s="40">
        <f t="shared" si="17"/>
        <v>8800.2337819107634</v>
      </c>
      <c r="AZ33" s="41">
        <f t="shared" si="3"/>
        <v>-0.20378191076270014</v>
      </c>
      <c r="BE33" s="40">
        <f t="shared" si="6"/>
        <v>5987.33</v>
      </c>
      <c r="BF33" s="40">
        <f t="shared" si="7"/>
        <v>2812.7</v>
      </c>
      <c r="BG33" s="40">
        <f t="shared" si="8"/>
        <v>1137.5899999999999</v>
      </c>
      <c r="BH33" s="40">
        <f t="shared" si="9"/>
        <v>534.41</v>
      </c>
      <c r="BI33" s="40">
        <f t="shared" si="10"/>
        <v>7124.92</v>
      </c>
      <c r="BJ33" s="40">
        <f t="shared" si="11"/>
        <v>3347.1099999999997</v>
      </c>
      <c r="BK33" s="40">
        <f t="shared" si="12"/>
        <v>10472.029999999999</v>
      </c>
      <c r="BL33" s="41"/>
      <c r="BM33" s="41">
        <f t="shared" si="13"/>
        <v>8800.0299999999988</v>
      </c>
      <c r="BN33" s="41">
        <f t="shared" si="4"/>
        <v>8800.0299999999988</v>
      </c>
      <c r="BO33" s="41">
        <f t="shared" si="5"/>
        <v>0</v>
      </c>
    </row>
    <row r="34" spans="1:67" ht="14.4">
      <c r="A34" s="42" t="s">
        <v>98</v>
      </c>
      <c r="B34" s="43" t="s">
        <v>99</v>
      </c>
      <c r="C34" s="165">
        <f t="shared" si="29"/>
        <v>1416900.1500000001</v>
      </c>
      <c r="D34" s="168"/>
      <c r="E34" s="187"/>
      <c r="F34" s="173"/>
      <c r="G34" s="187"/>
      <c r="H34" s="173"/>
      <c r="I34" s="188"/>
      <c r="J34" s="173"/>
      <c r="K34" s="187"/>
      <c r="L34" s="173"/>
      <c r="M34" s="187"/>
      <c r="N34" s="173"/>
      <c r="O34" s="187"/>
      <c r="P34" s="176"/>
      <c r="Q34" s="187"/>
      <c r="R34" s="186"/>
      <c r="S34" s="187"/>
      <c r="T34" s="186"/>
      <c r="U34" s="187"/>
      <c r="V34" s="167">
        <v>7.1746414258760924E-2</v>
      </c>
      <c r="W34" s="196">
        <v>41349.33</v>
      </c>
      <c r="X34" s="173"/>
      <c r="Y34" s="196">
        <v>44318.53</v>
      </c>
      <c r="Z34" s="173"/>
      <c r="AA34" s="196">
        <v>80604.69</v>
      </c>
      <c r="AB34" s="173"/>
      <c r="AC34" s="196">
        <v>69899.740000000005</v>
      </c>
      <c r="AD34" s="173"/>
      <c r="AE34" s="196">
        <v>26923.85</v>
      </c>
      <c r="AF34" s="173"/>
      <c r="AG34" s="196">
        <v>54919.58</v>
      </c>
      <c r="AH34" s="173"/>
      <c r="AI34" s="196">
        <v>39796.080000000002</v>
      </c>
      <c r="AJ34" s="173">
        <v>0.16021728455207543</v>
      </c>
      <c r="AK34" s="196">
        <f>ROUND((centralizator!$R$18-1)*Gantt!AK34,2)</f>
        <v>307758.76</v>
      </c>
      <c r="AL34" s="173">
        <v>0.19371308292644399</v>
      </c>
      <c r="AM34" s="196">
        <f>ROUND((centralizator!$S$18-1)*Gantt!AM34,2)</f>
        <v>398672.15</v>
      </c>
      <c r="AN34" s="173">
        <v>0.11815424794675382</v>
      </c>
      <c r="AO34" s="196">
        <f>ROUND((centralizator!$T$18-1)*Gantt!AO34,2)</f>
        <v>259384.87</v>
      </c>
      <c r="AP34" s="173">
        <v>3.9988611635779846E-2</v>
      </c>
      <c r="AQ34" s="196">
        <f>ROUND((centralizator!$U$18-1)*Gantt!AQ34,2)</f>
        <v>93272.57</v>
      </c>
      <c r="AR34" s="173"/>
      <c r="AS34" s="196">
        <f>ROUND((centralizator!$V$18-1)*Gantt!AS34,2)</f>
        <v>0</v>
      </c>
      <c r="AT34" s="173">
        <v>3.2490265298556744E-10</v>
      </c>
      <c r="AU34" s="196">
        <f>ROUND((centralizator!$W$18-1)*Gantt!AU34,2)</f>
        <v>0</v>
      </c>
      <c r="AV34" s="39">
        <f t="shared" si="2"/>
        <v>0</v>
      </c>
      <c r="AW34" s="40">
        <f t="shared" si="15"/>
        <v>357811.87174641428</v>
      </c>
      <c r="AX34" s="40">
        <f t="shared" si="16"/>
        <v>1059088.8620732273</v>
      </c>
      <c r="AY34" s="40">
        <f t="shared" si="17"/>
        <v>1416900.7338196416</v>
      </c>
      <c r="AZ34" s="41">
        <f t="shared" si="3"/>
        <v>-0.5838196414988488</v>
      </c>
      <c r="BE34" s="40">
        <f t="shared" si="6"/>
        <v>357811.8</v>
      </c>
      <c r="BF34" s="40">
        <f t="shared" si="7"/>
        <v>1059088.3500000001</v>
      </c>
      <c r="BG34" s="40">
        <f t="shared" si="8"/>
        <v>67984.240000000005</v>
      </c>
      <c r="BH34" s="40">
        <f t="shared" si="9"/>
        <v>201226.79</v>
      </c>
      <c r="BI34" s="40">
        <f t="shared" si="10"/>
        <v>425796.04</v>
      </c>
      <c r="BJ34" s="40">
        <f t="shared" si="11"/>
        <v>1260315.1400000001</v>
      </c>
      <c r="BK34" s="40">
        <f t="shared" si="12"/>
        <v>1686111.1800000002</v>
      </c>
      <c r="BL34" s="41"/>
      <c r="BM34" s="41">
        <f t="shared" si="13"/>
        <v>1416900.1500000001</v>
      </c>
      <c r="BN34" s="41">
        <f t="shared" si="4"/>
        <v>1416900.1500000004</v>
      </c>
      <c r="BO34" s="41">
        <f t="shared" si="5"/>
        <v>0</v>
      </c>
    </row>
    <row r="35" spans="1:67" ht="14.4">
      <c r="A35" s="42" t="s">
        <v>100</v>
      </c>
      <c r="B35" s="43" t="s">
        <v>101</v>
      </c>
      <c r="C35" s="165">
        <f t="shared" si="29"/>
        <v>87648.320000000007</v>
      </c>
      <c r="D35" s="168"/>
      <c r="E35" s="187"/>
      <c r="F35" s="173"/>
      <c r="G35" s="187"/>
      <c r="H35" s="173"/>
      <c r="I35" s="188"/>
      <c r="J35" s="173"/>
      <c r="K35" s="187"/>
      <c r="L35" s="173"/>
      <c r="M35" s="187"/>
      <c r="N35" s="173"/>
      <c r="O35" s="187"/>
      <c r="P35" s="176"/>
      <c r="Q35" s="187"/>
      <c r="R35" s="186"/>
      <c r="S35" s="187"/>
      <c r="T35" s="186"/>
      <c r="U35" s="187"/>
      <c r="V35" s="167">
        <v>0.10751636456541902</v>
      </c>
      <c r="W35" s="196">
        <v>5555.8</v>
      </c>
      <c r="X35" s="173"/>
      <c r="Y35" s="196">
        <v>4075.82</v>
      </c>
      <c r="Z35" s="173"/>
      <c r="AA35" s="196">
        <v>19302.939999999999</v>
      </c>
      <c r="AB35" s="173"/>
      <c r="AC35" s="196">
        <v>16189.25</v>
      </c>
      <c r="AD35" s="173"/>
      <c r="AE35" s="196">
        <v>30921.279999999999</v>
      </c>
      <c r="AF35" s="173"/>
      <c r="AG35" s="196">
        <v>10729.16</v>
      </c>
      <c r="AH35" s="173"/>
      <c r="AI35" s="196">
        <v>0</v>
      </c>
      <c r="AJ35" s="173">
        <v>5.0750675263254164E-3</v>
      </c>
      <c r="AK35" s="196">
        <f>ROUND((centralizator!$R$18-1)*Gantt!AK35,2)</f>
        <v>874.07</v>
      </c>
      <c r="AL35" s="173">
        <v>0</v>
      </c>
      <c r="AM35" s="196">
        <f>ROUND((centralizator!$S$18-1)*Gantt!AM35,2)</f>
        <v>0</v>
      </c>
      <c r="AN35" s="173">
        <v>0</v>
      </c>
      <c r="AO35" s="196">
        <f>ROUND((centralizator!$T$18-1)*Gantt!AO35,2)</f>
        <v>0</v>
      </c>
      <c r="AP35" s="173"/>
      <c r="AQ35" s="196">
        <f>ROUND((centralizator!$U$18-1)*Gantt!AQ35,2)</f>
        <v>0</v>
      </c>
      <c r="AR35" s="173"/>
      <c r="AS35" s="196">
        <f>ROUND((centralizator!$V$18-1)*Gantt!AS35,2)</f>
        <v>0</v>
      </c>
      <c r="AT35" s="173">
        <v>-6.5868569577452722E-9</v>
      </c>
      <c r="AU35" s="196">
        <f>ROUND((centralizator!$W$18-1)*Gantt!AU35,2)</f>
        <v>0</v>
      </c>
      <c r="AV35" s="39">
        <f t="shared" si="2"/>
        <v>0</v>
      </c>
      <c r="AW35" s="40">
        <f t="shared" si="15"/>
        <v>86774.357516364573</v>
      </c>
      <c r="AX35" s="40">
        <f t="shared" si="16"/>
        <v>874.07507506093953</v>
      </c>
      <c r="AY35" s="40">
        <f t="shared" si="17"/>
        <v>87648.432591425517</v>
      </c>
      <c r="AZ35" s="41">
        <f t="shared" si="3"/>
        <v>-0.11259142550989054</v>
      </c>
      <c r="BE35" s="40">
        <f t="shared" si="6"/>
        <v>86774.25</v>
      </c>
      <c r="BF35" s="40">
        <f t="shared" si="7"/>
        <v>874.07</v>
      </c>
      <c r="BG35" s="40">
        <f t="shared" si="8"/>
        <v>16487.11</v>
      </c>
      <c r="BH35" s="40">
        <f t="shared" si="9"/>
        <v>166.07</v>
      </c>
      <c r="BI35" s="40">
        <f t="shared" si="10"/>
        <v>103261.36</v>
      </c>
      <c r="BJ35" s="40">
        <f t="shared" si="11"/>
        <v>1040.1400000000001</v>
      </c>
      <c r="BK35" s="40">
        <f t="shared" si="12"/>
        <v>104301.5</v>
      </c>
      <c r="BL35" s="41"/>
      <c r="BM35" s="41">
        <f t="shared" si="13"/>
        <v>87648.320000000007</v>
      </c>
      <c r="BN35" s="41">
        <f t="shared" si="4"/>
        <v>87648.320000000007</v>
      </c>
      <c r="BO35" s="41">
        <f t="shared" si="5"/>
        <v>0</v>
      </c>
    </row>
    <row r="36" spans="1:67" ht="14.4">
      <c r="A36" s="42"/>
      <c r="B36" s="43" t="s">
        <v>102</v>
      </c>
      <c r="C36" s="165">
        <f t="shared" si="29"/>
        <v>72726.58</v>
      </c>
      <c r="D36" s="168"/>
      <c r="E36" s="187"/>
      <c r="F36" s="173"/>
      <c r="G36" s="187"/>
      <c r="H36" s="173"/>
      <c r="I36" s="188"/>
      <c r="J36" s="173"/>
      <c r="K36" s="187"/>
      <c r="L36" s="173"/>
      <c r="M36" s="187"/>
      <c r="N36" s="173"/>
      <c r="O36" s="187"/>
      <c r="P36" s="176"/>
      <c r="Q36" s="187"/>
      <c r="R36" s="186"/>
      <c r="S36" s="187"/>
      <c r="T36" s="186"/>
      <c r="U36" s="187"/>
      <c r="V36" s="169">
        <v>2.1569980198877094E-2</v>
      </c>
      <c r="W36" s="196">
        <v>666.94</v>
      </c>
      <c r="X36" s="173"/>
      <c r="Y36" s="196">
        <v>461.87</v>
      </c>
      <c r="Z36" s="173"/>
      <c r="AA36" s="196">
        <v>2230.58</v>
      </c>
      <c r="AB36" s="173"/>
      <c r="AC36" s="196">
        <v>1863.08</v>
      </c>
      <c r="AD36" s="173"/>
      <c r="AE36" s="196">
        <v>23284.28</v>
      </c>
      <c r="AF36" s="173"/>
      <c r="AG36" s="196">
        <v>1235.05</v>
      </c>
      <c r="AH36" s="173"/>
      <c r="AI36" s="196">
        <v>12403.41</v>
      </c>
      <c r="AJ36" s="173">
        <v>0.13480020852532343</v>
      </c>
      <c r="AK36" s="196">
        <f>ROUND((centralizator!$R$18-1)*Gantt!AK36,2)</f>
        <v>13891.79</v>
      </c>
      <c r="AL36" s="173">
        <v>0.13611763167874336</v>
      </c>
      <c r="AM36" s="196">
        <f>ROUND((centralizator!$S$18-1)*Gantt!AM36,2)</f>
        <v>15029.27</v>
      </c>
      <c r="AN36" s="173">
        <v>1.4097002533544975E-2</v>
      </c>
      <c r="AO36" s="196">
        <f>ROUND((centralizator!$T$18-1)*Gantt!AO36,2)</f>
        <v>1660.31</v>
      </c>
      <c r="AP36" s="173">
        <v>0</v>
      </c>
      <c r="AQ36" s="196">
        <f>ROUND((centralizator!$U$18-1)*Gantt!AQ36,2)</f>
        <v>0</v>
      </c>
      <c r="AR36" s="173"/>
      <c r="AS36" s="196">
        <f>ROUND((centralizator!$V$18-1)*Gantt!AS36,2)</f>
        <v>0</v>
      </c>
      <c r="AT36" s="173">
        <v>7.4578106594935632E-9</v>
      </c>
      <c r="AU36" s="196">
        <f>ROUND((centralizator!$W$18-1)*Gantt!AU36,2)</f>
        <v>0</v>
      </c>
      <c r="AV36" s="39">
        <f t="shared" si="2"/>
        <v>0</v>
      </c>
      <c r="AW36" s="40">
        <f t="shared" si="15"/>
        <v>42145.231569980198</v>
      </c>
      <c r="AX36" s="40">
        <f t="shared" si="16"/>
        <v>30581.655014850199</v>
      </c>
      <c r="AY36" s="40">
        <f t="shared" si="17"/>
        <v>72726.886584830398</v>
      </c>
      <c r="AZ36" s="41">
        <f t="shared" si="3"/>
        <v>-0.30658483039587736</v>
      </c>
      <c r="BE36" s="40">
        <f t="shared" si="6"/>
        <v>42145.21</v>
      </c>
      <c r="BF36" s="40">
        <f t="shared" si="7"/>
        <v>30581.370000000003</v>
      </c>
      <c r="BG36" s="40">
        <f t="shared" si="8"/>
        <v>8007.59</v>
      </c>
      <c r="BH36" s="40">
        <f t="shared" si="9"/>
        <v>5810.46</v>
      </c>
      <c r="BI36" s="40">
        <f t="shared" si="10"/>
        <v>50152.800000000003</v>
      </c>
      <c r="BJ36" s="40">
        <f t="shared" si="11"/>
        <v>36391.83</v>
      </c>
      <c r="BK36" s="40">
        <f t="shared" si="12"/>
        <v>86544.63</v>
      </c>
      <c r="BL36" s="41"/>
      <c r="BM36" s="41">
        <f t="shared" si="13"/>
        <v>72726.58</v>
      </c>
      <c r="BN36" s="41">
        <f t="shared" si="4"/>
        <v>72726.58</v>
      </c>
      <c r="BO36" s="41">
        <f t="shared" si="5"/>
        <v>0</v>
      </c>
    </row>
    <row r="37" spans="1:67" ht="14.4">
      <c r="A37" s="42" t="s">
        <v>103</v>
      </c>
      <c r="B37" s="43" t="s">
        <v>104</v>
      </c>
      <c r="C37" s="165">
        <f t="shared" si="29"/>
        <v>78154.649999999994</v>
      </c>
      <c r="D37" s="168"/>
      <c r="E37" s="187"/>
      <c r="F37" s="173"/>
      <c r="G37" s="187"/>
      <c r="H37" s="173"/>
      <c r="I37" s="188"/>
      <c r="J37" s="173"/>
      <c r="K37" s="187"/>
      <c r="L37" s="173"/>
      <c r="M37" s="187"/>
      <c r="N37" s="173"/>
      <c r="O37" s="187"/>
      <c r="P37" s="176"/>
      <c r="Q37" s="187"/>
      <c r="R37" s="186"/>
      <c r="S37" s="187"/>
      <c r="T37" s="186"/>
      <c r="U37" s="187"/>
      <c r="V37" s="167">
        <v>8.2602301250064125E-2</v>
      </c>
      <c r="W37" s="196">
        <v>3365.84</v>
      </c>
      <c r="X37" s="173"/>
      <c r="Y37" s="196">
        <v>22216.03</v>
      </c>
      <c r="Z37" s="173"/>
      <c r="AA37" s="196">
        <v>7539.8</v>
      </c>
      <c r="AB37" s="173"/>
      <c r="AC37" s="196">
        <v>5480.86</v>
      </c>
      <c r="AD37" s="173"/>
      <c r="AE37" s="196">
        <v>0</v>
      </c>
      <c r="AF37" s="173"/>
      <c r="AG37" s="196">
        <v>8352.1299999999992</v>
      </c>
      <c r="AH37" s="173"/>
      <c r="AI37" s="196">
        <v>0</v>
      </c>
      <c r="AJ37" s="173">
        <v>7.1918987638580525E-2</v>
      </c>
      <c r="AK37" s="196">
        <f>ROUND((centralizator!$R$18-1)*Gantt!AK37,2)</f>
        <v>9767.3799999999992</v>
      </c>
      <c r="AL37" s="173">
        <v>7.468597486403207E-2</v>
      </c>
      <c r="AM37" s="196">
        <f>ROUND((centralizator!$S$18-1)*Gantt!AM37,2)</f>
        <v>10867.49</v>
      </c>
      <c r="AN37" s="173">
        <v>4.5001052013428092E-2</v>
      </c>
      <c r="AO37" s="196">
        <f>ROUND((centralizator!$T$18-1)*Gantt!AO37,2)</f>
        <v>6984.76</v>
      </c>
      <c r="AP37" s="173">
        <v>2.1710818082627894E-2</v>
      </c>
      <c r="AQ37" s="196">
        <f>ROUND((centralizator!$U$18-1)*Gantt!AQ37,2)</f>
        <v>3580.36</v>
      </c>
      <c r="AR37" s="173"/>
      <c r="AS37" s="196">
        <f>ROUND((centralizator!$V$18-1)*Gantt!AS37,2)</f>
        <v>0</v>
      </c>
      <c r="AT37" s="173">
        <v>-3.8481360720604482E-9</v>
      </c>
      <c r="AU37" s="196">
        <f>ROUND((centralizator!$W$18-1)*Gantt!AU37,2)</f>
        <v>0</v>
      </c>
      <c r="AV37" s="39">
        <f t="shared" si="2"/>
        <v>0</v>
      </c>
      <c r="AW37" s="40">
        <f t="shared" si="15"/>
        <v>46954.742602301245</v>
      </c>
      <c r="AX37" s="40">
        <f t="shared" si="16"/>
        <v>31200.203316828749</v>
      </c>
      <c r="AY37" s="40">
        <f t="shared" si="17"/>
        <v>78154.945919129997</v>
      </c>
      <c r="AZ37" s="41">
        <f t="shared" si="3"/>
        <v>-0.2959191300033126</v>
      </c>
      <c r="BE37" s="40">
        <f t="shared" si="6"/>
        <v>46954.659999999996</v>
      </c>
      <c r="BF37" s="40">
        <f t="shared" si="7"/>
        <v>31199.989999999998</v>
      </c>
      <c r="BG37" s="40">
        <f t="shared" si="8"/>
        <v>8921.39</v>
      </c>
      <c r="BH37" s="40">
        <f t="shared" si="9"/>
        <v>5928</v>
      </c>
      <c r="BI37" s="40">
        <f t="shared" si="10"/>
        <v>55876.049999999996</v>
      </c>
      <c r="BJ37" s="40">
        <f t="shared" si="11"/>
        <v>37127.99</v>
      </c>
      <c r="BK37" s="40">
        <f t="shared" si="12"/>
        <v>93004.04</v>
      </c>
      <c r="BL37" s="41"/>
      <c r="BM37" s="41">
        <f t="shared" si="13"/>
        <v>78154.649999999994</v>
      </c>
      <c r="BN37" s="41">
        <f t="shared" si="4"/>
        <v>78154.649999999994</v>
      </c>
      <c r="BO37" s="41">
        <f t="shared" si="5"/>
        <v>0</v>
      </c>
    </row>
    <row r="38" spans="1:67" ht="14.4">
      <c r="A38" s="42"/>
      <c r="B38" s="43" t="s">
        <v>105</v>
      </c>
      <c r="C38" s="165">
        <f t="shared" si="29"/>
        <v>49228.45</v>
      </c>
      <c r="D38" s="168"/>
      <c r="E38" s="187"/>
      <c r="F38" s="173"/>
      <c r="G38" s="187"/>
      <c r="H38" s="173"/>
      <c r="I38" s="188"/>
      <c r="J38" s="173"/>
      <c r="K38" s="187"/>
      <c r="L38" s="173"/>
      <c r="M38" s="187"/>
      <c r="N38" s="173"/>
      <c r="O38" s="187"/>
      <c r="P38" s="176"/>
      <c r="Q38" s="187"/>
      <c r="R38" s="186"/>
      <c r="S38" s="187"/>
      <c r="T38" s="186"/>
      <c r="U38" s="187"/>
      <c r="V38" s="169">
        <v>3.6454644486732558E-2</v>
      </c>
      <c r="W38" s="196">
        <v>631.9</v>
      </c>
      <c r="X38" s="173"/>
      <c r="Y38" s="196">
        <v>4772.87</v>
      </c>
      <c r="Z38" s="173"/>
      <c r="AA38" s="196">
        <v>1619.88</v>
      </c>
      <c r="AB38" s="173"/>
      <c r="AC38" s="196">
        <v>1177.5899999999999</v>
      </c>
      <c r="AD38" s="173"/>
      <c r="AE38" s="196">
        <v>0</v>
      </c>
      <c r="AF38" s="173"/>
      <c r="AG38" s="196">
        <v>1794.44</v>
      </c>
      <c r="AH38" s="178"/>
      <c r="AI38" s="196">
        <v>0</v>
      </c>
      <c r="AJ38" s="178">
        <v>5.2004007072042509E-2</v>
      </c>
      <c r="AK38" s="196">
        <f>ROUND((centralizator!$R$18-1)*Gantt!AK38,2)</f>
        <v>7062.71</v>
      </c>
      <c r="AL38" s="178">
        <v>5.6074234812886418E-2</v>
      </c>
      <c r="AM38" s="196">
        <f>ROUND((centralizator!$S$18-1)*Gantt!AM38,2)</f>
        <v>8159.31</v>
      </c>
      <c r="AN38" s="178">
        <v>8.4161074247025319E-2</v>
      </c>
      <c r="AO38" s="196">
        <f>ROUND((centralizator!$T$18-1)*Gantt!AO38,2)</f>
        <v>13062.91</v>
      </c>
      <c r="AP38" s="178">
        <v>6.6380075877558911E-2</v>
      </c>
      <c r="AQ38" s="196">
        <f>ROUND((centralizator!$U$18-1)*Gantt!AQ38,2)</f>
        <v>10946.84</v>
      </c>
      <c r="AR38" s="174"/>
      <c r="AS38" s="196">
        <f>ROUND((centralizator!$V$18-1)*Gantt!AS38,2)</f>
        <v>0</v>
      </c>
      <c r="AT38" s="173">
        <v>7.039243397024437E-9</v>
      </c>
      <c r="AU38" s="196">
        <f>ROUND((centralizator!$W$18-1)*Gantt!AU38,2)</f>
        <v>0</v>
      </c>
      <c r="AV38" s="39">
        <f t="shared" si="2"/>
        <v>0</v>
      </c>
      <c r="AW38" s="40">
        <f t="shared" si="15"/>
        <v>9996.7164546444874</v>
      </c>
      <c r="AX38" s="40">
        <f t="shared" si="16"/>
        <v>39232.02861939904</v>
      </c>
      <c r="AY38" s="40">
        <f t="shared" si="17"/>
        <v>49228.745074043531</v>
      </c>
      <c r="AZ38" s="41">
        <f t="shared" si="3"/>
        <v>-0.29507404353353195</v>
      </c>
      <c r="BE38" s="40">
        <f t="shared" si="6"/>
        <v>9996.68</v>
      </c>
      <c r="BF38" s="40">
        <f t="shared" si="7"/>
        <v>39231.770000000004</v>
      </c>
      <c r="BG38" s="40">
        <f t="shared" si="8"/>
        <v>1899.37</v>
      </c>
      <c r="BH38" s="40">
        <f t="shared" si="9"/>
        <v>7454.04</v>
      </c>
      <c r="BI38" s="40">
        <f t="shared" si="10"/>
        <v>11896.05</v>
      </c>
      <c r="BJ38" s="40">
        <f t="shared" si="11"/>
        <v>46685.810000000005</v>
      </c>
      <c r="BK38" s="40">
        <f t="shared" si="12"/>
        <v>58581.86</v>
      </c>
      <c r="BL38" s="41"/>
      <c r="BM38" s="41">
        <f t="shared" si="13"/>
        <v>49228.450000000004</v>
      </c>
      <c r="BN38" s="41">
        <f t="shared" si="4"/>
        <v>49228.450000000004</v>
      </c>
      <c r="BO38" s="41">
        <f t="shared" si="5"/>
        <v>0</v>
      </c>
    </row>
    <row r="39" spans="1:67" ht="14.4">
      <c r="A39" s="30">
        <v>24.9</v>
      </c>
      <c r="B39" s="31" t="s">
        <v>106</v>
      </c>
      <c r="C39" s="164">
        <f>SUM(C40:C45)</f>
        <v>236942.45</v>
      </c>
      <c r="D39" s="164">
        <f t="shared" ref="D39:AI39" si="30">SUM(D40:D45)</f>
        <v>0</v>
      </c>
      <c r="E39" s="164">
        <f t="shared" si="30"/>
        <v>0</v>
      </c>
      <c r="F39" s="164">
        <f t="shared" si="30"/>
        <v>0</v>
      </c>
      <c r="G39" s="164">
        <f t="shared" si="30"/>
        <v>0</v>
      </c>
      <c r="H39" s="164">
        <f t="shared" si="30"/>
        <v>0</v>
      </c>
      <c r="I39" s="164">
        <f t="shared" si="30"/>
        <v>0</v>
      </c>
      <c r="J39" s="164">
        <f t="shared" si="30"/>
        <v>0</v>
      </c>
      <c r="K39" s="164">
        <f t="shared" si="30"/>
        <v>0</v>
      </c>
      <c r="L39" s="164">
        <f t="shared" si="30"/>
        <v>0</v>
      </c>
      <c r="M39" s="164">
        <f t="shared" si="30"/>
        <v>0</v>
      </c>
      <c r="N39" s="164">
        <f t="shared" si="30"/>
        <v>0</v>
      </c>
      <c r="O39" s="164">
        <f t="shared" si="30"/>
        <v>0</v>
      </c>
      <c r="P39" s="164">
        <f t="shared" si="30"/>
        <v>0</v>
      </c>
      <c r="Q39" s="164">
        <f t="shared" si="30"/>
        <v>0</v>
      </c>
      <c r="R39" s="164">
        <f t="shared" si="30"/>
        <v>0</v>
      </c>
      <c r="S39" s="164">
        <f t="shared" si="30"/>
        <v>0</v>
      </c>
      <c r="T39" s="164">
        <f t="shared" si="30"/>
        <v>0</v>
      </c>
      <c r="U39" s="164">
        <f t="shared" si="30"/>
        <v>0</v>
      </c>
      <c r="V39" s="164">
        <f t="shared" si="30"/>
        <v>1.4057872305843466</v>
      </c>
      <c r="W39" s="208">
        <f t="shared" si="30"/>
        <v>25152.01</v>
      </c>
      <c r="X39" s="164">
        <f t="shared" si="30"/>
        <v>0</v>
      </c>
      <c r="Y39" s="164">
        <f t="shared" si="30"/>
        <v>15744.550000000001</v>
      </c>
      <c r="Z39" s="164">
        <f t="shared" si="30"/>
        <v>0</v>
      </c>
      <c r="AA39" s="164">
        <f t="shared" si="30"/>
        <v>5765.65</v>
      </c>
      <c r="AB39" s="164">
        <f t="shared" si="30"/>
        <v>0</v>
      </c>
      <c r="AC39" s="164">
        <f t="shared" si="30"/>
        <v>0</v>
      </c>
      <c r="AD39" s="164">
        <f t="shared" si="30"/>
        <v>0</v>
      </c>
      <c r="AE39" s="164">
        <f t="shared" ref="AE39" si="31">SUM(AE40:AE45)</f>
        <v>7765.3899999999994</v>
      </c>
      <c r="AF39" s="164">
        <f t="shared" si="30"/>
        <v>0</v>
      </c>
      <c r="AG39" s="164">
        <f t="shared" si="30"/>
        <v>29025.379999999997</v>
      </c>
      <c r="AH39" s="164">
        <f t="shared" si="30"/>
        <v>0</v>
      </c>
      <c r="AI39" s="164">
        <f t="shared" si="30"/>
        <v>8852.76</v>
      </c>
      <c r="AJ39" s="198"/>
      <c r="AK39" s="196">
        <f>ROUND((centralizator!$R$18-1)*Gantt!AK39,2)</f>
        <v>0</v>
      </c>
      <c r="AL39" s="198"/>
      <c r="AM39" s="196">
        <f>ROUND((centralizator!$S$18-1)*Gantt!AM39,2)</f>
        <v>45221.64</v>
      </c>
      <c r="AN39" s="198"/>
      <c r="AO39" s="196">
        <f>ROUND((centralizator!$T$18-1)*Gantt!AO39,2)</f>
        <v>9795.7999999999993</v>
      </c>
      <c r="AP39" s="198"/>
      <c r="AQ39" s="196">
        <f>ROUND((centralizator!$U$18-1)*Gantt!AQ39,2)</f>
        <v>5377.6</v>
      </c>
      <c r="AR39" s="198"/>
      <c r="AS39" s="196">
        <f>ROUND((centralizator!$V$18-1)*Gantt!AS39,2)</f>
        <v>11792.61</v>
      </c>
      <c r="AT39" s="173">
        <v>0.12982660592105699</v>
      </c>
      <c r="AU39" s="196">
        <f>ROUND((centralizator!$W$18-1)*Gantt!AU39,2)</f>
        <v>72449.06</v>
      </c>
      <c r="AV39" s="39">
        <f t="shared" si="2"/>
        <v>0</v>
      </c>
      <c r="AW39" s="40">
        <f t="shared" si="15"/>
        <v>92307.145787230576</v>
      </c>
      <c r="AX39" s="40">
        <f t="shared" si="16"/>
        <v>144636.83982660592</v>
      </c>
      <c r="AY39" s="40">
        <f t="shared" si="17"/>
        <v>236943.9856138365</v>
      </c>
      <c r="AZ39" s="41">
        <f t="shared" si="3"/>
        <v>-1.5356138364877552</v>
      </c>
      <c r="BE39" s="40">
        <f t="shared" si="6"/>
        <v>92305.739999999991</v>
      </c>
      <c r="BF39" s="40">
        <f t="shared" si="7"/>
        <v>144636.71</v>
      </c>
      <c r="BG39" s="40">
        <f t="shared" si="8"/>
        <v>17538.09</v>
      </c>
      <c r="BH39" s="40">
        <f t="shared" si="9"/>
        <v>27480.97</v>
      </c>
      <c r="BI39" s="40">
        <f t="shared" si="10"/>
        <v>109843.82999999999</v>
      </c>
      <c r="BJ39" s="40">
        <f t="shared" si="11"/>
        <v>172117.68</v>
      </c>
      <c r="BK39" s="40">
        <f t="shared" si="12"/>
        <v>281961.51</v>
      </c>
      <c r="BL39" s="41"/>
      <c r="BM39" s="41">
        <f t="shared" si="13"/>
        <v>236942.44999999998</v>
      </c>
      <c r="BN39" s="41">
        <f t="shared" si="4"/>
        <v>236942.45000000004</v>
      </c>
      <c r="BO39" s="41">
        <f t="shared" si="5"/>
        <v>0</v>
      </c>
    </row>
    <row r="40" spans="1:67" ht="14.4">
      <c r="A40" s="42" t="s">
        <v>107</v>
      </c>
      <c r="B40" s="43" t="s">
        <v>108</v>
      </c>
      <c r="C40" s="165">
        <f t="shared" ref="C40:C45" si="32">E40+G40+I40+K40+M40+O40+Q40+S40+U40+W40+Y40+AA40+AC40+AE40+AG40+AI40+AK40+AM40+AO40+AQ40+AS40+AU40</f>
        <v>23123.530000000002</v>
      </c>
      <c r="D40" s="168"/>
      <c r="E40" s="187"/>
      <c r="F40" s="173"/>
      <c r="G40" s="187"/>
      <c r="H40" s="173"/>
      <c r="I40" s="188"/>
      <c r="J40" s="173"/>
      <c r="K40" s="187"/>
      <c r="L40" s="173"/>
      <c r="M40" s="187"/>
      <c r="N40" s="173"/>
      <c r="O40" s="187"/>
      <c r="P40" s="176"/>
      <c r="Q40" s="187"/>
      <c r="R40" s="186"/>
      <c r="S40" s="187"/>
      <c r="T40" s="186"/>
      <c r="U40" s="187"/>
      <c r="V40" s="171">
        <v>0</v>
      </c>
      <c r="W40" s="196">
        <v>0</v>
      </c>
      <c r="X40" s="173"/>
      <c r="Y40" s="196">
        <v>0</v>
      </c>
      <c r="Z40" s="173"/>
      <c r="AA40" s="196">
        <v>0</v>
      </c>
      <c r="AB40" s="173"/>
      <c r="AC40" s="196">
        <v>0</v>
      </c>
      <c r="AD40" s="173"/>
      <c r="AE40" s="196">
        <v>0</v>
      </c>
      <c r="AF40" s="173"/>
      <c r="AG40" s="196">
        <v>0</v>
      </c>
      <c r="AH40" s="173"/>
      <c r="AI40" s="196">
        <v>0</v>
      </c>
      <c r="AJ40" s="173">
        <v>0</v>
      </c>
      <c r="AK40" s="196">
        <f>ROUND((centralizator!$R$18-1)*Gantt!AK40,2)</f>
        <v>0</v>
      </c>
      <c r="AL40" s="173">
        <v>0</v>
      </c>
      <c r="AM40" s="196">
        <f>ROUND((centralizator!$S$18-1)*Gantt!AM40,2)</f>
        <v>0</v>
      </c>
      <c r="AN40" s="173">
        <v>0.34415623114156008</v>
      </c>
      <c r="AO40" s="196">
        <f>ROUND((centralizator!$T$18-1)*Gantt!AO40,2)</f>
        <v>7443.54</v>
      </c>
      <c r="AP40" s="173">
        <v>0.20717115262784927</v>
      </c>
      <c r="AQ40" s="196">
        <f>ROUND((centralizator!$U$18-1)*Gantt!AQ40,2)</f>
        <v>4760.75</v>
      </c>
      <c r="AR40" s="173">
        <v>0.44709370312777791</v>
      </c>
      <c r="AS40" s="196">
        <f>ROUND((centralizator!$V$18-1)*Gantt!AS40,2)</f>
        <v>10878.69</v>
      </c>
      <c r="AT40" s="173">
        <v>1.5789131028125967E-3</v>
      </c>
      <c r="AU40" s="196">
        <f>ROUND((centralizator!$W$18-1)*Gantt!AU40,2)</f>
        <v>40.549999999999997</v>
      </c>
      <c r="AV40" s="39">
        <f t="shared" si="2"/>
        <v>0</v>
      </c>
      <c r="AW40" s="40">
        <f t="shared" si="15"/>
        <v>0</v>
      </c>
      <c r="AX40" s="40">
        <f t="shared" si="16"/>
        <v>23124.53</v>
      </c>
      <c r="AY40" s="40">
        <f t="shared" si="17"/>
        <v>23124.53</v>
      </c>
      <c r="AZ40" s="41">
        <f t="shared" si="3"/>
        <v>-0.99999999999636202</v>
      </c>
      <c r="BE40" s="40">
        <f t="shared" si="6"/>
        <v>0</v>
      </c>
      <c r="BF40" s="40">
        <f t="shared" si="7"/>
        <v>23123.530000000002</v>
      </c>
      <c r="BG40" s="40">
        <f t="shared" si="8"/>
        <v>0</v>
      </c>
      <c r="BH40" s="40">
        <f t="shared" si="9"/>
        <v>4393.47</v>
      </c>
      <c r="BI40" s="40">
        <f t="shared" si="10"/>
        <v>0</v>
      </c>
      <c r="BJ40" s="40">
        <f t="shared" si="11"/>
        <v>27517.000000000004</v>
      </c>
      <c r="BK40" s="40">
        <f t="shared" si="12"/>
        <v>27517.000000000004</v>
      </c>
      <c r="BL40" s="41"/>
      <c r="BM40" s="41">
        <f t="shared" si="13"/>
        <v>23123.530000000002</v>
      </c>
      <c r="BN40" s="41">
        <f t="shared" si="4"/>
        <v>23123.53</v>
      </c>
      <c r="BO40" s="41">
        <f t="shared" si="5"/>
        <v>0</v>
      </c>
    </row>
    <row r="41" spans="1:67" ht="14.4">
      <c r="A41" s="42"/>
      <c r="B41" s="43" t="s">
        <v>109</v>
      </c>
      <c r="C41" s="165">
        <f t="shared" si="32"/>
        <v>65431.88</v>
      </c>
      <c r="D41" s="168"/>
      <c r="E41" s="187"/>
      <c r="F41" s="173"/>
      <c r="G41" s="187"/>
      <c r="H41" s="173"/>
      <c r="I41" s="188"/>
      <c r="J41" s="173"/>
      <c r="K41" s="187"/>
      <c r="L41" s="173"/>
      <c r="M41" s="187"/>
      <c r="N41" s="173"/>
      <c r="O41" s="187"/>
      <c r="P41" s="176"/>
      <c r="Q41" s="187"/>
      <c r="R41" s="186"/>
      <c r="S41" s="187"/>
      <c r="T41" s="186"/>
      <c r="U41" s="187"/>
      <c r="V41" s="171">
        <v>0</v>
      </c>
      <c r="W41" s="196">
        <v>0</v>
      </c>
      <c r="X41" s="173"/>
      <c r="Y41" s="196">
        <v>0</v>
      </c>
      <c r="Z41" s="173"/>
      <c r="AA41" s="196">
        <v>0</v>
      </c>
      <c r="AB41" s="173"/>
      <c r="AC41" s="196">
        <v>0</v>
      </c>
      <c r="AD41" s="173"/>
      <c r="AE41" s="196">
        <v>0</v>
      </c>
      <c r="AF41" s="173"/>
      <c r="AG41" s="196">
        <v>0</v>
      </c>
      <c r="AH41" s="173"/>
      <c r="AI41" s="196">
        <v>0</v>
      </c>
      <c r="AJ41" s="174"/>
      <c r="AK41" s="196">
        <f>ROUND((centralizator!$R$18-1)*Gantt!AK41,2)</f>
        <v>0</v>
      </c>
      <c r="AL41" s="174"/>
      <c r="AM41" s="196">
        <f>ROUND((centralizator!$S$18-1)*Gantt!AM41,2)</f>
        <v>0</v>
      </c>
      <c r="AN41" s="173">
        <v>1.7716856747865013E-2</v>
      </c>
      <c r="AO41" s="196">
        <f>ROUND((centralizator!$T$18-1)*Gantt!AO41,2)</f>
        <v>980.8</v>
      </c>
      <c r="AP41" s="173">
        <v>1.0487283508399389E-2</v>
      </c>
      <c r="AQ41" s="196">
        <f>ROUND((centralizator!$U$18-1)*Gantt!AQ41,2)</f>
        <v>616.85</v>
      </c>
      <c r="AR41" s="173">
        <v>1.4674370580782728E-2</v>
      </c>
      <c r="AS41" s="196">
        <f>ROUND((centralizator!$V$18-1)*Gantt!AS41,2)</f>
        <v>913.92</v>
      </c>
      <c r="AT41" s="173">
        <v>0.95712148916295292</v>
      </c>
      <c r="AU41" s="196">
        <f>ROUND((centralizator!$W$18-1)*Gantt!AU41,2)</f>
        <v>62920.31</v>
      </c>
      <c r="AV41" s="39">
        <f t="shared" si="2"/>
        <v>0</v>
      </c>
      <c r="AW41" s="40">
        <f t="shared" si="15"/>
        <v>0</v>
      </c>
      <c r="AX41" s="40">
        <f t="shared" si="16"/>
        <v>65432.88</v>
      </c>
      <c r="AY41" s="40">
        <f t="shared" si="17"/>
        <v>65432.88</v>
      </c>
      <c r="AZ41" s="41">
        <f t="shared" si="3"/>
        <v>-1</v>
      </c>
      <c r="BE41" s="40">
        <f t="shared" si="6"/>
        <v>0</v>
      </c>
      <c r="BF41" s="40">
        <f t="shared" si="7"/>
        <v>65431.88</v>
      </c>
      <c r="BG41" s="40">
        <f t="shared" si="8"/>
        <v>0</v>
      </c>
      <c r="BH41" s="40">
        <f t="shared" si="9"/>
        <v>12432.06</v>
      </c>
      <c r="BI41" s="40">
        <f t="shared" si="10"/>
        <v>0</v>
      </c>
      <c r="BJ41" s="40">
        <f t="shared" si="11"/>
        <v>77863.94</v>
      </c>
      <c r="BK41" s="40">
        <f t="shared" si="12"/>
        <v>77863.94</v>
      </c>
      <c r="BL41" s="41"/>
      <c r="BM41" s="41">
        <f t="shared" si="13"/>
        <v>65431.88</v>
      </c>
      <c r="BN41" s="41">
        <f t="shared" si="4"/>
        <v>65431.88</v>
      </c>
      <c r="BO41" s="41">
        <f t="shared" si="5"/>
        <v>0</v>
      </c>
    </row>
    <row r="42" spans="1:67" ht="14.4">
      <c r="A42" s="42" t="s">
        <v>110</v>
      </c>
      <c r="B42" s="43" t="s">
        <v>111</v>
      </c>
      <c r="C42" s="165">
        <f t="shared" si="32"/>
        <v>1371.46</v>
      </c>
      <c r="D42" s="168"/>
      <c r="E42" s="187"/>
      <c r="F42" s="173"/>
      <c r="G42" s="187"/>
      <c r="H42" s="173"/>
      <c r="I42" s="188"/>
      <c r="J42" s="173"/>
      <c r="K42" s="187"/>
      <c r="L42" s="173"/>
      <c r="M42" s="187"/>
      <c r="N42" s="173"/>
      <c r="O42" s="187"/>
      <c r="P42" s="176"/>
      <c r="Q42" s="187"/>
      <c r="R42" s="186"/>
      <c r="S42" s="187"/>
      <c r="T42" s="186"/>
      <c r="U42" s="187"/>
      <c r="V42" s="171">
        <v>0</v>
      </c>
      <c r="W42" s="196">
        <v>0</v>
      </c>
      <c r="X42" s="173"/>
      <c r="Y42" s="196">
        <v>0</v>
      </c>
      <c r="Z42" s="173"/>
      <c r="AA42" s="196">
        <v>0</v>
      </c>
      <c r="AB42" s="173"/>
      <c r="AC42" s="196">
        <v>0</v>
      </c>
      <c r="AD42" s="173"/>
      <c r="AE42" s="196">
        <v>0</v>
      </c>
      <c r="AF42" s="173"/>
      <c r="AG42" s="196">
        <v>0</v>
      </c>
      <c r="AH42" s="173"/>
      <c r="AI42" s="196">
        <v>0</v>
      </c>
      <c r="AJ42" s="174"/>
      <c r="AK42" s="196">
        <f>ROUND((centralizator!$R$18-1)*Gantt!AK42,2)</f>
        <v>0</v>
      </c>
      <c r="AL42" s="174"/>
      <c r="AM42" s="196">
        <f>ROUND((centralizator!$S$18-1)*Gantt!AM42,2)</f>
        <v>0</v>
      </c>
      <c r="AN42" s="173">
        <v>1</v>
      </c>
      <c r="AO42" s="196">
        <f>ROUND((centralizator!$T$18-1)*Gantt!AO42,2)</f>
        <v>1371.46</v>
      </c>
      <c r="AP42" s="174"/>
      <c r="AQ42" s="196">
        <f>ROUND((centralizator!$U$18-1)*Gantt!AQ42,2)</f>
        <v>0</v>
      </c>
      <c r="AR42" s="174"/>
      <c r="AS42" s="196">
        <f>ROUND((centralizator!$V$18-1)*Gantt!AS42,2)</f>
        <v>0</v>
      </c>
      <c r="AT42" s="173">
        <v>0</v>
      </c>
      <c r="AU42" s="196">
        <f>ROUND((centralizator!$W$18-1)*Gantt!AU42,2)</f>
        <v>0</v>
      </c>
      <c r="AV42" s="39">
        <f t="shared" si="2"/>
        <v>0</v>
      </c>
      <c r="AW42" s="40">
        <f t="shared" si="15"/>
        <v>0</v>
      </c>
      <c r="AX42" s="40">
        <f t="shared" si="16"/>
        <v>1372.46</v>
      </c>
      <c r="AY42" s="40">
        <f t="shared" si="17"/>
        <v>1372.46</v>
      </c>
      <c r="AZ42" s="41">
        <f t="shared" si="3"/>
        <v>-1</v>
      </c>
      <c r="BE42" s="40">
        <f t="shared" si="6"/>
        <v>0</v>
      </c>
      <c r="BF42" s="40">
        <f t="shared" si="7"/>
        <v>1371.46</v>
      </c>
      <c r="BG42" s="40">
        <f t="shared" si="8"/>
        <v>0</v>
      </c>
      <c r="BH42" s="40">
        <f t="shared" si="9"/>
        <v>260.58</v>
      </c>
      <c r="BI42" s="40">
        <f t="shared" si="10"/>
        <v>0</v>
      </c>
      <c r="BJ42" s="40">
        <f t="shared" si="11"/>
        <v>1632.04</v>
      </c>
      <c r="BK42" s="40">
        <f t="shared" si="12"/>
        <v>1632.04</v>
      </c>
      <c r="BL42" s="41"/>
      <c r="BM42" s="41">
        <f t="shared" si="13"/>
        <v>1371.46</v>
      </c>
      <c r="BN42" s="41">
        <f t="shared" si="4"/>
        <v>1371.46</v>
      </c>
      <c r="BO42" s="41">
        <f t="shared" si="5"/>
        <v>0</v>
      </c>
    </row>
    <row r="43" spans="1:67" ht="14.4">
      <c r="A43" s="42"/>
      <c r="B43" s="43" t="s">
        <v>112</v>
      </c>
      <c r="C43" s="165">
        <f t="shared" si="32"/>
        <v>2415.5</v>
      </c>
      <c r="D43" s="168"/>
      <c r="E43" s="187"/>
      <c r="F43" s="173"/>
      <c r="G43" s="187"/>
      <c r="H43" s="173"/>
      <c r="I43" s="188"/>
      <c r="J43" s="173"/>
      <c r="K43" s="187"/>
      <c r="L43" s="173"/>
      <c r="M43" s="187"/>
      <c r="N43" s="173"/>
      <c r="O43" s="187"/>
      <c r="P43" s="176"/>
      <c r="Q43" s="187"/>
      <c r="R43" s="186"/>
      <c r="S43" s="187"/>
      <c r="T43" s="186"/>
      <c r="U43" s="187"/>
      <c r="V43" s="167">
        <v>1.0000001219953654</v>
      </c>
      <c r="W43" s="196">
        <v>2415.5</v>
      </c>
      <c r="X43" s="173"/>
      <c r="Y43" s="196">
        <v>0</v>
      </c>
      <c r="Z43" s="173"/>
      <c r="AA43" s="196">
        <v>0</v>
      </c>
      <c r="AB43" s="173"/>
      <c r="AC43" s="196">
        <v>0</v>
      </c>
      <c r="AD43" s="173"/>
      <c r="AE43" s="196">
        <v>0</v>
      </c>
      <c r="AF43" s="173"/>
      <c r="AG43" s="196">
        <v>0</v>
      </c>
      <c r="AH43" s="173"/>
      <c r="AI43" s="196">
        <v>0</v>
      </c>
      <c r="AJ43" s="174"/>
      <c r="AK43" s="196">
        <f>ROUND((centralizator!$R$18-1)*Gantt!AK43,2)</f>
        <v>0</v>
      </c>
      <c r="AL43" s="174"/>
      <c r="AM43" s="196">
        <f>ROUND((centralizator!$S$18-1)*Gantt!AM43,2)</f>
        <v>0</v>
      </c>
      <c r="AN43" s="174">
        <v>0</v>
      </c>
      <c r="AO43" s="196">
        <f>ROUND((centralizator!$T$18-1)*Gantt!AO43,2)</f>
        <v>0</v>
      </c>
      <c r="AP43" s="174"/>
      <c r="AQ43" s="196">
        <f>ROUND((centralizator!$U$18-1)*Gantt!AQ43,2)</f>
        <v>0</v>
      </c>
      <c r="AR43" s="174"/>
      <c r="AS43" s="196">
        <f>ROUND((centralizator!$V$18-1)*Gantt!AS43,2)</f>
        <v>0</v>
      </c>
      <c r="AT43" s="173"/>
      <c r="AU43" s="196">
        <f>ROUND((centralizator!$W$18-1)*Gantt!AU43,2)</f>
        <v>0</v>
      </c>
      <c r="AV43" s="39">
        <f t="shared" ref="AV43:AV68" si="33">C43-(AU43+AS43+AQ43+AO43+AM43+AK43+AI43+AG43+AE43+AC43+AA43+Y43+W43+U43+S43+Q43+O43+M43+K43+I43+G43+E43)</f>
        <v>0</v>
      </c>
      <c r="AW43" s="40">
        <f t="shared" si="15"/>
        <v>2416.5000001219955</v>
      </c>
      <c r="AX43" s="40">
        <f t="shared" si="16"/>
        <v>0</v>
      </c>
      <c r="AY43" s="40">
        <f t="shared" si="17"/>
        <v>2416.5000001219955</v>
      </c>
      <c r="AZ43" s="41">
        <f t="shared" ref="AZ43:AZ68" si="34">C43-AY43</f>
        <v>-1.0000001219955266</v>
      </c>
      <c r="BE43" s="40">
        <f t="shared" si="6"/>
        <v>2415.5</v>
      </c>
      <c r="BF43" s="40">
        <f t="shared" si="7"/>
        <v>0</v>
      </c>
      <c r="BG43" s="40">
        <f t="shared" si="8"/>
        <v>458.95</v>
      </c>
      <c r="BH43" s="40">
        <f t="shared" si="9"/>
        <v>0</v>
      </c>
      <c r="BI43" s="40">
        <f t="shared" si="10"/>
        <v>2874.45</v>
      </c>
      <c r="BJ43" s="40">
        <f t="shared" si="11"/>
        <v>0</v>
      </c>
      <c r="BK43" s="40">
        <f t="shared" si="12"/>
        <v>2874.45</v>
      </c>
      <c r="BL43" s="41"/>
      <c r="BM43" s="41">
        <f t="shared" si="13"/>
        <v>2415.5</v>
      </c>
      <c r="BN43" s="41">
        <f t="shared" ref="BN43:BN69" si="35">AU43+AS43+AQ43+AO43+AM43+AK43+AG43++AI43+AE43+AC43+AA43+Y43+W43+U43+S43+Q43+O43+M43+K43+I43+G43+E43</f>
        <v>2415.5</v>
      </c>
      <c r="BO43" s="41">
        <f t="shared" ref="BO43:BO69" si="36">BN43-C43</f>
        <v>0</v>
      </c>
    </row>
    <row r="44" spans="1:67" ht="14.4">
      <c r="A44" s="42" t="s">
        <v>113</v>
      </c>
      <c r="B44" s="43" t="s">
        <v>114</v>
      </c>
      <c r="C44" s="165">
        <f t="shared" si="32"/>
        <v>85559.459999999992</v>
      </c>
      <c r="D44" s="168"/>
      <c r="E44" s="187"/>
      <c r="F44" s="173"/>
      <c r="G44" s="187"/>
      <c r="H44" s="173"/>
      <c r="I44" s="188"/>
      <c r="J44" s="173"/>
      <c r="K44" s="187"/>
      <c r="L44" s="173"/>
      <c r="M44" s="187"/>
      <c r="N44" s="173"/>
      <c r="O44" s="187"/>
      <c r="P44" s="176"/>
      <c r="Q44" s="187"/>
      <c r="R44" s="186"/>
      <c r="S44" s="187"/>
      <c r="T44" s="186"/>
      <c r="U44" s="187"/>
      <c r="V44" s="167">
        <v>0.25924906890162552</v>
      </c>
      <c r="W44" s="196">
        <v>18461.82</v>
      </c>
      <c r="X44" s="173"/>
      <c r="Y44" s="196">
        <v>11855.2</v>
      </c>
      <c r="Z44" s="173"/>
      <c r="AA44" s="196">
        <v>4569.7299999999996</v>
      </c>
      <c r="AB44" s="173"/>
      <c r="AC44" s="196">
        <v>0</v>
      </c>
      <c r="AD44" s="173"/>
      <c r="AE44" s="196">
        <v>6301.49</v>
      </c>
      <c r="AF44" s="173"/>
      <c r="AG44" s="196">
        <v>17473.009999999998</v>
      </c>
      <c r="AH44" s="173"/>
      <c r="AI44" s="196">
        <v>7189.25</v>
      </c>
      <c r="AJ44" s="174"/>
      <c r="AK44" s="196">
        <f>ROUND((centralizator!$R$18-1)*Gantt!AK44,2)</f>
        <v>0</v>
      </c>
      <c r="AL44" s="174">
        <v>7.7502874794734347E-2</v>
      </c>
      <c r="AM44" s="196">
        <f>ROUND((centralizator!$S$18-1)*Gantt!AM44,2)</f>
        <v>19708.96</v>
      </c>
      <c r="AN44" s="174"/>
      <c r="AO44" s="196">
        <f>ROUND((centralizator!$T$18-1)*Gantt!AO44,2)</f>
        <v>0</v>
      </c>
      <c r="AP44" s="174"/>
      <c r="AQ44" s="196">
        <f>ROUND((centralizator!$U$18-1)*Gantt!AQ44,2)</f>
        <v>0</v>
      </c>
      <c r="AR44" s="174"/>
      <c r="AS44" s="196">
        <f>ROUND((centralizator!$V$18-1)*Gantt!AS44,2)</f>
        <v>0</v>
      </c>
      <c r="AT44" s="173">
        <v>6.0285567704863262E-10</v>
      </c>
      <c r="AU44" s="196">
        <f>ROUND((centralizator!$W$18-1)*Gantt!AU44,2)</f>
        <v>0</v>
      </c>
      <c r="AV44" s="39">
        <f t="shared" si="33"/>
        <v>0</v>
      </c>
      <c r="AW44" s="40">
        <f t="shared" si="15"/>
        <v>65850.759249068898</v>
      </c>
      <c r="AX44" s="40">
        <f t="shared" si="16"/>
        <v>19709.037502875399</v>
      </c>
      <c r="AY44" s="40">
        <f t="shared" si="17"/>
        <v>85559.79675194429</v>
      </c>
      <c r="AZ44" s="41">
        <f t="shared" si="34"/>
        <v>-0.33675194429815747</v>
      </c>
      <c r="BE44" s="40">
        <f t="shared" si="6"/>
        <v>65850.5</v>
      </c>
      <c r="BF44" s="40">
        <f t="shared" si="7"/>
        <v>19708.96</v>
      </c>
      <c r="BG44" s="40">
        <f t="shared" si="8"/>
        <v>12511.6</v>
      </c>
      <c r="BH44" s="40">
        <f t="shared" si="9"/>
        <v>3744.7</v>
      </c>
      <c r="BI44" s="40">
        <f t="shared" si="10"/>
        <v>78362.100000000006</v>
      </c>
      <c r="BJ44" s="40">
        <f t="shared" si="11"/>
        <v>23453.66</v>
      </c>
      <c r="BK44" s="40">
        <f t="shared" si="12"/>
        <v>101815.76000000001</v>
      </c>
      <c r="BL44" s="41"/>
      <c r="BM44" s="41">
        <f t="shared" si="13"/>
        <v>85559.459999999992</v>
      </c>
      <c r="BN44" s="41">
        <f t="shared" si="35"/>
        <v>85559.459999999992</v>
      </c>
      <c r="BO44" s="41">
        <f t="shared" si="36"/>
        <v>0</v>
      </c>
    </row>
    <row r="45" spans="1:67" ht="14.4">
      <c r="A45" s="42"/>
      <c r="B45" s="43" t="s">
        <v>115</v>
      </c>
      <c r="C45" s="165">
        <f t="shared" si="32"/>
        <v>59040.619999999995</v>
      </c>
      <c r="D45" s="168"/>
      <c r="E45" s="187"/>
      <c r="F45" s="173"/>
      <c r="G45" s="187"/>
      <c r="H45" s="173"/>
      <c r="I45" s="188"/>
      <c r="J45" s="173"/>
      <c r="K45" s="187"/>
      <c r="L45" s="173"/>
      <c r="M45" s="187"/>
      <c r="N45" s="173"/>
      <c r="O45" s="187"/>
      <c r="P45" s="176"/>
      <c r="Q45" s="187"/>
      <c r="R45" s="186"/>
      <c r="S45" s="187"/>
      <c r="T45" s="186"/>
      <c r="U45" s="187"/>
      <c r="V45" s="169">
        <v>0.1465380396873556</v>
      </c>
      <c r="W45" s="196">
        <v>4274.6899999999996</v>
      </c>
      <c r="X45" s="173"/>
      <c r="Y45" s="196">
        <v>3889.35</v>
      </c>
      <c r="Z45" s="173"/>
      <c r="AA45" s="196">
        <v>1195.92</v>
      </c>
      <c r="AB45" s="173"/>
      <c r="AC45" s="196">
        <v>0</v>
      </c>
      <c r="AD45" s="173"/>
      <c r="AE45" s="196">
        <v>1463.9</v>
      </c>
      <c r="AF45" s="173"/>
      <c r="AG45" s="196">
        <v>11552.37</v>
      </c>
      <c r="AH45" s="173"/>
      <c r="AI45" s="196">
        <v>1663.51</v>
      </c>
      <c r="AJ45" s="174"/>
      <c r="AK45" s="196">
        <f>ROUND((centralizator!$R$18-1)*Gantt!AK45,2)</f>
        <v>0</v>
      </c>
      <c r="AL45" s="173">
        <v>0.24491354587654091</v>
      </c>
      <c r="AM45" s="196">
        <f>ROUND((centralizator!$S$18-1)*Gantt!AM45,2)</f>
        <v>25512.68</v>
      </c>
      <c r="AN45" s="174"/>
      <c r="AO45" s="196">
        <f>ROUND((centralizator!$T$18-1)*Gantt!AO45,2)</f>
        <v>0</v>
      </c>
      <c r="AP45" s="174"/>
      <c r="AQ45" s="196">
        <f>ROUND((centralizator!$U$18-1)*Gantt!AQ45,2)</f>
        <v>0</v>
      </c>
      <c r="AR45" s="174"/>
      <c r="AS45" s="196">
        <f>ROUND((centralizator!$V$18-1)*Gantt!AS45,2)</f>
        <v>0</v>
      </c>
      <c r="AT45" s="173">
        <v>2.945573858513249E-2</v>
      </c>
      <c r="AU45" s="196">
        <f>ROUND((centralizator!$W$18-1)*Gantt!AU45,2)</f>
        <v>9488.2000000000007</v>
      </c>
      <c r="AV45" s="39">
        <f t="shared" si="33"/>
        <v>0</v>
      </c>
      <c r="AW45" s="40">
        <f t="shared" si="15"/>
        <v>24039.886538039686</v>
      </c>
      <c r="AX45" s="40">
        <f t="shared" si="16"/>
        <v>35001.154369284464</v>
      </c>
      <c r="AY45" s="40">
        <f t="shared" si="17"/>
        <v>59041.040907324146</v>
      </c>
      <c r="AZ45" s="41">
        <f t="shared" si="34"/>
        <v>-0.42090732415090315</v>
      </c>
      <c r="BE45" s="40">
        <f t="shared" si="6"/>
        <v>24039.739999999998</v>
      </c>
      <c r="BF45" s="40">
        <f t="shared" si="7"/>
        <v>35000.880000000005</v>
      </c>
      <c r="BG45" s="40">
        <f t="shared" si="8"/>
        <v>4567.55</v>
      </c>
      <c r="BH45" s="40">
        <f t="shared" si="9"/>
        <v>6650.17</v>
      </c>
      <c r="BI45" s="40">
        <f t="shared" si="10"/>
        <v>28607.289999999997</v>
      </c>
      <c r="BJ45" s="40">
        <f t="shared" si="11"/>
        <v>41651.050000000003</v>
      </c>
      <c r="BK45" s="40">
        <f t="shared" si="12"/>
        <v>70258.34</v>
      </c>
      <c r="BL45" s="41"/>
      <c r="BM45" s="41">
        <f t="shared" si="13"/>
        <v>59040.62</v>
      </c>
      <c r="BN45" s="41">
        <f t="shared" si="35"/>
        <v>59040.62000000001</v>
      </c>
      <c r="BO45" s="41">
        <f t="shared" si="36"/>
        <v>0</v>
      </c>
    </row>
    <row r="46" spans="1:67" ht="14.4">
      <c r="A46" s="30">
        <v>24.1</v>
      </c>
      <c r="B46" s="31" t="s">
        <v>116</v>
      </c>
      <c r="C46" s="164">
        <f>SUM(C47:C55)</f>
        <v>459726.17</v>
      </c>
      <c r="D46" s="164">
        <f t="shared" ref="D46:AI46" si="37">SUM(D47:D55)</f>
        <v>0.24264716572408879</v>
      </c>
      <c r="E46" s="164">
        <f t="shared" si="37"/>
        <v>0</v>
      </c>
      <c r="F46" s="164">
        <f t="shared" si="37"/>
        <v>0</v>
      </c>
      <c r="G46" s="164">
        <f t="shared" si="37"/>
        <v>0</v>
      </c>
      <c r="H46" s="164">
        <f t="shared" si="37"/>
        <v>0</v>
      </c>
      <c r="I46" s="164">
        <f t="shared" si="37"/>
        <v>0</v>
      </c>
      <c r="J46" s="164">
        <f t="shared" si="37"/>
        <v>0</v>
      </c>
      <c r="K46" s="164">
        <f t="shared" si="37"/>
        <v>0</v>
      </c>
      <c r="L46" s="164">
        <f t="shared" si="37"/>
        <v>0</v>
      </c>
      <c r="M46" s="164">
        <f t="shared" si="37"/>
        <v>0</v>
      </c>
      <c r="N46" s="164">
        <f t="shared" si="37"/>
        <v>0</v>
      </c>
      <c r="O46" s="164">
        <f t="shared" si="37"/>
        <v>0</v>
      </c>
      <c r="P46" s="164">
        <f t="shared" si="37"/>
        <v>0</v>
      </c>
      <c r="Q46" s="164">
        <f t="shared" si="37"/>
        <v>0</v>
      </c>
      <c r="R46" s="164">
        <f t="shared" si="37"/>
        <v>0</v>
      </c>
      <c r="S46" s="164">
        <f t="shared" si="37"/>
        <v>0</v>
      </c>
      <c r="T46" s="164">
        <f t="shared" si="37"/>
        <v>0</v>
      </c>
      <c r="U46" s="164">
        <f t="shared" si="37"/>
        <v>0</v>
      </c>
      <c r="V46" s="164">
        <f t="shared" si="37"/>
        <v>0.27373250692959794</v>
      </c>
      <c r="W46" s="164">
        <f t="shared" si="37"/>
        <v>629.87</v>
      </c>
      <c r="X46" s="164">
        <f t="shared" si="37"/>
        <v>0</v>
      </c>
      <c r="Y46" s="164">
        <f t="shared" si="37"/>
        <v>101.16</v>
      </c>
      <c r="Z46" s="164">
        <f t="shared" si="37"/>
        <v>0</v>
      </c>
      <c r="AA46" s="164">
        <f t="shared" si="37"/>
        <v>0</v>
      </c>
      <c r="AB46" s="164">
        <f t="shared" si="37"/>
        <v>0</v>
      </c>
      <c r="AC46" s="164">
        <f t="shared" si="37"/>
        <v>0</v>
      </c>
      <c r="AD46" s="164">
        <f t="shared" si="37"/>
        <v>0</v>
      </c>
      <c r="AE46" s="164">
        <f t="shared" ref="AE46" si="38">SUM(AE47:AE55)</f>
        <v>0</v>
      </c>
      <c r="AF46" s="164">
        <f t="shared" si="37"/>
        <v>0</v>
      </c>
      <c r="AG46" s="164">
        <f t="shared" si="37"/>
        <v>0</v>
      </c>
      <c r="AH46" s="164">
        <f t="shared" si="37"/>
        <v>0</v>
      </c>
      <c r="AI46" s="164">
        <f t="shared" si="37"/>
        <v>0</v>
      </c>
      <c r="AJ46" s="198"/>
      <c r="AK46" s="196">
        <f>ROUND((centralizator!$R$18-1)*Gantt!AK46,2)</f>
        <v>0</v>
      </c>
      <c r="AL46" s="198"/>
      <c r="AM46" s="196">
        <f>ROUND((centralizator!$S$18-1)*Gantt!AM46,2)</f>
        <v>0</v>
      </c>
      <c r="AN46" s="198"/>
      <c r="AO46" s="196">
        <f>ROUND((centralizator!$T$18-1)*Gantt!AO46,2)</f>
        <v>3231.63</v>
      </c>
      <c r="AP46" s="198"/>
      <c r="AQ46" s="196">
        <f>ROUND((centralizator!$U$18-1)*Gantt!AQ46,2)</f>
        <v>162109.34</v>
      </c>
      <c r="AR46" s="198"/>
      <c r="AS46" s="196">
        <f>ROUND((centralizator!$V$18-1)*Gantt!AS46,2)</f>
        <v>84272.87</v>
      </c>
      <c r="AT46" s="173">
        <v>0.42545332110745676</v>
      </c>
      <c r="AU46" s="196">
        <f>ROUND((centralizator!$W$18-1)*Gantt!AU46,2)</f>
        <v>209381.3</v>
      </c>
      <c r="AV46" s="39">
        <f t="shared" si="33"/>
        <v>0</v>
      </c>
      <c r="AW46" s="40">
        <f t="shared" si="15"/>
        <v>731.54637967265364</v>
      </c>
      <c r="AX46" s="40">
        <f t="shared" si="16"/>
        <v>458995.56545332109</v>
      </c>
      <c r="AY46" s="40">
        <f t="shared" si="17"/>
        <v>459727.11183299375</v>
      </c>
      <c r="AZ46" s="41">
        <f t="shared" si="34"/>
        <v>-0.94183299376163632</v>
      </c>
      <c r="BE46" s="40">
        <f t="shared" si="6"/>
        <v>731.03</v>
      </c>
      <c r="BF46" s="40">
        <f t="shared" si="7"/>
        <v>458995.14</v>
      </c>
      <c r="BG46" s="40">
        <f t="shared" si="8"/>
        <v>138.9</v>
      </c>
      <c r="BH46" s="40">
        <f t="shared" si="9"/>
        <v>87209.08</v>
      </c>
      <c r="BI46" s="40">
        <f t="shared" si="10"/>
        <v>869.93</v>
      </c>
      <c r="BJ46" s="40">
        <f t="shared" si="11"/>
        <v>546204.22</v>
      </c>
      <c r="BK46" s="40">
        <f t="shared" si="12"/>
        <v>547074.15</v>
      </c>
      <c r="BL46" s="41"/>
      <c r="BM46" s="41">
        <f t="shared" si="13"/>
        <v>459726.17000000004</v>
      </c>
      <c r="BN46" s="41">
        <f t="shared" si="35"/>
        <v>459726.17</v>
      </c>
      <c r="BO46" s="41">
        <f t="shared" si="36"/>
        <v>0</v>
      </c>
    </row>
    <row r="47" spans="1:67" ht="14.4">
      <c r="A47" s="42" t="s">
        <v>117</v>
      </c>
      <c r="B47" s="43" t="s">
        <v>118</v>
      </c>
      <c r="C47" s="165">
        <f t="shared" ref="C47:C55" si="39">E47+G47+I47+K47+M47+O47+Q47+S47+U47+W47+Y47+AA47+AC47+AE47+AG47+AI47+AK47+AM47+AO47+AQ47+AS47+AU47</f>
        <v>101.16</v>
      </c>
      <c r="D47" s="166">
        <v>0.24264716572408879</v>
      </c>
      <c r="E47" s="187"/>
      <c r="F47" s="173"/>
      <c r="G47" s="187"/>
      <c r="H47" s="173"/>
      <c r="I47" s="188"/>
      <c r="J47" s="173"/>
      <c r="K47" s="187"/>
      <c r="L47" s="173"/>
      <c r="M47" s="187"/>
      <c r="N47" s="173"/>
      <c r="O47" s="187"/>
      <c r="P47" s="176"/>
      <c r="Q47" s="187"/>
      <c r="R47" s="186"/>
      <c r="S47" s="187"/>
      <c r="T47" s="186"/>
      <c r="U47" s="187"/>
      <c r="V47" s="171">
        <v>0</v>
      </c>
      <c r="W47" s="196">
        <v>0</v>
      </c>
      <c r="X47" s="173"/>
      <c r="Y47" s="196">
        <v>101.16</v>
      </c>
      <c r="Z47" s="173"/>
      <c r="AA47" s="196">
        <v>0</v>
      </c>
      <c r="AB47" s="173"/>
      <c r="AC47" s="196">
        <v>0</v>
      </c>
      <c r="AD47" s="173"/>
      <c r="AE47" s="196">
        <v>0</v>
      </c>
      <c r="AF47" s="173"/>
      <c r="AG47" s="196">
        <v>0</v>
      </c>
      <c r="AH47" s="173"/>
      <c r="AI47" s="196">
        <v>0</v>
      </c>
      <c r="AJ47" s="174"/>
      <c r="AK47" s="196">
        <f>ROUND((centralizator!$R$18-1)*Gantt!AK47,2)</f>
        <v>0</v>
      </c>
      <c r="AL47" s="174"/>
      <c r="AM47" s="196">
        <f>ROUND((centralizator!$S$18-1)*Gantt!AM47,2)</f>
        <v>0</v>
      </c>
      <c r="AN47" s="174"/>
      <c r="AO47" s="196">
        <f>ROUND((centralizator!$T$18-1)*Gantt!AO47,2)</f>
        <v>0</v>
      </c>
      <c r="AP47" s="174"/>
      <c r="AQ47" s="196">
        <f>ROUND((centralizator!$U$18-1)*Gantt!AQ47,2)</f>
        <v>0</v>
      </c>
      <c r="AR47" s="174"/>
      <c r="AS47" s="196">
        <f>ROUND((centralizator!$V$18-1)*Gantt!AS47,2)</f>
        <v>0</v>
      </c>
      <c r="AT47" s="173">
        <v>0</v>
      </c>
      <c r="AU47" s="196">
        <f>ROUND((centralizator!$W$18-1)*Gantt!AU47,2)</f>
        <v>0</v>
      </c>
      <c r="AV47" s="39">
        <f t="shared" si="33"/>
        <v>0</v>
      </c>
      <c r="AW47" s="40">
        <f t="shared" si="15"/>
        <v>101.40264716572409</v>
      </c>
      <c r="AX47" s="40">
        <f t="shared" si="16"/>
        <v>0</v>
      </c>
      <c r="AY47" s="40">
        <f t="shared" si="17"/>
        <v>101.40264716572409</v>
      </c>
      <c r="AZ47" s="41">
        <f t="shared" si="34"/>
        <v>-0.24264716572409384</v>
      </c>
      <c r="BE47" s="40">
        <f t="shared" si="6"/>
        <v>101.16</v>
      </c>
      <c r="BF47" s="40">
        <f t="shared" si="7"/>
        <v>0</v>
      </c>
      <c r="BG47" s="40">
        <f t="shared" si="8"/>
        <v>19.22</v>
      </c>
      <c r="BH47" s="40">
        <f t="shared" si="9"/>
        <v>0</v>
      </c>
      <c r="BI47" s="40">
        <f t="shared" si="10"/>
        <v>120.38</v>
      </c>
      <c r="BJ47" s="40">
        <f t="shared" si="11"/>
        <v>0</v>
      </c>
      <c r="BK47" s="40">
        <f t="shared" si="12"/>
        <v>120.38</v>
      </c>
      <c r="BL47" s="41"/>
      <c r="BM47" s="41">
        <f t="shared" si="13"/>
        <v>101.16</v>
      </c>
      <c r="BN47" s="41">
        <f t="shared" si="35"/>
        <v>101.16</v>
      </c>
      <c r="BO47" s="41">
        <f t="shared" si="36"/>
        <v>0</v>
      </c>
    </row>
    <row r="48" spans="1:67" ht="14.4">
      <c r="A48" s="42" t="s">
        <v>119</v>
      </c>
      <c r="B48" s="43" t="s">
        <v>120</v>
      </c>
      <c r="C48" s="165">
        <f t="shared" si="39"/>
        <v>5694.28</v>
      </c>
      <c r="D48" s="168"/>
      <c r="E48" s="187"/>
      <c r="F48" s="173"/>
      <c r="G48" s="187"/>
      <c r="H48" s="173"/>
      <c r="I48" s="188"/>
      <c r="J48" s="173"/>
      <c r="K48" s="187"/>
      <c r="L48" s="173"/>
      <c r="M48" s="187"/>
      <c r="N48" s="173"/>
      <c r="O48" s="187"/>
      <c r="P48" s="176"/>
      <c r="Q48" s="187"/>
      <c r="R48" s="186"/>
      <c r="S48" s="187"/>
      <c r="T48" s="186"/>
      <c r="U48" s="187"/>
      <c r="V48" s="171">
        <v>0</v>
      </c>
      <c r="W48" s="196">
        <v>0</v>
      </c>
      <c r="X48" s="173"/>
      <c r="Y48" s="196">
        <v>0</v>
      </c>
      <c r="Z48" s="173"/>
      <c r="AA48" s="196">
        <v>0</v>
      </c>
      <c r="AB48" s="173"/>
      <c r="AC48" s="196">
        <v>0</v>
      </c>
      <c r="AD48" s="173"/>
      <c r="AE48" s="196">
        <v>0</v>
      </c>
      <c r="AF48" s="173"/>
      <c r="AG48" s="196">
        <v>0</v>
      </c>
      <c r="AH48" s="173"/>
      <c r="AI48" s="196">
        <v>0</v>
      </c>
      <c r="AJ48" s="174"/>
      <c r="AK48" s="196">
        <f>ROUND((centralizator!$R$18-1)*Gantt!AK48,2)</f>
        <v>0</v>
      </c>
      <c r="AL48" s="174"/>
      <c r="AM48" s="196">
        <f>ROUND((centralizator!$S$18-1)*Gantt!AM48,2)</f>
        <v>0</v>
      </c>
      <c r="AN48" s="174"/>
      <c r="AO48" s="196">
        <f>ROUND((centralizator!$T$18-1)*Gantt!AO48,2)</f>
        <v>0</v>
      </c>
      <c r="AP48" s="174"/>
      <c r="AQ48" s="196">
        <f>ROUND((centralizator!$U$18-1)*Gantt!AQ48,2)</f>
        <v>0</v>
      </c>
      <c r="AR48" s="174"/>
      <c r="AS48" s="196">
        <f>ROUND((centralizator!$V$18-1)*Gantt!AS48,2)</f>
        <v>0</v>
      </c>
      <c r="AT48" s="173">
        <v>1</v>
      </c>
      <c r="AU48" s="196">
        <f>ROUND((centralizator!$W$18-1)*Gantt!AU48,2)</f>
        <v>5694.28</v>
      </c>
      <c r="AV48" s="39">
        <f t="shared" si="33"/>
        <v>0</v>
      </c>
      <c r="AW48" s="40">
        <f t="shared" si="15"/>
        <v>0</v>
      </c>
      <c r="AX48" s="40">
        <f t="shared" si="16"/>
        <v>5695.28</v>
      </c>
      <c r="AY48" s="40">
        <f t="shared" si="17"/>
        <v>5695.28</v>
      </c>
      <c r="AZ48" s="41">
        <f t="shared" si="34"/>
        <v>-1</v>
      </c>
      <c r="BE48" s="40">
        <f t="shared" si="6"/>
        <v>0</v>
      </c>
      <c r="BF48" s="40">
        <f t="shared" si="7"/>
        <v>5694.28</v>
      </c>
      <c r="BG48" s="40">
        <f t="shared" si="8"/>
        <v>0</v>
      </c>
      <c r="BH48" s="40">
        <f t="shared" si="9"/>
        <v>1081.9100000000001</v>
      </c>
      <c r="BI48" s="40">
        <f t="shared" si="10"/>
        <v>0</v>
      </c>
      <c r="BJ48" s="40">
        <f t="shared" si="11"/>
        <v>6776.19</v>
      </c>
      <c r="BK48" s="40">
        <f t="shared" si="12"/>
        <v>6776.19</v>
      </c>
      <c r="BL48" s="41"/>
      <c r="BM48" s="41">
        <f t="shared" si="13"/>
        <v>5694.28</v>
      </c>
      <c r="BN48" s="41">
        <f t="shared" si="35"/>
        <v>5694.28</v>
      </c>
      <c r="BO48" s="41">
        <f t="shared" si="36"/>
        <v>0</v>
      </c>
    </row>
    <row r="49" spans="1:67" ht="14.4">
      <c r="A49" s="42" t="s">
        <v>121</v>
      </c>
      <c r="B49" s="43" t="s">
        <v>122</v>
      </c>
      <c r="C49" s="165">
        <f t="shared" si="39"/>
        <v>2926.31</v>
      </c>
      <c r="D49" s="168"/>
      <c r="E49" s="187"/>
      <c r="F49" s="173"/>
      <c r="G49" s="187"/>
      <c r="H49" s="173"/>
      <c r="I49" s="188"/>
      <c r="J49" s="173"/>
      <c r="K49" s="187"/>
      <c r="L49" s="173"/>
      <c r="M49" s="187"/>
      <c r="N49" s="173"/>
      <c r="O49" s="187"/>
      <c r="P49" s="176"/>
      <c r="Q49" s="187"/>
      <c r="R49" s="186"/>
      <c r="S49" s="187"/>
      <c r="T49" s="186"/>
      <c r="U49" s="187"/>
      <c r="V49" s="171">
        <v>0</v>
      </c>
      <c r="W49" s="196">
        <v>0</v>
      </c>
      <c r="X49" s="173"/>
      <c r="Y49" s="196">
        <v>0</v>
      </c>
      <c r="Z49" s="173"/>
      <c r="AA49" s="196">
        <v>0</v>
      </c>
      <c r="AB49" s="173"/>
      <c r="AC49" s="196">
        <v>0</v>
      </c>
      <c r="AD49" s="173"/>
      <c r="AE49" s="196">
        <v>0</v>
      </c>
      <c r="AF49" s="173"/>
      <c r="AG49" s="196">
        <v>0</v>
      </c>
      <c r="AH49" s="173"/>
      <c r="AI49" s="196">
        <v>0</v>
      </c>
      <c r="AJ49" s="174"/>
      <c r="AK49" s="196">
        <f>ROUND((centralizator!$R$18-1)*Gantt!AK49,2)</f>
        <v>0</v>
      </c>
      <c r="AL49" s="174"/>
      <c r="AM49" s="196">
        <f>ROUND((centralizator!$S$18-1)*Gantt!AM49,2)</f>
        <v>0</v>
      </c>
      <c r="AN49" s="174"/>
      <c r="AO49" s="196">
        <f>ROUND((centralizator!$T$18-1)*Gantt!AO49,2)</f>
        <v>0</v>
      </c>
      <c r="AP49" s="174"/>
      <c r="AQ49" s="196">
        <f>ROUND((centralizator!$U$18-1)*Gantt!AQ49,2)</f>
        <v>0</v>
      </c>
      <c r="AR49" s="174"/>
      <c r="AS49" s="196">
        <f>ROUND((centralizator!$V$18-1)*Gantt!AS49,2)</f>
        <v>0</v>
      </c>
      <c r="AT49" s="173">
        <v>1</v>
      </c>
      <c r="AU49" s="196">
        <f>ROUND((centralizator!$W$18-1)*Gantt!AU49,2)</f>
        <v>2926.31</v>
      </c>
      <c r="AV49" s="39">
        <f t="shared" si="33"/>
        <v>0</v>
      </c>
      <c r="AW49" s="40">
        <f t="shared" si="15"/>
        <v>0</v>
      </c>
      <c r="AX49" s="40">
        <f t="shared" si="16"/>
        <v>2927.31</v>
      </c>
      <c r="AY49" s="40">
        <f t="shared" si="17"/>
        <v>2927.31</v>
      </c>
      <c r="AZ49" s="41">
        <f t="shared" si="34"/>
        <v>-1</v>
      </c>
      <c r="BE49" s="40">
        <f t="shared" si="6"/>
        <v>0</v>
      </c>
      <c r="BF49" s="40">
        <f t="shared" si="7"/>
        <v>2926.31</v>
      </c>
      <c r="BG49" s="40">
        <f t="shared" si="8"/>
        <v>0</v>
      </c>
      <c r="BH49" s="40">
        <f t="shared" si="9"/>
        <v>556</v>
      </c>
      <c r="BI49" s="40">
        <f t="shared" si="10"/>
        <v>0</v>
      </c>
      <c r="BJ49" s="40">
        <f t="shared" si="11"/>
        <v>3482.31</v>
      </c>
      <c r="BK49" s="40">
        <f t="shared" si="12"/>
        <v>3482.31</v>
      </c>
      <c r="BL49" s="41"/>
      <c r="BM49" s="41">
        <f t="shared" si="13"/>
        <v>2926.31</v>
      </c>
      <c r="BN49" s="41">
        <f t="shared" si="35"/>
        <v>2926.31</v>
      </c>
      <c r="BO49" s="41">
        <f t="shared" si="36"/>
        <v>0</v>
      </c>
    </row>
    <row r="50" spans="1:67" ht="14.4">
      <c r="A50" s="42" t="s">
        <v>123</v>
      </c>
      <c r="B50" s="43" t="s">
        <v>124</v>
      </c>
      <c r="C50" s="165">
        <f t="shared" si="39"/>
        <v>41971.72</v>
      </c>
      <c r="D50" s="168"/>
      <c r="E50" s="187"/>
      <c r="F50" s="173"/>
      <c r="G50" s="187"/>
      <c r="H50" s="173"/>
      <c r="I50" s="188"/>
      <c r="J50" s="173"/>
      <c r="K50" s="187"/>
      <c r="L50" s="173"/>
      <c r="M50" s="187"/>
      <c r="N50" s="173"/>
      <c r="O50" s="187"/>
      <c r="P50" s="176"/>
      <c r="Q50" s="187"/>
      <c r="R50" s="186"/>
      <c r="S50" s="187"/>
      <c r="T50" s="186"/>
      <c r="U50" s="187"/>
      <c r="V50" s="171">
        <v>0</v>
      </c>
      <c r="W50" s="196">
        <v>0</v>
      </c>
      <c r="X50" s="173"/>
      <c r="Y50" s="196">
        <v>0</v>
      </c>
      <c r="Z50" s="173"/>
      <c r="AA50" s="196">
        <v>0</v>
      </c>
      <c r="AB50" s="173"/>
      <c r="AC50" s="196">
        <v>0</v>
      </c>
      <c r="AD50" s="173"/>
      <c r="AE50" s="196">
        <v>0</v>
      </c>
      <c r="AF50" s="173"/>
      <c r="AG50" s="196">
        <v>0</v>
      </c>
      <c r="AH50" s="173"/>
      <c r="AI50" s="196">
        <v>0</v>
      </c>
      <c r="AJ50" s="174"/>
      <c r="AK50" s="196">
        <f>ROUND((centralizator!$R$18-1)*Gantt!AK50,2)</f>
        <v>0</v>
      </c>
      <c r="AL50" s="174"/>
      <c r="AM50" s="196">
        <f>ROUND((centralizator!$S$18-1)*Gantt!AM50,2)</f>
        <v>0</v>
      </c>
      <c r="AN50" s="174"/>
      <c r="AO50" s="196">
        <f>ROUND((centralizator!$T$18-1)*Gantt!AO50,2)</f>
        <v>0</v>
      </c>
      <c r="AP50" s="174"/>
      <c r="AQ50" s="196">
        <f>ROUND((centralizator!$U$18-1)*Gantt!AQ50,2)</f>
        <v>0</v>
      </c>
      <c r="AR50" s="174"/>
      <c r="AS50" s="196">
        <f>ROUND((centralizator!$V$18-1)*Gantt!AS50,2)</f>
        <v>0</v>
      </c>
      <c r="AT50" s="173">
        <v>1</v>
      </c>
      <c r="AU50" s="196">
        <f>ROUND((centralizator!$W$18-1)*Gantt!AU50,2)</f>
        <v>41971.72</v>
      </c>
      <c r="AV50" s="39">
        <f t="shared" si="33"/>
        <v>0</v>
      </c>
      <c r="AW50" s="40">
        <f t="shared" si="15"/>
        <v>0</v>
      </c>
      <c r="AX50" s="40">
        <f t="shared" si="16"/>
        <v>41972.72</v>
      </c>
      <c r="AY50" s="40">
        <f t="shared" si="17"/>
        <v>41972.72</v>
      </c>
      <c r="AZ50" s="41">
        <f t="shared" si="34"/>
        <v>-1</v>
      </c>
      <c r="BE50" s="40">
        <f t="shared" si="6"/>
        <v>0</v>
      </c>
      <c r="BF50" s="40">
        <f t="shared" si="7"/>
        <v>41971.72</v>
      </c>
      <c r="BG50" s="40">
        <f t="shared" si="8"/>
        <v>0</v>
      </c>
      <c r="BH50" s="40">
        <f t="shared" si="9"/>
        <v>7974.63</v>
      </c>
      <c r="BI50" s="40">
        <f t="shared" si="10"/>
        <v>0</v>
      </c>
      <c r="BJ50" s="40">
        <f t="shared" si="11"/>
        <v>49946.35</v>
      </c>
      <c r="BK50" s="40">
        <f t="shared" si="12"/>
        <v>49946.35</v>
      </c>
      <c r="BL50" s="41"/>
      <c r="BM50" s="41">
        <f t="shared" si="13"/>
        <v>41971.72</v>
      </c>
      <c r="BN50" s="41">
        <f t="shared" si="35"/>
        <v>41971.72</v>
      </c>
      <c r="BO50" s="41">
        <f t="shared" si="36"/>
        <v>0</v>
      </c>
    </row>
    <row r="51" spans="1:67" ht="14.4">
      <c r="A51" s="42" t="s">
        <v>125</v>
      </c>
      <c r="B51" s="43" t="s">
        <v>126</v>
      </c>
      <c r="C51" s="165">
        <f t="shared" si="39"/>
        <v>132047.41</v>
      </c>
      <c r="D51" s="168"/>
      <c r="E51" s="187"/>
      <c r="F51" s="173"/>
      <c r="G51" s="187"/>
      <c r="H51" s="173"/>
      <c r="I51" s="188"/>
      <c r="J51" s="173"/>
      <c r="K51" s="187"/>
      <c r="L51" s="173"/>
      <c r="M51" s="187"/>
      <c r="N51" s="173"/>
      <c r="O51" s="187"/>
      <c r="P51" s="176"/>
      <c r="Q51" s="187"/>
      <c r="R51" s="186"/>
      <c r="S51" s="187"/>
      <c r="T51" s="186"/>
      <c r="U51" s="187"/>
      <c r="V51" s="171">
        <v>0</v>
      </c>
      <c r="W51" s="196">
        <v>0</v>
      </c>
      <c r="X51" s="173"/>
      <c r="Y51" s="196">
        <v>0</v>
      </c>
      <c r="Z51" s="173"/>
      <c r="AA51" s="196">
        <v>0</v>
      </c>
      <c r="AB51" s="173"/>
      <c r="AC51" s="196">
        <v>0</v>
      </c>
      <c r="AD51" s="173"/>
      <c r="AE51" s="196">
        <v>0</v>
      </c>
      <c r="AF51" s="173"/>
      <c r="AG51" s="196">
        <v>0</v>
      </c>
      <c r="AH51" s="173"/>
      <c r="AI51" s="196">
        <v>0</v>
      </c>
      <c r="AJ51" s="174"/>
      <c r="AK51" s="196">
        <f>ROUND((centralizator!$R$18-1)*Gantt!AK51,2)</f>
        <v>0</v>
      </c>
      <c r="AL51" s="174"/>
      <c r="AM51" s="196">
        <f>ROUND((centralizator!$S$18-1)*Gantt!AM51,2)</f>
        <v>0</v>
      </c>
      <c r="AN51" s="174"/>
      <c r="AO51" s="196">
        <f>ROUND((centralizator!$T$18-1)*Gantt!AO51,2)</f>
        <v>0</v>
      </c>
      <c r="AP51" s="174"/>
      <c r="AQ51" s="196">
        <f>ROUND((centralizator!$U$18-1)*Gantt!AQ51,2)</f>
        <v>0</v>
      </c>
      <c r="AR51" s="174"/>
      <c r="AS51" s="196">
        <f>ROUND((centralizator!$V$18-1)*Gantt!AS51,2)</f>
        <v>0</v>
      </c>
      <c r="AT51" s="173">
        <v>1</v>
      </c>
      <c r="AU51" s="196">
        <f>ROUND((centralizator!$W$18-1)*Gantt!AU51,2)</f>
        <v>132047.41</v>
      </c>
      <c r="AV51" s="39">
        <f t="shared" si="33"/>
        <v>0</v>
      </c>
      <c r="AW51" s="40">
        <f t="shared" si="15"/>
        <v>0</v>
      </c>
      <c r="AX51" s="40">
        <f t="shared" si="16"/>
        <v>132048.41</v>
      </c>
      <c r="AY51" s="40">
        <f t="shared" si="17"/>
        <v>132048.41</v>
      </c>
      <c r="AZ51" s="41">
        <f t="shared" si="34"/>
        <v>-1</v>
      </c>
      <c r="BE51" s="40">
        <f t="shared" si="6"/>
        <v>0</v>
      </c>
      <c r="BF51" s="40">
        <f t="shared" si="7"/>
        <v>132047.41</v>
      </c>
      <c r="BG51" s="40">
        <f t="shared" si="8"/>
        <v>0</v>
      </c>
      <c r="BH51" s="40">
        <f t="shared" si="9"/>
        <v>25089.01</v>
      </c>
      <c r="BI51" s="40">
        <f t="shared" si="10"/>
        <v>0</v>
      </c>
      <c r="BJ51" s="40">
        <f t="shared" si="11"/>
        <v>157136.42000000001</v>
      </c>
      <c r="BK51" s="40">
        <f t="shared" si="12"/>
        <v>157136.42000000001</v>
      </c>
      <c r="BL51" s="41"/>
      <c r="BM51" s="41">
        <f t="shared" si="13"/>
        <v>132047.41</v>
      </c>
      <c r="BN51" s="41">
        <f t="shared" si="35"/>
        <v>132047.41</v>
      </c>
      <c r="BO51" s="41">
        <f t="shared" si="36"/>
        <v>0</v>
      </c>
    </row>
    <row r="52" spans="1:67" ht="14.4">
      <c r="A52" s="42" t="s">
        <v>127</v>
      </c>
      <c r="B52" s="43" t="s">
        <v>128</v>
      </c>
      <c r="C52" s="165">
        <f t="shared" si="39"/>
        <v>26215.99</v>
      </c>
      <c r="D52" s="168"/>
      <c r="E52" s="187"/>
      <c r="F52" s="173"/>
      <c r="G52" s="187"/>
      <c r="H52" s="173"/>
      <c r="I52" s="188"/>
      <c r="J52" s="173"/>
      <c r="K52" s="187"/>
      <c r="L52" s="173"/>
      <c r="M52" s="187"/>
      <c r="N52" s="173"/>
      <c r="O52" s="187"/>
      <c r="P52" s="176"/>
      <c r="Q52" s="187"/>
      <c r="R52" s="186"/>
      <c r="S52" s="187"/>
      <c r="T52" s="186"/>
      <c r="U52" s="187"/>
      <c r="V52" s="171">
        <v>0</v>
      </c>
      <c r="W52" s="196">
        <v>0</v>
      </c>
      <c r="X52" s="173"/>
      <c r="Y52" s="196">
        <v>0</v>
      </c>
      <c r="Z52" s="173"/>
      <c r="AA52" s="196">
        <v>0</v>
      </c>
      <c r="AB52" s="173"/>
      <c r="AC52" s="196">
        <v>0</v>
      </c>
      <c r="AD52" s="173"/>
      <c r="AE52" s="196">
        <v>0</v>
      </c>
      <c r="AF52" s="173"/>
      <c r="AG52" s="196">
        <v>0</v>
      </c>
      <c r="AH52" s="173"/>
      <c r="AI52" s="196">
        <v>0</v>
      </c>
      <c r="AJ52" s="174"/>
      <c r="AK52" s="196">
        <f>ROUND((centralizator!$R$18-1)*Gantt!AK52,2)</f>
        <v>0</v>
      </c>
      <c r="AL52" s="174"/>
      <c r="AM52" s="196">
        <f>ROUND((centralizator!$S$18-1)*Gantt!AM52,2)</f>
        <v>0</v>
      </c>
      <c r="AN52" s="174"/>
      <c r="AO52" s="196">
        <f>ROUND((centralizator!$T$18-1)*Gantt!AO52,2)</f>
        <v>0</v>
      </c>
      <c r="AP52" s="174"/>
      <c r="AQ52" s="196">
        <f>ROUND((centralizator!$U$18-1)*Gantt!AQ52,2)</f>
        <v>0</v>
      </c>
      <c r="AR52" s="174"/>
      <c r="AS52" s="196">
        <f>ROUND((centralizator!$V$18-1)*Gantt!AS52,2)</f>
        <v>0</v>
      </c>
      <c r="AT52" s="173">
        <v>1</v>
      </c>
      <c r="AU52" s="196">
        <f>ROUND((centralizator!$W$18-1)*Gantt!AU52,2)</f>
        <v>26215.99</v>
      </c>
      <c r="AV52" s="39">
        <f t="shared" si="33"/>
        <v>0</v>
      </c>
      <c r="AW52" s="40">
        <f t="shared" si="15"/>
        <v>0</v>
      </c>
      <c r="AX52" s="40">
        <f t="shared" si="16"/>
        <v>26216.99</v>
      </c>
      <c r="AY52" s="40">
        <f t="shared" si="17"/>
        <v>26216.99</v>
      </c>
      <c r="AZ52" s="41">
        <f t="shared" si="34"/>
        <v>-1</v>
      </c>
      <c r="BE52" s="40">
        <f t="shared" si="6"/>
        <v>0</v>
      </c>
      <c r="BF52" s="40">
        <f t="shared" si="7"/>
        <v>26215.99</v>
      </c>
      <c r="BG52" s="40">
        <f t="shared" si="8"/>
        <v>0</v>
      </c>
      <c r="BH52" s="40">
        <f t="shared" si="9"/>
        <v>4981.04</v>
      </c>
      <c r="BI52" s="40">
        <f t="shared" si="10"/>
        <v>0</v>
      </c>
      <c r="BJ52" s="40">
        <f t="shared" si="11"/>
        <v>31197.030000000002</v>
      </c>
      <c r="BK52" s="40">
        <f t="shared" si="12"/>
        <v>31197.030000000002</v>
      </c>
      <c r="BL52" s="41"/>
      <c r="BM52" s="41">
        <f t="shared" si="13"/>
        <v>26215.99</v>
      </c>
      <c r="BN52" s="41">
        <f t="shared" si="35"/>
        <v>26215.99</v>
      </c>
      <c r="BO52" s="41">
        <f t="shared" si="36"/>
        <v>0</v>
      </c>
    </row>
    <row r="53" spans="1:67" ht="14.4">
      <c r="A53" s="42" t="s">
        <v>129</v>
      </c>
      <c r="B53" s="43" t="s">
        <v>130</v>
      </c>
      <c r="C53" s="165">
        <f t="shared" si="39"/>
        <v>3861.5</v>
      </c>
      <c r="D53" s="168"/>
      <c r="E53" s="187"/>
      <c r="F53" s="173"/>
      <c r="G53" s="187"/>
      <c r="H53" s="173"/>
      <c r="I53" s="188"/>
      <c r="J53" s="173"/>
      <c r="K53" s="187"/>
      <c r="L53" s="173"/>
      <c r="M53" s="187"/>
      <c r="N53" s="173"/>
      <c r="O53" s="187"/>
      <c r="P53" s="176"/>
      <c r="Q53" s="187"/>
      <c r="R53" s="186"/>
      <c r="S53" s="187"/>
      <c r="T53" s="186"/>
      <c r="U53" s="187"/>
      <c r="V53" s="167">
        <v>0.27373250692959794</v>
      </c>
      <c r="W53" s="196">
        <v>629.87</v>
      </c>
      <c r="X53" s="173"/>
      <c r="Y53" s="196">
        <v>0</v>
      </c>
      <c r="Z53" s="173"/>
      <c r="AA53" s="196">
        <v>0</v>
      </c>
      <c r="AB53" s="173"/>
      <c r="AC53" s="196">
        <v>0</v>
      </c>
      <c r="AD53" s="173"/>
      <c r="AE53" s="196">
        <v>0</v>
      </c>
      <c r="AF53" s="173"/>
      <c r="AG53" s="196">
        <v>0</v>
      </c>
      <c r="AH53" s="173"/>
      <c r="AI53" s="196">
        <v>0</v>
      </c>
      <c r="AJ53" s="174"/>
      <c r="AK53" s="196">
        <f>ROUND((centralizator!$R$18-1)*Gantt!AK53,2)</f>
        <v>0</v>
      </c>
      <c r="AL53" s="174"/>
      <c r="AM53" s="196">
        <f>ROUND((centralizator!$S$18-1)*Gantt!AM53,2)</f>
        <v>0</v>
      </c>
      <c r="AN53" s="173">
        <v>0.36869601216000791</v>
      </c>
      <c r="AO53" s="196">
        <f>ROUND((centralizator!$T$18-1)*Gantt!AO53,2)</f>
        <v>3231.63</v>
      </c>
      <c r="AP53" s="174"/>
      <c r="AQ53" s="196">
        <f>ROUND((centralizator!$U$18-1)*Gantt!AQ53,2)</f>
        <v>0</v>
      </c>
      <c r="AR53" s="174"/>
      <c r="AS53" s="196">
        <f>ROUND((centralizator!$V$18-1)*Gantt!AS53,2)</f>
        <v>0</v>
      </c>
      <c r="AT53" s="173">
        <v>-1.0124998450477951E-7</v>
      </c>
      <c r="AU53" s="196">
        <f>ROUND((centralizator!$W$18-1)*Gantt!AU53,2)</f>
        <v>0</v>
      </c>
      <c r="AV53" s="39">
        <f t="shared" si="33"/>
        <v>0</v>
      </c>
      <c r="AW53" s="40">
        <f t="shared" si="15"/>
        <v>630.14373250692961</v>
      </c>
      <c r="AX53" s="40">
        <f t="shared" si="16"/>
        <v>3231.9986959109101</v>
      </c>
      <c r="AY53" s="40">
        <f t="shared" si="17"/>
        <v>3862.1424284178397</v>
      </c>
      <c r="AZ53" s="41">
        <f t="shared" si="34"/>
        <v>-0.64242841783971016</v>
      </c>
      <c r="BE53" s="40">
        <f t="shared" si="6"/>
        <v>629.87</v>
      </c>
      <c r="BF53" s="40">
        <f t="shared" si="7"/>
        <v>3231.63</v>
      </c>
      <c r="BG53" s="40">
        <f t="shared" si="8"/>
        <v>119.68</v>
      </c>
      <c r="BH53" s="40">
        <f t="shared" si="9"/>
        <v>614.01</v>
      </c>
      <c r="BI53" s="40">
        <f t="shared" si="10"/>
        <v>749.55</v>
      </c>
      <c r="BJ53" s="40">
        <f t="shared" si="11"/>
        <v>3845.6400000000003</v>
      </c>
      <c r="BK53" s="40">
        <f t="shared" si="12"/>
        <v>4595.1900000000005</v>
      </c>
      <c r="BL53" s="41"/>
      <c r="BM53" s="41">
        <f t="shared" si="13"/>
        <v>3861.5</v>
      </c>
      <c r="BN53" s="41">
        <f t="shared" si="35"/>
        <v>3861.5</v>
      </c>
      <c r="BO53" s="41">
        <f t="shared" si="36"/>
        <v>0</v>
      </c>
    </row>
    <row r="54" spans="1:67" ht="14.4">
      <c r="A54" s="42" t="s">
        <v>131</v>
      </c>
      <c r="B54" s="43" t="s">
        <v>132</v>
      </c>
      <c r="C54" s="165">
        <f t="shared" si="39"/>
        <v>245555.73</v>
      </c>
      <c r="D54" s="168"/>
      <c r="E54" s="187"/>
      <c r="F54" s="173"/>
      <c r="G54" s="187"/>
      <c r="H54" s="173"/>
      <c r="I54" s="188"/>
      <c r="J54" s="173"/>
      <c r="K54" s="187"/>
      <c r="L54" s="173"/>
      <c r="M54" s="187"/>
      <c r="N54" s="173"/>
      <c r="O54" s="187"/>
      <c r="P54" s="176"/>
      <c r="Q54" s="187"/>
      <c r="R54" s="186"/>
      <c r="S54" s="187"/>
      <c r="T54" s="186"/>
      <c r="U54" s="187"/>
      <c r="V54" s="171">
        <v>0</v>
      </c>
      <c r="W54" s="196">
        <v>0</v>
      </c>
      <c r="X54" s="173"/>
      <c r="Y54" s="196">
        <v>0</v>
      </c>
      <c r="Z54" s="173"/>
      <c r="AA54" s="196">
        <v>0</v>
      </c>
      <c r="AB54" s="173"/>
      <c r="AC54" s="196">
        <v>0</v>
      </c>
      <c r="AD54" s="173"/>
      <c r="AE54" s="196">
        <v>0</v>
      </c>
      <c r="AF54" s="173"/>
      <c r="AG54" s="196">
        <v>0</v>
      </c>
      <c r="AH54" s="173"/>
      <c r="AI54" s="196">
        <v>0</v>
      </c>
      <c r="AJ54" s="174"/>
      <c r="AK54" s="196">
        <f>ROUND((centralizator!$R$18-1)*Gantt!AK54,2)</f>
        <v>0</v>
      </c>
      <c r="AL54" s="174"/>
      <c r="AM54" s="196">
        <f>ROUND((centralizator!$S$18-1)*Gantt!AM54,2)</f>
        <v>0</v>
      </c>
      <c r="AN54" s="174"/>
      <c r="AO54" s="196">
        <f>ROUND((centralizator!$T$18-1)*Gantt!AO54,2)</f>
        <v>0</v>
      </c>
      <c r="AP54" s="173">
        <v>0.67292634216169145</v>
      </c>
      <c r="AQ54" s="196">
        <f>ROUND((centralizator!$U$18-1)*Gantt!AQ54,2)</f>
        <v>162109.34</v>
      </c>
      <c r="AR54" s="173">
        <v>0.32585955347549406</v>
      </c>
      <c r="AS54" s="196">
        <f>ROUND((centralizator!$V$18-1)*Gantt!AS54,2)</f>
        <v>83119.5</v>
      </c>
      <c r="AT54" s="173">
        <v>1.2141043628144336E-3</v>
      </c>
      <c r="AU54" s="196">
        <f>ROUND((centralizator!$W$18-1)*Gantt!AU54,2)</f>
        <v>326.89</v>
      </c>
      <c r="AV54" s="39">
        <f t="shared" si="33"/>
        <v>0</v>
      </c>
      <c r="AW54" s="40">
        <f t="shared" si="15"/>
        <v>0</v>
      </c>
      <c r="AX54" s="40">
        <f t="shared" si="16"/>
        <v>245556.73</v>
      </c>
      <c r="AY54" s="40">
        <f t="shared" si="17"/>
        <v>245556.73</v>
      </c>
      <c r="AZ54" s="41">
        <f t="shared" si="34"/>
        <v>-1</v>
      </c>
      <c r="BE54" s="40">
        <f t="shared" si="6"/>
        <v>0</v>
      </c>
      <c r="BF54" s="40">
        <f t="shared" si="7"/>
        <v>245555.73</v>
      </c>
      <c r="BG54" s="40">
        <f t="shared" si="8"/>
        <v>0</v>
      </c>
      <c r="BH54" s="40">
        <f t="shared" si="9"/>
        <v>46655.59</v>
      </c>
      <c r="BI54" s="40">
        <f t="shared" si="10"/>
        <v>0</v>
      </c>
      <c r="BJ54" s="40">
        <f t="shared" si="11"/>
        <v>292211.32</v>
      </c>
      <c r="BK54" s="40">
        <f t="shared" si="12"/>
        <v>292211.32</v>
      </c>
      <c r="BL54" s="41"/>
      <c r="BM54" s="41">
        <f t="shared" si="13"/>
        <v>245555.73</v>
      </c>
      <c r="BN54" s="41">
        <f t="shared" si="35"/>
        <v>245555.72999999998</v>
      </c>
      <c r="BO54" s="41">
        <f t="shared" si="36"/>
        <v>0</v>
      </c>
    </row>
    <row r="55" spans="1:67" ht="14.4">
      <c r="A55" s="42" t="s">
        <v>133</v>
      </c>
      <c r="B55" s="43" t="s">
        <v>134</v>
      </c>
      <c r="C55" s="165">
        <f t="shared" si="39"/>
        <v>1352.07</v>
      </c>
      <c r="D55" s="168"/>
      <c r="E55" s="187"/>
      <c r="F55" s="173"/>
      <c r="G55" s="187"/>
      <c r="H55" s="173"/>
      <c r="I55" s="188"/>
      <c r="J55" s="173"/>
      <c r="K55" s="187"/>
      <c r="L55" s="173"/>
      <c r="M55" s="187"/>
      <c r="N55" s="173"/>
      <c r="O55" s="187"/>
      <c r="P55" s="176"/>
      <c r="Q55" s="187"/>
      <c r="R55" s="186"/>
      <c r="S55" s="187"/>
      <c r="T55" s="186"/>
      <c r="U55" s="187"/>
      <c r="V55" s="171">
        <v>0</v>
      </c>
      <c r="W55" s="196">
        <v>0</v>
      </c>
      <c r="X55" s="173"/>
      <c r="Y55" s="196">
        <v>0</v>
      </c>
      <c r="Z55" s="173"/>
      <c r="AA55" s="196">
        <v>0</v>
      </c>
      <c r="AB55" s="173"/>
      <c r="AC55" s="196">
        <v>0</v>
      </c>
      <c r="AD55" s="173"/>
      <c r="AE55" s="196">
        <v>0</v>
      </c>
      <c r="AF55" s="173"/>
      <c r="AG55" s="196">
        <v>0</v>
      </c>
      <c r="AH55" s="173"/>
      <c r="AI55" s="196">
        <v>0</v>
      </c>
      <c r="AJ55" s="174"/>
      <c r="AK55" s="196">
        <f>ROUND((centralizator!$R$18-1)*Gantt!AK55,2)</f>
        <v>0</v>
      </c>
      <c r="AL55" s="174"/>
      <c r="AM55" s="196">
        <f>ROUND((centralizator!$S$18-1)*Gantt!AM55,2)</f>
        <v>0</v>
      </c>
      <c r="AN55" s="174"/>
      <c r="AO55" s="196">
        <f>ROUND((centralizator!$T$18-1)*Gantt!AO55,2)</f>
        <v>0</v>
      </c>
      <c r="AP55" s="174"/>
      <c r="AQ55" s="196">
        <f>ROUND((centralizator!$U$18-1)*Gantt!AQ55,2)</f>
        <v>0</v>
      </c>
      <c r="AR55" s="173">
        <v>0.85969059313201224</v>
      </c>
      <c r="AS55" s="196">
        <f>ROUND((centralizator!$V$18-1)*Gantt!AS55,2)</f>
        <v>1153.3699999999999</v>
      </c>
      <c r="AT55" s="173">
        <v>0.14030940686798773</v>
      </c>
      <c r="AU55" s="196">
        <f>ROUND((centralizator!$W$18-1)*Gantt!AU55,2)</f>
        <v>198.7</v>
      </c>
      <c r="AV55" s="39">
        <f t="shared" si="33"/>
        <v>0</v>
      </c>
      <c r="AW55" s="40">
        <f t="shared" si="15"/>
        <v>0</v>
      </c>
      <c r="AX55" s="40">
        <f t="shared" si="16"/>
        <v>1353.07</v>
      </c>
      <c r="AY55" s="40">
        <f t="shared" si="17"/>
        <v>1353.07</v>
      </c>
      <c r="AZ55" s="41">
        <f t="shared" si="34"/>
        <v>-1</v>
      </c>
      <c r="BE55" s="40">
        <f t="shared" si="6"/>
        <v>0</v>
      </c>
      <c r="BF55" s="40">
        <f t="shared" si="7"/>
        <v>1352.07</v>
      </c>
      <c r="BG55" s="40">
        <f t="shared" si="8"/>
        <v>0</v>
      </c>
      <c r="BH55" s="40">
        <f t="shared" si="9"/>
        <v>256.89</v>
      </c>
      <c r="BI55" s="40">
        <f t="shared" si="10"/>
        <v>0</v>
      </c>
      <c r="BJ55" s="40">
        <f t="shared" si="11"/>
        <v>1608.96</v>
      </c>
      <c r="BK55" s="40">
        <f t="shared" si="12"/>
        <v>1608.96</v>
      </c>
      <c r="BL55" s="41"/>
      <c r="BM55" s="41">
        <f t="shared" si="13"/>
        <v>1352.07</v>
      </c>
      <c r="BN55" s="41">
        <f t="shared" si="35"/>
        <v>1352.07</v>
      </c>
      <c r="BO55" s="41">
        <f t="shared" si="36"/>
        <v>0</v>
      </c>
    </row>
    <row r="56" spans="1:67" ht="14.4">
      <c r="A56" s="30">
        <v>24.11</v>
      </c>
      <c r="B56" s="31" t="s">
        <v>135</v>
      </c>
      <c r="C56" s="164">
        <f>C57</f>
        <v>6129.22</v>
      </c>
      <c r="D56" s="164">
        <f t="shared" ref="D56:AI56" si="40">D57</f>
        <v>0</v>
      </c>
      <c r="E56" s="164">
        <f t="shared" si="40"/>
        <v>0</v>
      </c>
      <c r="F56" s="164">
        <f t="shared" si="40"/>
        <v>0</v>
      </c>
      <c r="G56" s="164">
        <f t="shared" si="40"/>
        <v>0</v>
      </c>
      <c r="H56" s="164">
        <f t="shared" si="40"/>
        <v>0</v>
      </c>
      <c r="I56" s="164">
        <f t="shared" si="40"/>
        <v>0</v>
      </c>
      <c r="J56" s="164">
        <f t="shared" si="40"/>
        <v>0</v>
      </c>
      <c r="K56" s="164">
        <f t="shared" si="40"/>
        <v>0</v>
      </c>
      <c r="L56" s="164">
        <f t="shared" si="40"/>
        <v>0</v>
      </c>
      <c r="M56" s="164">
        <f t="shared" si="40"/>
        <v>0</v>
      </c>
      <c r="N56" s="164">
        <f t="shared" si="40"/>
        <v>0</v>
      </c>
      <c r="O56" s="164">
        <f t="shared" si="40"/>
        <v>0</v>
      </c>
      <c r="P56" s="164">
        <f t="shared" si="40"/>
        <v>0</v>
      </c>
      <c r="Q56" s="164">
        <f t="shared" si="40"/>
        <v>0</v>
      </c>
      <c r="R56" s="164">
        <f t="shared" si="40"/>
        <v>0</v>
      </c>
      <c r="S56" s="164">
        <f t="shared" si="40"/>
        <v>0</v>
      </c>
      <c r="T56" s="164">
        <f t="shared" si="40"/>
        <v>0</v>
      </c>
      <c r="U56" s="164">
        <f t="shared" si="40"/>
        <v>0</v>
      </c>
      <c r="V56" s="164">
        <f t="shared" si="40"/>
        <v>0</v>
      </c>
      <c r="W56" s="164">
        <f t="shared" si="40"/>
        <v>0</v>
      </c>
      <c r="X56" s="164">
        <f t="shared" si="40"/>
        <v>0</v>
      </c>
      <c r="Y56" s="164">
        <f t="shared" si="40"/>
        <v>0</v>
      </c>
      <c r="Z56" s="164">
        <f t="shared" si="40"/>
        <v>0</v>
      </c>
      <c r="AA56" s="164">
        <f t="shared" si="40"/>
        <v>0</v>
      </c>
      <c r="AB56" s="164">
        <f t="shared" si="40"/>
        <v>0</v>
      </c>
      <c r="AC56" s="164">
        <f t="shared" si="40"/>
        <v>0</v>
      </c>
      <c r="AD56" s="164">
        <f t="shared" si="40"/>
        <v>0</v>
      </c>
      <c r="AE56" s="164">
        <f t="shared" si="40"/>
        <v>0</v>
      </c>
      <c r="AF56" s="164">
        <f t="shared" si="40"/>
        <v>0</v>
      </c>
      <c r="AG56" s="164">
        <f t="shared" si="40"/>
        <v>0</v>
      </c>
      <c r="AH56" s="164">
        <f t="shared" si="40"/>
        <v>0</v>
      </c>
      <c r="AI56" s="164">
        <f t="shared" si="40"/>
        <v>0</v>
      </c>
      <c r="AJ56" s="198"/>
      <c r="AK56" s="196">
        <f>ROUND((centralizator!$R$18-1)*Gantt!AK56,2)</f>
        <v>0</v>
      </c>
      <c r="AL56" s="198"/>
      <c r="AM56" s="196">
        <f>ROUND((centralizator!$S$18-1)*Gantt!AM56,2)</f>
        <v>0</v>
      </c>
      <c r="AN56" s="198"/>
      <c r="AO56" s="196">
        <f>ROUND((centralizator!$T$18-1)*Gantt!AO56,2)</f>
        <v>0</v>
      </c>
      <c r="AP56" s="198"/>
      <c r="AQ56" s="196">
        <f>ROUND((centralizator!$U$18-1)*Gantt!AQ56,2)</f>
        <v>6129.22</v>
      </c>
      <c r="AR56" s="198"/>
      <c r="AS56" s="196">
        <f>ROUND((centralizator!$V$18-1)*Gantt!AS56,2)</f>
        <v>0</v>
      </c>
      <c r="AT56" s="173">
        <v>0</v>
      </c>
      <c r="AU56" s="196">
        <f>ROUND((centralizator!$W$18-1)*Gantt!AU56,2)</f>
        <v>0</v>
      </c>
      <c r="AV56" s="39">
        <f t="shared" si="33"/>
        <v>0</v>
      </c>
      <c r="AW56" s="40">
        <f t="shared" si="15"/>
        <v>0</v>
      </c>
      <c r="AX56" s="40">
        <f t="shared" si="16"/>
        <v>6129.22</v>
      </c>
      <c r="AY56" s="40">
        <f t="shared" si="17"/>
        <v>6129.22</v>
      </c>
      <c r="AZ56" s="41">
        <f t="shared" si="34"/>
        <v>0</v>
      </c>
      <c r="BE56" s="40">
        <f t="shared" si="6"/>
        <v>0</v>
      </c>
      <c r="BF56" s="40">
        <f t="shared" si="7"/>
        <v>6129.22</v>
      </c>
      <c r="BG56" s="40">
        <f t="shared" si="8"/>
        <v>0</v>
      </c>
      <c r="BH56" s="40">
        <f t="shared" si="9"/>
        <v>1164.55</v>
      </c>
      <c r="BI56" s="40">
        <f t="shared" si="10"/>
        <v>0</v>
      </c>
      <c r="BJ56" s="40">
        <f t="shared" si="11"/>
        <v>7293.77</v>
      </c>
      <c r="BK56" s="40">
        <f t="shared" si="12"/>
        <v>7293.77</v>
      </c>
      <c r="BL56" s="41"/>
      <c r="BM56" s="41">
        <f t="shared" si="13"/>
        <v>6129.22</v>
      </c>
      <c r="BN56" s="41">
        <f t="shared" si="35"/>
        <v>6129.22</v>
      </c>
      <c r="BO56" s="41">
        <f t="shared" si="36"/>
        <v>0</v>
      </c>
    </row>
    <row r="57" spans="1:67" ht="14.4">
      <c r="A57" s="42" t="s">
        <v>136</v>
      </c>
      <c r="B57" s="43" t="s">
        <v>137</v>
      </c>
      <c r="C57" s="165">
        <f t="shared" ref="C57:C65" si="41">E57+G57+I57+K57+M57+O57+Q57+S57+U57+W57+Y57+AA57+AC57+AE57+AG57+AI57+AK57+AM57+AO57+AQ57+AS57+AU57</f>
        <v>6129.22</v>
      </c>
      <c r="D57" s="168"/>
      <c r="E57" s="187"/>
      <c r="F57" s="173"/>
      <c r="G57" s="187"/>
      <c r="H57" s="173"/>
      <c r="I57" s="188"/>
      <c r="J57" s="173"/>
      <c r="K57" s="187"/>
      <c r="L57" s="173"/>
      <c r="M57" s="187"/>
      <c r="N57" s="173"/>
      <c r="O57" s="187"/>
      <c r="P57" s="176"/>
      <c r="Q57" s="187"/>
      <c r="R57" s="186"/>
      <c r="S57" s="187"/>
      <c r="T57" s="186"/>
      <c r="U57" s="187"/>
      <c r="V57" s="171">
        <v>0</v>
      </c>
      <c r="W57" s="196">
        <v>0</v>
      </c>
      <c r="X57" s="173"/>
      <c r="Y57" s="196">
        <v>0</v>
      </c>
      <c r="Z57" s="173"/>
      <c r="AA57" s="196">
        <v>0</v>
      </c>
      <c r="AB57" s="173"/>
      <c r="AC57" s="196">
        <v>0</v>
      </c>
      <c r="AD57" s="173"/>
      <c r="AE57" s="196">
        <v>0</v>
      </c>
      <c r="AF57" s="173"/>
      <c r="AG57" s="196">
        <v>0</v>
      </c>
      <c r="AH57" s="173"/>
      <c r="AI57" s="196">
        <v>0</v>
      </c>
      <c r="AJ57" s="174"/>
      <c r="AK57" s="196">
        <f>ROUND((centralizator!$R$18-1)*Gantt!AK57,2)</f>
        <v>0</v>
      </c>
      <c r="AL57" s="174"/>
      <c r="AM57" s="196">
        <f>ROUND((centralizator!$S$18-1)*Gantt!AM57,2)</f>
        <v>0</v>
      </c>
      <c r="AN57" s="174"/>
      <c r="AO57" s="196">
        <f>ROUND((centralizator!$T$18-1)*Gantt!AO57,2)</f>
        <v>0</v>
      </c>
      <c r="AP57" s="173">
        <v>1</v>
      </c>
      <c r="AQ57" s="196">
        <f>ROUND((centralizator!$U$18-1)*Gantt!AQ57,2)</f>
        <v>6129.22</v>
      </c>
      <c r="AR57" s="174"/>
      <c r="AS57" s="196">
        <f>ROUND((centralizator!$V$18-1)*Gantt!AS57,2)</f>
        <v>0</v>
      </c>
      <c r="AT57" s="173">
        <v>0</v>
      </c>
      <c r="AU57" s="196">
        <f>ROUND((centralizator!$W$18-1)*Gantt!AU57,2)</f>
        <v>0</v>
      </c>
      <c r="AV57" s="39">
        <f t="shared" si="33"/>
        <v>0</v>
      </c>
      <c r="AW57" s="40">
        <f t="shared" si="15"/>
        <v>0</v>
      </c>
      <c r="AX57" s="40">
        <f t="shared" si="16"/>
        <v>6130.22</v>
      </c>
      <c r="AY57" s="40">
        <f t="shared" si="17"/>
        <v>6130.22</v>
      </c>
      <c r="AZ57" s="41">
        <f t="shared" si="34"/>
        <v>-1</v>
      </c>
      <c r="BE57" s="40">
        <f t="shared" si="6"/>
        <v>0</v>
      </c>
      <c r="BF57" s="40">
        <f t="shared" si="7"/>
        <v>6129.22</v>
      </c>
      <c r="BG57" s="40">
        <f t="shared" si="8"/>
        <v>0</v>
      </c>
      <c r="BH57" s="40">
        <f t="shared" si="9"/>
        <v>1164.55</v>
      </c>
      <c r="BI57" s="40">
        <f t="shared" si="10"/>
        <v>0</v>
      </c>
      <c r="BJ57" s="40">
        <f t="shared" si="11"/>
        <v>7293.77</v>
      </c>
      <c r="BK57" s="40">
        <f t="shared" si="12"/>
        <v>7293.77</v>
      </c>
      <c r="BL57" s="41"/>
      <c r="BM57" s="41">
        <f t="shared" si="13"/>
        <v>6129.22</v>
      </c>
      <c r="BN57" s="41">
        <f t="shared" si="35"/>
        <v>6129.22</v>
      </c>
      <c r="BO57" s="41">
        <f t="shared" si="36"/>
        <v>0</v>
      </c>
    </row>
    <row r="58" spans="1:67" ht="18" customHeight="1">
      <c r="A58" s="30">
        <v>24.12</v>
      </c>
      <c r="B58" s="31" t="s">
        <v>138</v>
      </c>
      <c r="C58" s="165">
        <f t="shared" si="41"/>
        <v>138012.04</v>
      </c>
      <c r="D58" s="168"/>
      <c r="E58" s="187"/>
      <c r="F58" s="173"/>
      <c r="G58" s="187"/>
      <c r="H58" s="173"/>
      <c r="I58" s="188"/>
      <c r="J58" s="173"/>
      <c r="K58" s="187"/>
      <c r="L58" s="173"/>
      <c r="M58" s="187"/>
      <c r="N58" s="173"/>
      <c r="O58" s="187"/>
      <c r="P58" s="176"/>
      <c r="Q58" s="187"/>
      <c r="R58" s="186"/>
      <c r="S58" s="187"/>
      <c r="T58" s="186"/>
      <c r="U58" s="187"/>
      <c r="V58" s="171">
        <v>0</v>
      </c>
      <c r="W58" s="196">
        <v>0</v>
      </c>
      <c r="X58" s="173"/>
      <c r="Y58" s="196">
        <v>3644.71</v>
      </c>
      <c r="Z58" s="173"/>
      <c r="AA58" s="196">
        <v>3389.45</v>
      </c>
      <c r="AB58" s="173"/>
      <c r="AC58" s="196">
        <v>729.61</v>
      </c>
      <c r="AD58" s="173"/>
      <c r="AE58" s="196">
        <v>1376.28</v>
      </c>
      <c r="AF58" s="173"/>
      <c r="AG58" s="196">
        <v>7024.52</v>
      </c>
      <c r="AH58" s="178"/>
      <c r="AI58" s="196">
        <v>856.12</v>
      </c>
      <c r="AJ58" s="178">
        <v>0.12742189099758486</v>
      </c>
      <c r="AK58" s="196">
        <f>ROUND((centralizator!$R$18-1)*Gantt!AK58,2)</f>
        <v>22344.67</v>
      </c>
      <c r="AL58" s="174">
        <v>0.27218866265654346</v>
      </c>
      <c r="AM58" s="196">
        <f>ROUND((centralizator!$S$18-1)*Gantt!AM58,2)</f>
        <v>51139.43</v>
      </c>
      <c r="AN58" s="174">
        <v>0.16247331870967238</v>
      </c>
      <c r="AO58" s="196">
        <f>ROUND((centralizator!$T$18-1)*Gantt!AO58,2)</f>
        <v>32561.64</v>
      </c>
      <c r="AP58" s="174"/>
      <c r="AQ58" s="196">
        <f>ROUND((centralizator!$U$18-1)*Gantt!AQ58,2)</f>
        <v>0</v>
      </c>
      <c r="AR58" s="174"/>
      <c r="AS58" s="196">
        <f>ROUND((centralizator!$V$18-1)*Gantt!AS58,2)</f>
        <v>0</v>
      </c>
      <c r="AT58" s="173">
        <v>6.2800050722741571E-2</v>
      </c>
      <c r="AU58" s="196">
        <f>ROUND((centralizator!$W$18-1)*Gantt!AU58,2)</f>
        <v>14945.61</v>
      </c>
      <c r="AV58" s="39">
        <f t="shared" si="33"/>
        <v>0</v>
      </c>
      <c r="AW58" s="40">
        <f t="shared" si="15"/>
        <v>17020.689999999999</v>
      </c>
      <c r="AX58" s="40">
        <f t="shared" si="16"/>
        <v>120991.97488392309</v>
      </c>
      <c r="AY58" s="40">
        <f t="shared" si="17"/>
        <v>138012.66488392308</v>
      </c>
      <c r="AZ58" s="41">
        <f t="shared" si="34"/>
        <v>-0.62488392306840979</v>
      </c>
      <c r="BE58" s="40">
        <f t="shared" si="6"/>
        <v>17020.689999999999</v>
      </c>
      <c r="BF58" s="40">
        <f t="shared" si="7"/>
        <v>120991.35</v>
      </c>
      <c r="BG58" s="40">
        <f t="shared" si="8"/>
        <v>3233.93</v>
      </c>
      <c r="BH58" s="40">
        <f t="shared" si="9"/>
        <v>22988.36</v>
      </c>
      <c r="BI58" s="40">
        <f t="shared" si="10"/>
        <v>20254.62</v>
      </c>
      <c r="BJ58" s="40">
        <f t="shared" si="11"/>
        <v>143979.71000000002</v>
      </c>
      <c r="BK58" s="40">
        <f t="shared" si="12"/>
        <v>164234.33000000002</v>
      </c>
      <c r="BL58" s="41"/>
      <c r="BM58" s="41">
        <f t="shared" si="13"/>
        <v>138012.04</v>
      </c>
      <c r="BN58" s="41">
        <f t="shared" si="35"/>
        <v>138012.03999999998</v>
      </c>
      <c r="BO58" s="41">
        <f t="shared" si="36"/>
        <v>0</v>
      </c>
    </row>
    <row r="59" spans="1:67" s="93" customFormat="1" ht="14.4">
      <c r="A59" s="42"/>
      <c r="B59" s="112" t="s">
        <v>139</v>
      </c>
      <c r="C59" s="165">
        <f t="shared" si="41"/>
        <v>102.24000000000001</v>
      </c>
      <c r="D59" s="168"/>
      <c r="E59" s="187"/>
      <c r="F59" s="173"/>
      <c r="G59" s="187"/>
      <c r="H59" s="173"/>
      <c r="I59" s="188"/>
      <c r="J59" s="173"/>
      <c r="K59" s="187"/>
      <c r="L59" s="173"/>
      <c r="M59" s="187"/>
      <c r="N59" s="173"/>
      <c r="O59" s="187"/>
      <c r="P59" s="176"/>
      <c r="Q59" s="187"/>
      <c r="R59" s="186"/>
      <c r="S59" s="187"/>
      <c r="T59" s="186"/>
      <c r="U59" s="187"/>
      <c r="V59" s="171">
        <v>0</v>
      </c>
      <c r="W59" s="196">
        <v>0</v>
      </c>
      <c r="X59" s="173"/>
      <c r="Y59" s="196">
        <v>0</v>
      </c>
      <c r="Z59" s="173"/>
      <c r="AA59" s="196">
        <v>29.12</v>
      </c>
      <c r="AB59" s="173"/>
      <c r="AC59" s="196">
        <v>0</v>
      </c>
      <c r="AD59" s="173"/>
      <c r="AE59" s="196">
        <v>0</v>
      </c>
      <c r="AF59" s="173"/>
      <c r="AG59" s="196">
        <v>0</v>
      </c>
      <c r="AH59" s="173"/>
      <c r="AI59" s="196">
        <v>0</v>
      </c>
      <c r="AJ59" s="174"/>
      <c r="AK59" s="196">
        <f>ROUND((centralizator!$R$18-1)*Gantt!AK59,2)</f>
        <v>0</v>
      </c>
      <c r="AL59" s="174"/>
      <c r="AM59" s="196">
        <f>ROUND((centralizator!$S$18-1)*Gantt!AM59,2)</f>
        <v>0</v>
      </c>
      <c r="AN59" s="174"/>
      <c r="AO59" s="196">
        <f>ROUND((centralizator!$T$18-1)*Gantt!AO59,2)</f>
        <v>0</v>
      </c>
      <c r="AP59" s="174"/>
      <c r="AQ59" s="196">
        <f>ROUND((centralizator!$U$18-1)*Gantt!AQ59,2)</f>
        <v>0</v>
      </c>
      <c r="AR59" s="174"/>
      <c r="AS59" s="196">
        <f>ROUND((centralizator!$V$18-1)*Gantt!AS59,2)</f>
        <v>0</v>
      </c>
      <c r="AT59" s="173">
        <v>1.5921281376091587E-2</v>
      </c>
      <c r="AU59" s="196">
        <f>ROUND((centralizator!$W$18-1)*Gantt!AU59,2)</f>
        <v>73.12</v>
      </c>
      <c r="AV59" s="39">
        <f t="shared" si="33"/>
        <v>0</v>
      </c>
      <c r="AW59" s="40">
        <f t="shared" si="15"/>
        <v>29.12</v>
      </c>
      <c r="AX59" s="40">
        <f t="shared" si="16"/>
        <v>73.135921281376099</v>
      </c>
      <c r="AY59" s="40">
        <f t="shared" si="17"/>
        <v>102.2559212813761</v>
      </c>
      <c r="AZ59" s="41">
        <f t="shared" si="34"/>
        <v>-1.5921281376094498E-2</v>
      </c>
      <c r="BE59" s="40">
        <f t="shared" si="6"/>
        <v>29.12</v>
      </c>
      <c r="BF59" s="40">
        <f t="shared" si="7"/>
        <v>73.12</v>
      </c>
      <c r="BG59" s="40">
        <f t="shared" si="8"/>
        <v>5.53</v>
      </c>
      <c r="BH59" s="40">
        <f t="shared" si="9"/>
        <v>13.89</v>
      </c>
      <c r="BI59" s="40">
        <f t="shared" si="10"/>
        <v>34.65</v>
      </c>
      <c r="BJ59" s="40">
        <f t="shared" si="11"/>
        <v>87.01</v>
      </c>
      <c r="BK59" s="40">
        <f t="shared" si="12"/>
        <v>121.66</v>
      </c>
      <c r="BL59" s="41"/>
      <c r="BM59" s="41">
        <f t="shared" si="13"/>
        <v>102.24000000000001</v>
      </c>
      <c r="BN59" s="41">
        <f t="shared" si="35"/>
        <v>102.24000000000001</v>
      </c>
      <c r="BO59" s="41">
        <f t="shared" si="36"/>
        <v>0</v>
      </c>
    </row>
    <row r="60" spans="1:67" ht="14.4">
      <c r="A60" s="30">
        <v>24.13</v>
      </c>
      <c r="B60" s="31" t="s">
        <v>140</v>
      </c>
      <c r="C60" s="165">
        <f t="shared" si="41"/>
        <v>150062.72</v>
      </c>
      <c r="D60" s="166">
        <v>5.4095319752388446E-2</v>
      </c>
      <c r="E60" s="187"/>
      <c r="F60" s="173"/>
      <c r="G60" s="187"/>
      <c r="H60" s="173"/>
      <c r="I60" s="188"/>
      <c r="J60" s="173"/>
      <c r="K60" s="187"/>
      <c r="L60" s="173"/>
      <c r="M60" s="187"/>
      <c r="N60" s="173"/>
      <c r="O60" s="187"/>
      <c r="P60" s="176"/>
      <c r="Q60" s="187"/>
      <c r="R60" s="186"/>
      <c r="S60" s="187"/>
      <c r="T60" s="186"/>
      <c r="U60" s="187"/>
      <c r="V60" s="171">
        <v>0</v>
      </c>
      <c r="W60" s="196">
        <v>0</v>
      </c>
      <c r="X60" s="173"/>
      <c r="Y60" s="196">
        <v>0</v>
      </c>
      <c r="Z60" s="173"/>
      <c r="AA60" s="196">
        <v>11453.22</v>
      </c>
      <c r="AB60" s="173"/>
      <c r="AC60" s="196">
        <v>2371.9499999999998</v>
      </c>
      <c r="AD60" s="173"/>
      <c r="AE60" s="196">
        <v>0</v>
      </c>
      <c r="AF60" s="173"/>
      <c r="AG60" s="196">
        <v>5405.31</v>
      </c>
      <c r="AH60" s="173"/>
      <c r="AI60" s="196">
        <v>4164.71</v>
      </c>
      <c r="AJ60" s="178">
        <v>0.30655411847796571</v>
      </c>
      <c r="AK60" s="196">
        <f>ROUND((centralizator!$R$18-1)*Gantt!AK60,2)</f>
        <v>53194.45</v>
      </c>
      <c r="AL60" s="173">
        <v>0.25354530945408388</v>
      </c>
      <c r="AM60" s="196">
        <f>ROUND((centralizator!$S$18-1)*Gantt!AM60,2)</f>
        <v>47137.95</v>
      </c>
      <c r="AN60" s="174">
        <v>0.13279508056190784</v>
      </c>
      <c r="AO60" s="196">
        <f>ROUND((centralizator!$T$18-1)*Gantt!AO60,2)</f>
        <v>26335.13</v>
      </c>
      <c r="AP60" s="174"/>
      <c r="AQ60" s="196">
        <f>ROUND((centralizator!$U$18-1)*Gantt!AQ60,2)</f>
        <v>0</v>
      </c>
      <c r="AR60" s="174"/>
      <c r="AS60" s="196">
        <f>ROUND((centralizator!$V$18-1)*Gantt!AS60,2)</f>
        <v>0</v>
      </c>
      <c r="AT60" s="173">
        <v>0</v>
      </c>
      <c r="AU60" s="196">
        <f>ROUND((centralizator!$W$18-1)*Gantt!AU60,2)</f>
        <v>0</v>
      </c>
      <c r="AV60" s="39">
        <f t="shared" si="33"/>
        <v>0</v>
      </c>
      <c r="AW60" s="40">
        <f t="shared" si="15"/>
        <v>23395.244095319751</v>
      </c>
      <c r="AX60" s="40">
        <f t="shared" si="16"/>
        <v>126668.22289450849</v>
      </c>
      <c r="AY60" s="40">
        <f t="shared" si="17"/>
        <v>150063.46698982824</v>
      </c>
      <c r="AZ60" s="41">
        <f t="shared" si="34"/>
        <v>-0.746989828243386</v>
      </c>
      <c r="BE60" s="40">
        <f t="shared" si="6"/>
        <v>23395.19</v>
      </c>
      <c r="BF60" s="40">
        <f t="shared" si="7"/>
        <v>126667.53</v>
      </c>
      <c r="BG60" s="40">
        <f t="shared" si="8"/>
        <v>4445.09</v>
      </c>
      <c r="BH60" s="40">
        <f t="shared" si="9"/>
        <v>24066.83</v>
      </c>
      <c r="BI60" s="40">
        <f t="shared" si="10"/>
        <v>27840.28</v>
      </c>
      <c r="BJ60" s="40">
        <f t="shared" si="11"/>
        <v>150734.35999999999</v>
      </c>
      <c r="BK60" s="40">
        <f t="shared" si="12"/>
        <v>178574.63999999998</v>
      </c>
      <c r="BL60" s="41"/>
      <c r="BM60" s="41">
        <f t="shared" si="13"/>
        <v>150062.72</v>
      </c>
      <c r="BN60" s="41">
        <f t="shared" si="35"/>
        <v>150062.72</v>
      </c>
      <c r="BO60" s="41">
        <f t="shared" si="36"/>
        <v>0</v>
      </c>
    </row>
    <row r="61" spans="1:67" s="93" customFormat="1" ht="14.4">
      <c r="A61" s="42"/>
      <c r="B61" s="112" t="s">
        <v>141</v>
      </c>
      <c r="C61" s="165">
        <f t="shared" si="41"/>
        <v>9190.2800000000007</v>
      </c>
      <c r="D61" s="168"/>
      <c r="E61" s="187"/>
      <c r="F61" s="173"/>
      <c r="G61" s="187"/>
      <c r="H61" s="173"/>
      <c r="I61" s="188"/>
      <c r="J61" s="173"/>
      <c r="K61" s="187"/>
      <c r="L61" s="173"/>
      <c r="M61" s="187"/>
      <c r="N61" s="173"/>
      <c r="O61" s="187"/>
      <c r="P61" s="176"/>
      <c r="Q61" s="187"/>
      <c r="R61" s="186"/>
      <c r="S61" s="187"/>
      <c r="T61" s="186"/>
      <c r="U61" s="187"/>
      <c r="V61" s="171">
        <v>0</v>
      </c>
      <c r="W61" s="196">
        <v>0</v>
      </c>
      <c r="X61" s="173"/>
      <c r="Y61" s="196">
        <v>0</v>
      </c>
      <c r="Z61" s="173"/>
      <c r="AA61" s="196">
        <v>278.72000000000003</v>
      </c>
      <c r="AB61" s="173"/>
      <c r="AC61" s="196">
        <v>0</v>
      </c>
      <c r="AD61" s="173"/>
      <c r="AE61" s="196">
        <v>0</v>
      </c>
      <c r="AF61" s="173"/>
      <c r="AG61" s="196">
        <v>0</v>
      </c>
      <c r="AH61" s="173"/>
      <c r="AI61" s="196">
        <v>756.79</v>
      </c>
      <c r="AJ61" s="178">
        <v>0.16672052370145074</v>
      </c>
      <c r="AK61" s="196">
        <f>ROUND((centralizator!$R$18-1)*Gantt!AK61,2)</f>
        <v>1572.08</v>
      </c>
      <c r="AL61" s="173">
        <v>0.56584185832400258</v>
      </c>
      <c r="AM61" s="196">
        <f>ROUND((centralizator!$S$18-1)*Gantt!AM61,2)</f>
        <v>5716.58</v>
      </c>
      <c r="AN61" s="174">
        <v>8.0369688758269525E-2</v>
      </c>
      <c r="AO61" s="196">
        <f>ROUND((centralizator!$T$18-1)*Gantt!AO61,2)</f>
        <v>866.11</v>
      </c>
      <c r="AP61" s="174"/>
      <c r="AQ61" s="196">
        <f>ROUND((centralizator!$U$18-1)*Gantt!AQ61,2)</f>
        <v>0</v>
      </c>
      <c r="AR61" s="174"/>
      <c r="AS61" s="196">
        <f>ROUND((centralizator!$V$18-1)*Gantt!AS61,2)</f>
        <v>0</v>
      </c>
      <c r="AT61" s="173">
        <v>0</v>
      </c>
      <c r="AU61" s="196">
        <f>ROUND((centralizator!$W$18-1)*Gantt!AU61,2)</f>
        <v>0</v>
      </c>
      <c r="AV61" s="39">
        <f t="shared" si="33"/>
        <v>0</v>
      </c>
      <c r="AW61" s="40">
        <f t="shared" si="15"/>
        <v>1035.51</v>
      </c>
      <c r="AX61" s="40">
        <f t="shared" si="16"/>
        <v>8155.5829320707826</v>
      </c>
      <c r="AY61" s="40">
        <f t="shared" si="17"/>
        <v>9191.0929320707819</v>
      </c>
      <c r="AZ61" s="41">
        <f t="shared" si="34"/>
        <v>-0.81293207078124397</v>
      </c>
      <c r="BE61" s="40">
        <f t="shared" si="6"/>
        <v>1035.51</v>
      </c>
      <c r="BF61" s="40">
        <f t="shared" si="7"/>
        <v>8154.7699999999995</v>
      </c>
      <c r="BG61" s="40">
        <f t="shared" si="8"/>
        <v>196.75</v>
      </c>
      <c r="BH61" s="40">
        <f t="shared" si="9"/>
        <v>1549.41</v>
      </c>
      <c r="BI61" s="40">
        <f t="shared" si="10"/>
        <v>1232.26</v>
      </c>
      <c r="BJ61" s="40">
        <f t="shared" si="11"/>
        <v>9704.18</v>
      </c>
      <c r="BK61" s="40">
        <f t="shared" si="12"/>
        <v>10936.44</v>
      </c>
      <c r="BL61" s="41"/>
      <c r="BM61" s="41">
        <f t="shared" si="13"/>
        <v>9190.2799999999988</v>
      </c>
      <c r="BN61" s="41">
        <f t="shared" si="35"/>
        <v>9190.2799999999988</v>
      </c>
      <c r="BO61" s="41">
        <f t="shared" si="36"/>
        <v>0</v>
      </c>
    </row>
    <row r="62" spans="1:67" ht="14.4">
      <c r="A62" s="30">
        <v>24.14</v>
      </c>
      <c r="B62" s="31" t="s">
        <v>142</v>
      </c>
      <c r="C62" s="165">
        <f t="shared" si="41"/>
        <v>55409.19</v>
      </c>
      <c r="D62" s="168"/>
      <c r="E62" s="187"/>
      <c r="F62" s="173"/>
      <c r="G62" s="187"/>
      <c r="H62" s="173"/>
      <c r="I62" s="188"/>
      <c r="J62" s="173"/>
      <c r="K62" s="187"/>
      <c r="L62" s="173"/>
      <c r="M62" s="187"/>
      <c r="N62" s="173"/>
      <c r="O62" s="187"/>
      <c r="P62" s="176"/>
      <c r="Q62" s="187"/>
      <c r="R62" s="186"/>
      <c r="S62" s="187"/>
      <c r="T62" s="186"/>
      <c r="U62" s="187"/>
      <c r="V62" s="167">
        <v>0.12879522160155177</v>
      </c>
      <c r="W62" s="196">
        <v>4382.6400000000003</v>
      </c>
      <c r="X62" s="173"/>
      <c r="Y62" s="196">
        <v>3953.42</v>
      </c>
      <c r="Z62" s="173"/>
      <c r="AA62" s="196">
        <v>7414.67</v>
      </c>
      <c r="AB62" s="173"/>
      <c r="AC62" s="196">
        <v>2408.6799999999998</v>
      </c>
      <c r="AD62" s="173"/>
      <c r="AE62" s="196">
        <v>2789.65</v>
      </c>
      <c r="AF62" s="173"/>
      <c r="AG62" s="196">
        <v>0</v>
      </c>
      <c r="AH62" s="173"/>
      <c r="AI62" s="196">
        <v>0</v>
      </c>
      <c r="AJ62" s="178">
        <v>0.10750318715621847</v>
      </c>
      <c r="AK62" s="196">
        <f>ROUND((centralizator!$R$18-1)*Gantt!AK62,2)</f>
        <v>12192.42</v>
      </c>
      <c r="AL62" s="173">
        <v>0.18325297449633654</v>
      </c>
      <c r="AM62" s="196">
        <f>ROUND((centralizator!$S$18-1)*Gantt!AM62,2)</f>
        <v>22267.71</v>
      </c>
      <c r="AN62" s="174"/>
      <c r="AO62" s="196">
        <f>ROUND((centralizator!$T$18-1)*Gantt!AO62,2)</f>
        <v>0</v>
      </c>
      <c r="AP62" s="174"/>
      <c r="AQ62" s="196">
        <f>ROUND((centralizator!$U$18-1)*Gantt!AQ62,2)</f>
        <v>0</v>
      </c>
      <c r="AR62" s="174"/>
      <c r="AS62" s="196">
        <f>ROUND((centralizator!$V$18-1)*Gantt!AS62,2)</f>
        <v>0</v>
      </c>
      <c r="AT62" s="173">
        <v>5.4576974961098394E-9</v>
      </c>
      <c r="AU62" s="196">
        <f>ROUND((centralizator!$W$18-1)*Gantt!AU62,2)</f>
        <v>0</v>
      </c>
      <c r="AV62" s="39">
        <f t="shared" si="33"/>
        <v>0</v>
      </c>
      <c r="AW62" s="40">
        <f t="shared" si="15"/>
        <v>20949.188795221602</v>
      </c>
      <c r="AX62" s="40">
        <f t="shared" si="16"/>
        <v>34460.420756167106</v>
      </c>
      <c r="AY62" s="40">
        <f t="shared" si="17"/>
        <v>55409.609551388712</v>
      </c>
      <c r="AZ62" s="41">
        <f t="shared" si="34"/>
        <v>-0.41955138870980591</v>
      </c>
      <c r="BE62" s="40">
        <f t="shared" si="6"/>
        <v>20949.060000000001</v>
      </c>
      <c r="BF62" s="40">
        <f t="shared" si="7"/>
        <v>34460.129999999997</v>
      </c>
      <c r="BG62" s="40">
        <f t="shared" si="8"/>
        <v>3980.32</v>
      </c>
      <c r="BH62" s="40">
        <f t="shared" si="9"/>
        <v>6547.42</v>
      </c>
      <c r="BI62" s="40">
        <f t="shared" si="10"/>
        <v>24929.38</v>
      </c>
      <c r="BJ62" s="40">
        <f t="shared" si="11"/>
        <v>41007.549999999996</v>
      </c>
      <c r="BK62" s="40">
        <f t="shared" si="12"/>
        <v>65936.929999999993</v>
      </c>
      <c r="BL62" s="41"/>
      <c r="BM62" s="41">
        <f t="shared" si="13"/>
        <v>55409.19</v>
      </c>
      <c r="BN62" s="41">
        <f t="shared" si="35"/>
        <v>55409.189999999995</v>
      </c>
      <c r="BO62" s="41">
        <f t="shared" si="36"/>
        <v>0</v>
      </c>
    </row>
    <row r="63" spans="1:67" s="93" customFormat="1" ht="14.4">
      <c r="A63" s="42"/>
      <c r="B63" s="112" t="s">
        <v>143</v>
      </c>
      <c r="C63" s="165">
        <f t="shared" si="41"/>
        <v>9529.7900000000009</v>
      </c>
      <c r="D63" s="168"/>
      <c r="E63" s="187"/>
      <c r="F63" s="173"/>
      <c r="G63" s="187"/>
      <c r="H63" s="173"/>
      <c r="I63" s="188"/>
      <c r="J63" s="173"/>
      <c r="K63" s="187"/>
      <c r="L63" s="173"/>
      <c r="M63" s="187"/>
      <c r="N63" s="173"/>
      <c r="O63" s="187"/>
      <c r="P63" s="176"/>
      <c r="Q63" s="187"/>
      <c r="R63" s="186"/>
      <c r="S63" s="187"/>
      <c r="T63" s="186"/>
      <c r="U63" s="187"/>
      <c r="V63" s="169">
        <v>0.10828843066817227</v>
      </c>
      <c r="W63" s="196">
        <v>585.26</v>
      </c>
      <c r="X63" s="173"/>
      <c r="Y63" s="196">
        <v>0</v>
      </c>
      <c r="Z63" s="173"/>
      <c r="AA63" s="196">
        <v>1619.62</v>
      </c>
      <c r="AB63" s="173"/>
      <c r="AC63" s="196">
        <v>0</v>
      </c>
      <c r="AD63" s="173"/>
      <c r="AE63" s="196">
        <v>0</v>
      </c>
      <c r="AF63" s="173"/>
      <c r="AG63" s="196">
        <v>0</v>
      </c>
      <c r="AH63" s="173"/>
      <c r="AI63" s="196">
        <v>0</v>
      </c>
      <c r="AJ63" s="174">
        <v>2.3552321868622661E-2</v>
      </c>
      <c r="AK63" s="196">
        <f>ROUND((centralizator!$R$18-1)*Gantt!AK63,2)</f>
        <v>424.26</v>
      </c>
      <c r="AL63" s="173">
        <v>0.35754705130675601</v>
      </c>
      <c r="AM63" s="196">
        <f>ROUND((centralizator!$S$18-1)*Gantt!AM63,2)</f>
        <v>6900.65</v>
      </c>
      <c r="AN63" s="174"/>
      <c r="AO63" s="196">
        <f>ROUND((centralizator!$T$18-1)*Gantt!AO63,2)</f>
        <v>0</v>
      </c>
      <c r="AP63" s="174"/>
      <c r="AQ63" s="196">
        <f>ROUND((centralizator!$U$18-1)*Gantt!AQ63,2)</f>
        <v>0</v>
      </c>
      <c r="AR63" s="174"/>
      <c r="AS63" s="196">
        <f>ROUND((centralizator!$V$18-1)*Gantt!AS63,2)</f>
        <v>0</v>
      </c>
      <c r="AT63" s="173">
        <v>-3.4353995447069517E-9</v>
      </c>
      <c r="AU63" s="196">
        <f>ROUND((centralizator!$W$18-1)*Gantt!AU63,2)</f>
        <v>0</v>
      </c>
      <c r="AV63" s="39">
        <f t="shared" si="33"/>
        <v>0</v>
      </c>
      <c r="AW63" s="40">
        <f t="shared" si="15"/>
        <v>2204.988288430668</v>
      </c>
      <c r="AX63" s="40">
        <f t="shared" si="16"/>
        <v>7325.2910993697396</v>
      </c>
      <c r="AY63" s="40">
        <f t="shared" si="17"/>
        <v>9530.2793878004086</v>
      </c>
      <c r="AZ63" s="41">
        <f t="shared" si="34"/>
        <v>-0.48938780040771235</v>
      </c>
      <c r="BE63" s="40">
        <f t="shared" si="6"/>
        <v>2204.88</v>
      </c>
      <c r="BF63" s="40">
        <f t="shared" si="7"/>
        <v>7324.91</v>
      </c>
      <c r="BG63" s="40">
        <f t="shared" si="8"/>
        <v>418.93</v>
      </c>
      <c r="BH63" s="40">
        <f t="shared" si="9"/>
        <v>1391.73</v>
      </c>
      <c r="BI63" s="40">
        <f t="shared" si="10"/>
        <v>2623.81</v>
      </c>
      <c r="BJ63" s="40">
        <f t="shared" si="11"/>
        <v>8716.64</v>
      </c>
      <c r="BK63" s="40">
        <f t="shared" si="12"/>
        <v>11340.449999999999</v>
      </c>
      <c r="BL63" s="41"/>
      <c r="BM63" s="41">
        <f t="shared" si="13"/>
        <v>9529.7900000000009</v>
      </c>
      <c r="BN63" s="41">
        <f t="shared" si="35"/>
        <v>9529.7899999999991</v>
      </c>
      <c r="BO63" s="41">
        <f t="shared" si="36"/>
        <v>0</v>
      </c>
    </row>
    <row r="64" spans="1:67" ht="14.4">
      <c r="A64" s="116">
        <v>24.15</v>
      </c>
      <c r="B64" s="117" t="s">
        <v>144</v>
      </c>
      <c r="C64" s="165">
        <f t="shared" si="41"/>
        <v>130610.63</v>
      </c>
      <c r="D64" s="168"/>
      <c r="E64" s="193"/>
      <c r="F64" s="173"/>
      <c r="G64" s="193"/>
      <c r="H64" s="173"/>
      <c r="I64" s="194"/>
      <c r="J64" s="173"/>
      <c r="K64" s="193"/>
      <c r="L64" s="173"/>
      <c r="M64" s="193"/>
      <c r="N64" s="173"/>
      <c r="O64" s="193"/>
      <c r="P64" s="176"/>
      <c r="Q64" s="193"/>
      <c r="R64" s="186"/>
      <c r="S64" s="193"/>
      <c r="T64" s="186"/>
      <c r="U64" s="193"/>
      <c r="V64" s="167">
        <v>4.5315109304892666E-2</v>
      </c>
      <c r="W64" s="196">
        <v>2413.23</v>
      </c>
      <c r="X64" s="173"/>
      <c r="Y64" s="196">
        <v>2277.9499999999998</v>
      </c>
      <c r="Z64" s="173"/>
      <c r="AA64" s="196">
        <v>4759.72</v>
      </c>
      <c r="AB64" s="173"/>
      <c r="AC64" s="196">
        <v>662.26</v>
      </c>
      <c r="AD64" s="173"/>
      <c r="AE64" s="196">
        <v>2143.4699999999998</v>
      </c>
      <c r="AF64" s="173"/>
      <c r="AG64" s="196">
        <v>16074.55</v>
      </c>
      <c r="AH64" s="176"/>
      <c r="AI64" s="196">
        <v>0</v>
      </c>
      <c r="AJ64" s="176">
        <v>0.16763191200968261</v>
      </c>
      <c r="AK64" s="196">
        <f>ROUND((centralizator!$R$18-1)*Gantt!AK64,2)</f>
        <v>29753.96</v>
      </c>
      <c r="AL64" s="174">
        <v>0.16215404918673784</v>
      </c>
      <c r="AM64" s="196">
        <f>ROUND((centralizator!$S$18-1)*Gantt!AM64,2)</f>
        <v>30836.97</v>
      </c>
      <c r="AN64" s="174">
        <v>0.14345719601039075</v>
      </c>
      <c r="AO64" s="196">
        <f>ROUND((centralizator!$T$18-1)*Gantt!AO64,2)</f>
        <v>29100.78</v>
      </c>
      <c r="AP64" s="173">
        <v>5.840408341036514E-2</v>
      </c>
      <c r="AQ64" s="196">
        <f>ROUND((centralizator!$U$18-1)*Gantt!AQ64,2)</f>
        <v>12587.74</v>
      </c>
      <c r="AR64" s="174"/>
      <c r="AS64" s="196">
        <f>ROUND((centralizator!$V$18-1)*Gantt!AS64,2)</f>
        <v>0</v>
      </c>
      <c r="AT64" s="176">
        <v>3.5005213458862243E-9</v>
      </c>
      <c r="AU64" s="196">
        <f>ROUND((centralizator!$W$18-1)*Gantt!AU64,2)</f>
        <v>0</v>
      </c>
      <c r="AV64" s="39">
        <f t="shared" si="33"/>
        <v>0</v>
      </c>
      <c r="AW64" s="40">
        <f t="shared" si="15"/>
        <v>28331.225315109303</v>
      </c>
      <c r="AX64" s="40">
        <f t="shared" si="16"/>
        <v>102279.98164724413</v>
      </c>
      <c r="AY64" s="40">
        <f t="shared" si="17"/>
        <v>130611.20696235343</v>
      </c>
      <c r="AZ64" s="41">
        <f t="shared" si="34"/>
        <v>-0.57696235342882574</v>
      </c>
      <c r="BE64" s="40">
        <f t="shared" si="6"/>
        <v>28331.18</v>
      </c>
      <c r="BF64" s="40">
        <f t="shared" si="7"/>
        <v>102279.45</v>
      </c>
      <c r="BG64" s="40">
        <f t="shared" si="8"/>
        <v>5382.92</v>
      </c>
      <c r="BH64" s="40">
        <f t="shared" si="9"/>
        <v>19433.099999999999</v>
      </c>
      <c r="BI64" s="40">
        <f t="shared" si="10"/>
        <v>33714.1</v>
      </c>
      <c r="BJ64" s="40">
        <f t="shared" si="11"/>
        <v>121712.54999999999</v>
      </c>
      <c r="BK64" s="40">
        <f t="shared" si="12"/>
        <v>155426.65</v>
      </c>
      <c r="BL64" s="41"/>
      <c r="BM64" s="41">
        <f t="shared" si="13"/>
        <v>130610.63</v>
      </c>
      <c r="BN64" s="41">
        <f t="shared" si="35"/>
        <v>130610.62999999998</v>
      </c>
      <c r="BO64" s="41">
        <f t="shared" si="36"/>
        <v>0</v>
      </c>
    </row>
    <row r="65" spans="1:67" s="127" customFormat="1" ht="14.4">
      <c r="A65" s="124"/>
      <c r="B65" s="125" t="s">
        <v>145</v>
      </c>
      <c r="C65" s="165">
        <f t="shared" si="41"/>
        <v>664.96</v>
      </c>
      <c r="D65" s="168"/>
      <c r="E65" s="174"/>
      <c r="F65" s="173"/>
      <c r="G65" s="174"/>
      <c r="H65" s="173"/>
      <c r="I65" s="174"/>
      <c r="J65" s="173"/>
      <c r="K65" s="174"/>
      <c r="L65" s="173"/>
      <c r="M65" s="174"/>
      <c r="N65" s="173"/>
      <c r="O65" s="174"/>
      <c r="P65" s="176"/>
      <c r="Q65" s="174"/>
      <c r="R65" s="186"/>
      <c r="S65" s="174"/>
      <c r="T65" s="186"/>
      <c r="U65" s="174"/>
      <c r="V65" s="169">
        <v>0.94062301542996918</v>
      </c>
      <c r="W65" s="196">
        <v>554.36</v>
      </c>
      <c r="X65" s="173"/>
      <c r="Y65" s="196">
        <v>0</v>
      </c>
      <c r="Z65" s="173"/>
      <c r="AA65" s="196">
        <v>0</v>
      </c>
      <c r="AB65" s="173"/>
      <c r="AC65" s="196">
        <v>0</v>
      </c>
      <c r="AD65" s="173"/>
      <c r="AE65" s="196">
        <v>0</v>
      </c>
      <c r="AF65" s="173"/>
      <c r="AG65" s="196">
        <v>37.479999999999997</v>
      </c>
      <c r="AH65" s="178"/>
      <c r="AI65" s="196">
        <v>0</v>
      </c>
      <c r="AJ65" s="174"/>
      <c r="AK65" s="196">
        <f>ROUND((centralizator!$R$18-1)*Gantt!AK65,2)</f>
        <v>0</v>
      </c>
      <c r="AL65" s="174"/>
      <c r="AM65" s="196">
        <f>ROUND((centralizator!$S$18-1)*Gantt!AM65,2)</f>
        <v>0</v>
      </c>
      <c r="AN65" s="174"/>
      <c r="AO65" s="196">
        <f>ROUND((centralizator!$T$18-1)*Gantt!AO65,2)</f>
        <v>0</v>
      </c>
      <c r="AP65" s="174"/>
      <c r="AQ65" s="196">
        <f>ROUND((centralizator!$U$18-1)*Gantt!AQ65,2)</f>
        <v>0</v>
      </c>
      <c r="AR65" s="174"/>
      <c r="AS65" s="196">
        <f>ROUND((centralizator!$V$18-1)*Gantt!AS65,2)</f>
        <v>0</v>
      </c>
      <c r="AT65" s="176">
        <v>3.0353948302626338E-4</v>
      </c>
      <c r="AU65" s="196">
        <f>ROUND((centralizator!$W$18-1)*Gantt!AU65,2)</f>
        <v>73.12</v>
      </c>
      <c r="AV65" s="39">
        <f t="shared" si="33"/>
        <v>0</v>
      </c>
      <c r="AW65" s="40">
        <f t="shared" si="15"/>
        <v>592.78062301543002</v>
      </c>
      <c r="AX65" s="40">
        <f t="shared" si="16"/>
        <v>73.120303539483032</v>
      </c>
      <c r="AY65" s="40">
        <f t="shared" si="17"/>
        <v>665.9009265549131</v>
      </c>
      <c r="AZ65" s="41">
        <f t="shared" si="34"/>
        <v>-0.94092655491306232</v>
      </c>
      <c r="BE65" s="40">
        <f t="shared" si="6"/>
        <v>591.84</v>
      </c>
      <c r="BF65" s="40">
        <f t="shared" si="7"/>
        <v>73.12</v>
      </c>
      <c r="BG65" s="40">
        <f t="shared" si="8"/>
        <v>112.45</v>
      </c>
      <c r="BH65" s="40">
        <f t="shared" si="9"/>
        <v>13.89</v>
      </c>
      <c r="BI65" s="40">
        <f t="shared" si="10"/>
        <v>704.29000000000008</v>
      </c>
      <c r="BJ65" s="40">
        <f t="shared" si="11"/>
        <v>87.01</v>
      </c>
      <c r="BK65" s="40">
        <f t="shared" si="12"/>
        <v>791.30000000000007</v>
      </c>
      <c r="BL65" s="41"/>
      <c r="BM65" s="41">
        <f t="shared" si="13"/>
        <v>664.96</v>
      </c>
      <c r="BN65" s="41">
        <f t="shared" si="35"/>
        <v>664.96</v>
      </c>
      <c r="BO65" s="41">
        <f t="shared" si="36"/>
        <v>0</v>
      </c>
    </row>
    <row r="66" spans="1:67" ht="14.4">
      <c r="A66" s="128">
        <v>24.16</v>
      </c>
      <c r="B66" s="129" t="s">
        <v>146</v>
      </c>
      <c r="C66" s="170">
        <f>C67+C68</f>
        <v>10035.450000000001</v>
      </c>
      <c r="D66" s="170">
        <f t="shared" ref="D66:AI66" si="42">D67+D68</f>
        <v>0.69951708451933792</v>
      </c>
      <c r="E66" s="170">
        <f t="shared" si="42"/>
        <v>0</v>
      </c>
      <c r="F66" s="170">
        <f t="shared" si="42"/>
        <v>0</v>
      </c>
      <c r="G66" s="170">
        <f t="shared" si="42"/>
        <v>0</v>
      </c>
      <c r="H66" s="170">
        <f t="shared" si="42"/>
        <v>0</v>
      </c>
      <c r="I66" s="170">
        <f t="shared" si="42"/>
        <v>0</v>
      </c>
      <c r="J66" s="170">
        <f t="shared" si="42"/>
        <v>0</v>
      </c>
      <c r="K66" s="170">
        <f t="shared" si="42"/>
        <v>0</v>
      </c>
      <c r="L66" s="170">
        <f t="shared" si="42"/>
        <v>0</v>
      </c>
      <c r="M66" s="170">
        <f t="shared" si="42"/>
        <v>0</v>
      </c>
      <c r="N66" s="170">
        <f t="shared" si="42"/>
        <v>0</v>
      </c>
      <c r="O66" s="170">
        <f t="shared" si="42"/>
        <v>0</v>
      </c>
      <c r="P66" s="170">
        <f t="shared" si="42"/>
        <v>0</v>
      </c>
      <c r="Q66" s="170">
        <f t="shared" si="42"/>
        <v>0</v>
      </c>
      <c r="R66" s="170">
        <f t="shared" si="42"/>
        <v>0</v>
      </c>
      <c r="S66" s="170">
        <f t="shared" si="42"/>
        <v>0</v>
      </c>
      <c r="T66" s="170">
        <f t="shared" si="42"/>
        <v>0</v>
      </c>
      <c r="U66" s="170">
        <f t="shared" si="42"/>
        <v>0</v>
      </c>
      <c r="V66" s="170">
        <f t="shared" si="42"/>
        <v>0</v>
      </c>
      <c r="W66" s="170">
        <f t="shared" si="42"/>
        <v>0</v>
      </c>
      <c r="X66" s="170">
        <f t="shared" si="42"/>
        <v>0</v>
      </c>
      <c r="Y66" s="170">
        <f t="shared" si="42"/>
        <v>53.48</v>
      </c>
      <c r="Z66" s="170">
        <f t="shared" si="42"/>
        <v>0</v>
      </c>
      <c r="AA66" s="170">
        <f t="shared" si="42"/>
        <v>49.86</v>
      </c>
      <c r="AB66" s="170">
        <f t="shared" si="42"/>
        <v>0</v>
      </c>
      <c r="AC66" s="170">
        <f t="shared" si="42"/>
        <v>56.45</v>
      </c>
      <c r="AD66" s="170">
        <f t="shared" si="42"/>
        <v>0</v>
      </c>
      <c r="AE66" s="170">
        <v>61.03</v>
      </c>
      <c r="AF66" s="170">
        <f t="shared" si="42"/>
        <v>0</v>
      </c>
      <c r="AG66" s="170">
        <f t="shared" si="42"/>
        <v>64.19</v>
      </c>
      <c r="AH66" s="170">
        <f t="shared" si="42"/>
        <v>0</v>
      </c>
      <c r="AI66" s="170">
        <f t="shared" si="42"/>
        <v>50.64</v>
      </c>
      <c r="AJ66" s="202"/>
      <c r="AK66" s="196">
        <f>ROUND((centralizator!$R$18-1)*Gantt!AK66,2)</f>
        <v>107.33</v>
      </c>
      <c r="AL66" s="202"/>
      <c r="AM66" s="196">
        <f>ROUND((centralizator!$S$18-1)*Gantt!AM66,2)</f>
        <v>115</v>
      </c>
      <c r="AN66" s="202"/>
      <c r="AO66" s="196">
        <f>ROUND((centralizator!$T$18-1)*Gantt!AO66,2)</f>
        <v>122.67</v>
      </c>
      <c r="AP66" s="202"/>
      <c r="AQ66" s="196">
        <f>ROUND((centralizator!$U$18-1)*Gantt!AQ66,2)</f>
        <v>130.33000000000001</v>
      </c>
      <c r="AR66" s="202"/>
      <c r="AS66" s="196">
        <f>ROUND((centralizator!$V$18-1)*Gantt!AS66,2)</f>
        <v>138</v>
      </c>
      <c r="AT66" s="201">
        <v>0.27009348027642638</v>
      </c>
      <c r="AU66" s="196">
        <f>ROUND((centralizator!$W$18-1)*Gantt!AU66,2)</f>
        <v>9086.4699999999993</v>
      </c>
      <c r="AV66" s="39">
        <f t="shared" si="33"/>
        <v>0</v>
      </c>
      <c r="AW66" s="40">
        <f t="shared" si="15"/>
        <v>336.34951708451933</v>
      </c>
      <c r="AX66" s="40">
        <f t="shared" si="16"/>
        <v>9700.0700934802753</v>
      </c>
      <c r="AY66" s="40">
        <f t="shared" si="17"/>
        <v>10036.419610564795</v>
      </c>
      <c r="AZ66" s="41">
        <f t="shared" si="34"/>
        <v>-0.96961056479449326</v>
      </c>
      <c r="BE66" s="40">
        <f t="shared" si="6"/>
        <v>335.65</v>
      </c>
      <c r="BF66" s="40">
        <f t="shared" si="7"/>
        <v>9699.7999999999993</v>
      </c>
      <c r="BG66" s="40">
        <f t="shared" si="8"/>
        <v>63.77</v>
      </c>
      <c r="BH66" s="40">
        <f t="shared" si="9"/>
        <v>1842.96</v>
      </c>
      <c r="BI66" s="40">
        <f t="shared" si="10"/>
        <v>399.41999999999996</v>
      </c>
      <c r="BJ66" s="40">
        <f t="shared" si="11"/>
        <v>11542.759999999998</v>
      </c>
      <c r="BK66" s="40">
        <f t="shared" si="12"/>
        <v>11942.179999999998</v>
      </c>
      <c r="BL66" s="41"/>
      <c r="BM66" s="41">
        <f t="shared" si="13"/>
        <v>10035.449999999999</v>
      </c>
      <c r="BN66" s="41">
        <f t="shared" si="35"/>
        <v>10035.450000000001</v>
      </c>
      <c r="BO66" s="41">
        <f t="shared" si="36"/>
        <v>0</v>
      </c>
    </row>
    <row r="67" spans="1:67" ht="14.4">
      <c r="A67" s="124" t="s">
        <v>147</v>
      </c>
      <c r="B67" s="136" t="s">
        <v>146</v>
      </c>
      <c r="C67" s="165">
        <f>E67+G67+I67+K67+M67+O67+Q67+S67+U67+W67+Y67+AA67+AC67+AE67+AG67+AI67+AK67+AM67+AO67+AQ67+AS67+AU67</f>
        <v>8800.19</v>
      </c>
      <c r="D67" s="166">
        <v>0.69951708451933792</v>
      </c>
      <c r="E67" s="187"/>
      <c r="F67" s="173"/>
      <c r="G67" s="187"/>
      <c r="H67" s="173"/>
      <c r="I67" s="188"/>
      <c r="J67" s="173"/>
      <c r="K67" s="187"/>
      <c r="L67" s="173"/>
      <c r="M67" s="187"/>
      <c r="N67" s="173"/>
      <c r="O67" s="187"/>
      <c r="P67" s="176"/>
      <c r="Q67" s="187"/>
      <c r="R67" s="186"/>
      <c r="S67" s="187"/>
      <c r="T67" s="186"/>
      <c r="U67" s="187"/>
      <c r="V67" s="171">
        <v>0</v>
      </c>
      <c r="W67" s="196">
        <v>0</v>
      </c>
      <c r="X67" s="173"/>
      <c r="Y67" s="196">
        <v>53.48</v>
      </c>
      <c r="Z67" s="173"/>
      <c r="AA67" s="196">
        <v>49.86</v>
      </c>
      <c r="AB67" s="173"/>
      <c r="AC67" s="196">
        <v>56.45</v>
      </c>
      <c r="AD67" s="173"/>
      <c r="AE67" s="196">
        <v>61.03</v>
      </c>
      <c r="AF67" s="173"/>
      <c r="AG67" s="196">
        <v>64.19</v>
      </c>
      <c r="AH67" s="173"/>
      <c r="AI67" s="196">
        <v>50.64</v>
      </c>
      <c r="AJ67" s="176">
        <v>4.49495998890251E-3</v>
      </c>
      <c r="AK67" s="196">
        <f>ROUND((centralizator!$R$18-1)*Gantt!AK67,2)</f>
        <v>107.33</v>
      </c>
      <c r="AL67" s="174">
        <v>4.49495998890251E-3</v>
      </c>
      <c r="AM67" s="196">
        <f>ROUND((centralizator!$S$18-1)*Gantt!AM67,2)</f>
        <v>115</v>
      </c>
      <c r="AN67" s="174">
        <v>4.49495998890251E-3</v>
      </c>
      <c r="AO67" s="196">
        <f>ROUND((centralizator!$T$18-1)*Gantt!AO67,2)</f>
        <v>122.67</v>
      </c>
      <c r="AP67" s="173">
        <v>4.49495998890251E-3</v>
      </c>
      <c r="AQ67" s="196">
        <f>ROUND((centralizator!$U$18-1)*Gantt!AQ67,2)</f>
        <v>130.33000000000001</v>
      </c>
      <c r="AR67" s="173">
        <v>4.49495998890251E-3</v>
      </c>
      <c r="AS67" s="196">
        <f>ROUND((centralizator!$V$18-1)*Gantt!AS67,2)</f>
        <v>138</v>
      </c>
      <c r="AT67" s="173">
        <v>0.242271298321068</v>
      </c>
      <c r="AU67" s="196">
        <f>ROUND((centralizator!$W$18-1)*Gantt!AU67,2)</f>
        <v>7851.21</v>
      </c>
      <c r="AV67" s="39">
        <f t="shared" si="33"/>
        <v>0</v>
      </c>
      <c r="AW67" s="40">
        <f t="shared" si="15"/>
        <v>336.34951708451933</v>
      </c>
      <c r="AX67" s="40">
        <f t="shared" si="16"/>
        <v>8464.8047460982652</v>
      </c>
      <c r="AY67" s="40">
        <f t="shared" si="17"/>
        <v>8801.1542631827851</v>
      </c>
      <c r="AZ67" s="41">
        <f t="shared" si="34"/>
        <v>-0.96426318278463441</v>
      </c>
      <c r="BE67" s="40">
        <f t="shared" si="6"/>
        <v>335.65</v>
      </c>
      <c r="BF67" s="40">
        <f t="shared" si="7"/>
        <v>8464.5400000000009</v>
      </c>
      <c r="BG67" s="40">
        <f t="shared" si="8"/>
        <v>63.77</v>
      </c>
      <c r="BH67" s="40">
        <f t="shared" si="9"/>
        <v>1608.26</v>
      </c>
      <c r="BI67" s="40">
        <f t="shared" si="10"/>
        <v>399.41999999999996</v>
      </c>
      <c r="BJ67" s="40">
        <f t="shared" si="11"/>
        <v>10072.800000000001</v>
      </c>
      <c r="BK67" s="40">
        <f t="shared" si="12"/>
        <v>10472.220000000001</v>
      </c>
      <c r="BL67" s="41"/>
      <c r="BM67" s="41">
        <f t="shared" si="13"/>
        <v>8800.19</v>
      </c>
      <c r="BN67" s="41">
        <f t="shared" si="35"/>
        <v>8800.19</v>
      </c>
      <c r="BO67" s="41">
        <f t="shared" si="36"/>
        <v>0</v>
      </c>
    </row>
    <row r="68" spans="1:67" ht="15" thickBot="1">
      <c r="A68" s="137" t="s">
        <v>148</v>
      </c>
      <c r="B68" s="138" t="s">
        <v>146</v>
      </c>
      <c r="C68" s="165">
        <f>E68+G68+I68+K68+M68+O68+Q68+S68+U68+W68+Y68+AA68+AC68+AE68+AG68+AI68+AK68+AM68+AO68+AQ68+AS68+AU68</f>
        <v>1235.26</v>
      </c>
      <c r="D68" s="171">
        <v>0</v>
      </c>
      <c r="E68" s="193"/>
      <c r="F68" s="176"/>
      <c r="G68" s="193"/>
      <c r="H68" s="176"/>
      <c r="I68" s="194"/>
      <c r="J68" s="176"/>
      <c r="K68" s="193"/>
      <c r="L68" s="176"/>
      <c r="M68" s="193"/>
      <c r="N68" s="176"/>
      <c r="O68" s="193"/>
      <c r="P68" s="176"/>
      <c r="Q68" s="193"/>
      <c r="R68" s="195"/>
      <c r="S68" s="193"/>
      <c r="T68" s="195"/>
      <c r="U68" s="193"/>
      <c r="V68" s="171">
        <v>0</v>
      </c>
      <c r="W68" s="196">
        <v>0</v>
      </c>
      <c r="X68" s="176"/>
      <c r="Y68" s="196"/>
      <c r="Z68" s="176"/>
      <c r="AA68" s="196"/>
      <c r="AB68" s="176"/>
      <c r="AC68" s="196">
        <v>0</v>
      </c>
      <c r="AD68" s="176"/>
      <c r="AE68" s="196">
        <v>0</v>
      </c>
      <c r="AF68" s="176"/>
      <c r="AG68" s="196">
        <v>0</v>
      </c>
      <c r="AH68" s="176"/>
      <c r="AI68" s="196">
        <v>0</v>
      </c>
      <c r="AJ68" s="203"/>
      <c r="AK68" s="196">
        <f>ROUND(centralizator!$R$18*Gantt!AK68,2)</f>
        <v>0</v>
      </c>
      <c r="AL68" s="203"/>
      <c r="AM68" s="196">
        <f>ROUND((centralizator!$S$18-1)*Gantt!AM68,2)</f>
        <v>0</v>
      </c>
      <c r="AN68" s="203"/>
      <c r="AO68" s="196">
        <f>ROUND((centralizator!$T$18-1)*Gantt!AO68,2)</f>
        <v>0</v>
      </c>
      <c r="AP68" s="203"/>
      <c r="AQ68" s="196">
        <f>ROUND((centralizator!$U$18-1)*Gantt!AQ68,2)</f>
        <v>0</v>
      </c>
      <c r="AR68" s="203"/>
      <c r="AS68" s="196">
        <f>ROUND((centralizator!$V$18-1)*Gantt!AS68,2)</f>
        <v>0</v>
      </c>
      <c r="AT68" s="176">
        <v>1</v>
      </c>
      <c r="AU68" s="196">
        <f>ROUND((centralizator!$W$18-1)*Gantt!AU68,2)</f>
        <v>1235.26</v>
      </c>
      <c r="AV68" s="39">
        <f t="shared" si="33"/>
        <v>0</v>
      </c>
      <c r="AW68" s="40">
        <f t="shared" si="15"/>
        <v>0</v>
      </c>
      <c r="AX68" s="40">
        <f t="shared" si="16"/>
        <v>1236.26</v>
      </c>
      <c r="AY68" s="40">
        <f t="shared" si="17"/>
        <v>1236.26</v>
      </c>
      <c r="AZ68" s="41">
        <f t="shared" si="34"/>
        <v>-1</v>
      </c>
      <c r="BE68" s="40">
        <f t="shared" si="6"/>
        <v>0</v>
      </c>
      <c r="BF68" s="40">
        <f t="shared" si="7"/>
        <v>1235.26</v>
      </c>
      <c r="BG68" s="40">
        <f t="shared" si="8"/>
        <v>0</v>
      </c>
      <c r="BH68" s="40">
        <f t="shared" si="9"/>
        <v>234.7</v>
      </c>
      <c r="BI68" s="40">
        <f t="shared" si="10"/>
        <v>0</v>
      </c>
      <c r="BJ68" s="40">
        <f t="shared" si="11"/>
        <v>1469.96</v>
      </c>
      <c r="BK68" s="40">
        <f t="shared" si="12"/>
        <v>1469.96</v>
      </c>
      <c r="BL68" s="41"/>
      <c r="BM68" s="41">
        <f t="shared" si="13"/>
        <v>1235.26</v>
      </c>
      <c r="BN68" s="41">
        <f t="shared" si="35"/>
        <v>1235.26</v>
      </c>
      <c r="BO68" s="41">
        <f t="shared" si="36"/>
        <v>0</v>
      </c>
    </row>
    <row r="69" spans="1:67" ht="15" thickBot="1">
      <c r="A69" s="145"/>
      <c r="B69" s="146" t="s">
        <v>149</v>
      </c>
      <c r="C69" s="147">
        <f>C11+C14+C16+C19+C22+C25+C32+C39+C46+C56+C58+C59+C60+C61+C62+C63+C64+C65+C66</f>
        <v>10308827.74</v>
      </c>
      <c r="D69" s="147">
        <f t="shared" ref="D69:BK69" si="43">D11+D14+D16+D19+D22+D25+D32+D39+D46+D56+D58+D59+D60+D61+D62+D63+D64+D65+D66</f>
        <v>1.0833062085011216</v>
      </c>
      <c r="E69" s="147">
        <f t="shared" si="43"/>
        <v>0</v>
      </c>
      <c r="F69" s="147">
        <f t="shared" si="43"/>
        <v>0</v>
      </c>
      <c r="G69" s="147">
        <f t="shared" si="43"/>
        <v>0</v>
      </c>
      <c r="H69" s="147">
        <f t="shared" si="43"/>
        <v>0</v>
      </c>
      <c r="I69" s="147">
        <f t="shared" si="43"/>
        <v>0</v>
      </c>
      <c r="J69" s="147">
        <f t="shared" si="43"/>
        <v>0</v>
      </c>
      <c r="K69" s="147">
        <f t="shared" si="43"/>
        <v>0</v>
      </c>
      <c r="L69" s="147">
        <f t="shared" si="43"/>
        <v>0</v>
      </c>
      <c r="M69" s="147">
        <f t="shared" si="43"/>
        <v>0</v>
      </c>
      <c r="N69" s="147">
        <f t="shared" si="43"/>
        <v>0</v>
      </c>
      <c r="O69" s="147">
        <f t="shared" si="43"/>
        <v>0</v>
      </c>
      <c r="P69" s="147">
        <f t="shared" si="43"/>
        <v>0</v>
      </c>
      <c r="Q69" s="147">
        <f t="shared" si="43"/>
        <v>0</v>
      </c>
      <c r="R69" s="147">
        <f t="shared" si="43"/>
        <v>0</v>
      </c>
      <c r="S69" s="147">
        <f t="shared" si="43"/>
        <v>0</v>
      </c>
      <c r="T69" s="147">
        <f t="shared" si="43"/>
        <v>0</v>
      </c>
      <c r="U69" s="147">
        <f t="shared" si="43"/>
        <v>0</v>
      </c>
      <c r="V69" s="147">
        <f t="shared" si="43"/>
        <v>3.9282108037097152</v>
      </c>
      <c r="W69" s="204">
        <f t="shared" si="43"/>
        <v>347488.1</v>
      </c>
      <c r="X69" s="204">
        <f t="shared" si="43"/>
        <v>0</v>
      </c>
      <c r="Y69" s="209">
        <f t="shared" si="43"/>
        <v>440545.13999999996</v>
      </c>
      <c r="Z69" s="204">
        <f t="shared" si="43"/>
        <v>0</v>
      </c>
      <c r="AA69" s="204">
        <f t="shared" si="43"/>
        <v>827777.50999999989</v>
      </c>
      <c r="AB69" s="204">
        <f t="shared" si="43"/>
        <v>0</v>
      </c>
      <c r="AC69" s="204">
        <f t="shared" si="43"/>
        <v>342619.55</v>
      </c>
      <c r="AD69" s="204">
        <f t="shared" si="43"/>
        <v>0</v>
      </c>
      <c r="AE69" s="204">
        <f t="shared" ref="AE69" si="44">AE11+AE14+AE16+AE19+AE22+AE25+AE32+AE39+AE46+AE56+AE58+AE59+AE60+AE61+AE62+AE63+AE64+AE65+AE66</f>
        <v>492504.81000000006</v>
      </c>
      <c r="AF69" s="204">
        <f t="shared" si="43"/>
        <v>0</v>
      </c>
      <c r="AG69" s="204">
        <f t="shared" si="43"/>
        <v>262518.62</v>
      </c>
      <c r="AH69" s="204">
        <f t="shared" si="43"/>
        <v>0</v>
      </c>
      <c r="AI69" s="204">
        <f t="shared" si="43"/>
        <v>251891.22000000003</v>
      </c>
      <c r="AJ69" s="204">
        <f t="shared" si="43"/>
        <v>1.2351949851553168</v>
      </c>
      <c r="AK69" s="204">
        <f>AK11+AK14+AK16+AK19+AK22+AK25+AK32+AK39+AK46+AK56+AK58+AK59+AK60+AK61+AK62+AK63+AK64+AK65+AK66</f>
        <v>1290717.7</v>
      </c>
      <c r="AL69" s="204">
        <f t="shared" si="43"/>
        <v>1.7945299054244603</v>
      </c>
      <c r="AM69" s="204">
        <f t="shared" si="43"/>
        <v>2179549.27</v>
      </c>
      <c r="AN69" s="204">
        <f t="shared" si="43"/>
        <v>0.51909528404024052</v>
      </c>
      <c r="AO69" s="204">
        <f t="shared" si="43"/>
        <v>2178752.3999999994</v>
      </c>
      <c r="AP69" s="204">
        <f t="shared" si="43"/>
        <v>5.840408341036514E-2</v>
      </c>
      <c r="AQ69" s="204">
        <f t="shared" si="43"/>
        <v>701754.12999999989</v>
      </c>
      <c r="AR69" s="204">
        <f t="shared" si="43"/>
        <v>0</v>
      </c>
      <c r="AS69" s="204">
        <f t="shared" si="43"/>
        <v>593062.54</v>
      </c>
      <c r="AT69" s="204">
        <f t="shared" si="43"/>
        <v>0.96552767323823607</v>
      </c>
      <c r="AU69" s="301">
        <f t="shared" si="43"/>
        <v>399646.77999999991</v>
      </c>
      <c r="AV69" s="301">
        <f t="shared" si="43"/>
        <v>-2.9999998747371137E-2</v>
      </c>
      <c r="AW69" s="301">
        <f t="shared" si="43"/>
        <v>2965349.9615170122</v>
      </c>
      <c r="AX69" s="301">
        <f t="shared" si="43"/>
        <v>7343487.3927519294</v>
      </c>
      <c r="AY69" s="301">
        <f t="shared" si="43"/>
        <v>10308837.354268944</v>
      </c>
      <c r="AZ69" s="301">
        <f t="shared" si="43"/>
        <v>-9.6142689424325312</v>
      </c>
      <c r="BA69" s="301">
        <f t="shared" si="43"/>
        <v>0</v>
      </c>
      <c r="BB69" s="301">
        <f t="shared" si="43"/>
        <v>0</v>
      </c>
      <c r="BC69" s="301">
        <f t="shared" si="43"/>
        <v>0</v>
      </c>
      <c r="BD69" s="301">
        <f t="shared" si="43"/>
        <v>0</v>
      </c>
      <c r="BE69" s="301">
        <f t="shared" si="43"/>
        <v>2965344.9499999993</v>
      </c>
      <c r="BF69" s="301">
        <f t="shared" si="43"/>
        <v>7343482.8199999984</v>
      </c>
      <c r="BG69" s="301">
        <f t="shared" si="43"/>
        <v>563415.55000000005</v>
      </c>
      <c r="BH69" s="301">
        <f t="shared" si="43"/>
        <v>1395261.73</v>
      </c>
      <c r="BI69" s="301">
        <f t="shared" si="43"/>
        <v>3528760.4999999995</v>
      </c>
      <c r="BJ69" s="301">
        <f t="shared" si="43"/>
        <v>8738744.5500000007</v>
      </c>
      <c r="BK69" s="301">
        <f t="shared" si="43"/>
        <v>12267505.049999999</v>
      </c>
      <c r="BL69" s="41"/>
      <c r="BM69" s="41">
        <f t="shared" si="13"/>
        <v>10308827.769999998</v>
      </c>
      <c r="BN69" s="41">
        <f t="shared" si="35"/>
        <v>10308827.77</v>
      </c>
      <c r="BO69" s="41">
        <f t="shared" si="36"/>
        <v>2.9999999329447746E-2</v>
      </c>
    </row>
    <row r="70" spans="1:67" ht="15" hidden="1" thickBot="1">
      <c r="D70" s="779">
        <f>E69+G69+I69</f>
        <v>0</v>
      </c>
      <c r="E70" s="779"/>
      <c r="F70" s="779"/>
      <c r="G70" s="779"/>
      <c r="H70" s="779"/>
      <c r="I70" s="779"/>
      <c r="J70" s="780">
        <f>K69+M69</f>
        <v>0</v>
      </c>
      <c r="K70" s="781"/>
      <c r="L70" s="781"/>
      <c r="M70" s="782"/>
      <c r="N70" s="154"/>
      <c r="O70" s="155"/>
      <c r="P70" s="783">
        <f>Q69+S69+U69</f>
        <v>0</v>
      </c>
      <c r="Q70" s="783"/>
      <c r="R70" s="783"/>
      <c r="S70" s="783"/>
      <c r="T70" s="783"/>
      <c r="U70" s="783"/>
      <c r="W70" s="205"/>
      <c r="X70" s="205"/>
      <c r="Y70" s="205"/>
      <c r="Z70" s="205"/>
      <c r="AA70" s="205"/>
      <c r="AB70" s="205"/>
      <c r="AC70" s="205"/>
      <c r="AD70" s="205"/>
      <c r="AE70" s="205"/>
      <c r="AF70" s="205"/>
      <c r="AG70" s="205"/>
      <c r="AH70" s="205"/>
      <c r="AI70" s="205"/>
      <c r="AJ70" s="205"/>
      <c r="AK70" s="206">
        <f>ROUND(centralizator!$R$18*Gantt!AK70,2)</f>
        <v>0</v>
      </c>
      <c r="AL70" s="205"/>
      <c r="AM70" s="205"/>
      <c r="AN70" s="205"/>
      <c r="AO70" s="205"/>
      <c r="AP70" s="205"/>
      <c r="AQ70" s="206">
        <f>ROUND(centralizator!$W$18*Gantt!AQ70,2)</f>
        <v>0</v>
      </c>
      <c r="AR70" s="205"/>
      <c r="AS70" s="206">
        <f>ROUND(centralizator!$V$18*Gantt!AS70,2)</f>
        <v>0</v>
      </c>
      <c r="AT70" s="205"/>
      <c r="AU70" s="206">
        <f>ROUND(centralizator!$W$18*Gantt!AU70,2)</f>
        <v>0</v>
      </c>
    </row>
    <row r="71" spans="1:67">
      <c r="W71" s="207">
        <v>347488.1</v>
      </c>
      <c r="X71" s="207"/>
      <c r="Y71" s="207">
        <v>440545.12</v>
      </c>
      <c r="Z71" s="207"/>
      <c r="AA71" s="207">
        <v>827777.51</v>
      </c>
      <c r="AB71" s="207"/>
      <c r="AC71" s="207">
        <v>342619.55</v>
      </c>
      <c r="AD71" s="207"/>
      <c r="AE71" s="207">
        <v>492504.81</v>
      </c>
      <c r="AF71" s="207"/>
      <c r="AG71" s="207">
        <v>262518.62</v>
      </c>
      <c r="AH71" s="207"/>
      <c r="AI71" s="207">
        <v>251891.22</v>
      </c>
      <c r="AJ71" s="205"/>
      <c r="AK71" s="205">
        <v>1290717.71</v>
      </c>
      <c r="AL71" s="205"/>
      <c r="AM71" s="205">
        <v>2179549.2599999998</v>
      </c>
      <c r="AN71" s="205"/>
      <c r="AO71" s="205">
        <v>2178752.4</v>
      </c>
      <c r="AP71" s="205"/>
      <c r="AQ71" s="205">
        <v>701754.12</v>
      </c>
      <c r="AR71" s="205"/>
      <c r="AS71" s="205">
        <v>593062.54</v>
      </c>
      <c r="AT71" s="205"/>
      <c r="AU71" s="205">
        <v>399646.77</v>
      </c>
    </row>
    <row r="72" spans="1:67">
      <c r="C72" s="18">
        <v>77989284.559999987</v>
      </c>
      <c r="W72" s="41">
        <f t="shared" ref="W72:AT72" si="45">W71-W69</f>
        <v>0</v>
      </c>
      <c r="X72" s="41">
        <f t="shared" si="45"/>
        <v>0</v>
      </c>
      <c r="Y72" s="41">
        <f t="shared" si="45"/>
        <v>-1.9999999960418791E-2</v>
      </c>
      <c r="Z72" s="41">
        <f t="shared" si="45"/>
        <v>0</v>
      </c>
      <c r="AA72" s="41">
        <f t="shared" si="45"/>
        <v>0</v>
      </c>
      <c r="AB72" s="41">
        <f t="shared" si="45"/>
        <v>0</v>
      </c>
      <c r="AC72" s="41">
        <f t="shared" si="45"/>
        <v>0</v>
      </c>
      <c r="AD72" s="41">
        <f t="shared" si="45"/>
        <v>0</v>
      </c>
      <c r="AE72" s="41">
        <f t="shared" si="45"/>
        <v>0</v>
      </c>
      <c r="AF72" s="41">
        <f t="shared" si="45"/>
        <v>0</v>
      </c>
      <c r="AG72" s="41">
        <f t="shared" si="45"/>
        <v>0</v>
      </c>
      <c r="AH72" s="41">
        <f t="shared" si="45"/>
        <v>0</v>
      </c>
      <c r="AI72" s="41">
        <f t="shared" si="45"/>
        <v>0</v>
      </c>
      <c r="AJ72" s="41">
        <f t="shared" si="45"/>
        <v>-1.2351949851553168</v>
      </c>
      <c r="AK72" s="41">
        <f t="shared" si="45"/>
        <v>1.0000000009313226E-2</v>
      </c>
      <c r="AL72" s="41">
        <f t="shared" si="45"/>
        <v>-1.7945299054244603</v>
      </c>
      <c r="AM72" s="41">
        <f t="shared" si="45"/>
        <v>-1.0000000242143869E-2</v>
      </c>
      <c r="AN72" s="41">
        <f t="shared" si="45"/>
        <v>-0.51909528404024052</v>
      </c>
      <c r="AO72" s="41">
        <f t="shared" si="45"/>
        <v>0</v>
      </c>
      <c r="AP72" s="41">
        <f t="shared" si="45"/>
        <v>-5.840408341036514E-2</v>
      </c>
      <c r="AQ72" s="41">
        <f t="shared" si="45"/>
        <v>-9.9999998928979039E-3</v>
      </c>
      <c r="AR72" s="41">
        <f t="shared" si="45"/>
        <v>0</v>
      </c>
      <c r="AS72" s="41">
        <f t="shared" si="45"/>
        <v>0</v>
      </c>
      <c r="AT72" s="41">
        <f t="shared" si="45"/>
        <v>-0.96552767323823607</v>
      </c>
      <c r="AU72" s="41">
        <f>AU71-AU69</f>
        <v>-9.9999998928979039E-3</v>
      </c>
    </row>
    <row r="73" spans="1:67">
      <c r="A73" s="18" t="s">
        <v>154</v>
      </c>
      <c r="B73" s="41"/>
      <c r="U73" s="41" t="e">
        <f>#REF!-#REF!</f>
        <v>#REF!</v>
      </c>
      <c r="AI73" s="41">
        <f>AI67+AI60+AI58+AI44+AI34+AI30+AI28+AI20</f>
        <v>215497.31</v>
      </c>
    </row>
    <row r="74" spans="1:67">
      <c r="A74" s="18" t="s">
        <v>155</v>
      </c>
      <c r="AI74" s="41">
        <f>AI61+AI45+AI36+AI31+AI29</f>
        <v>36393.909999999996</v>
      </c>
    </row>
    <row r="75" spans="1:67">
      <c r="AI75" s="41">
        <f>AI73+AI74</f>
        <v>251891.22</v>
      </c>
    </row>
    <row r="76" spans="1:67">
      <c r="AI76" s="41">
        <f>AI71-AI75</f>
        <v>0</v>
      </c>
    </row>
  </sheetData>
  <mergeCells count="47">
    <mergeCell ref="T8:U8"/>
    <mergeCell ref="V8:W8"/>
    <mergeCell ref="X8:Y8"/>
    <mergeCell ref="Z8:AA8"/>
    <mergeCell ref="D8:E8"/>
    <mergeCell ref="F8:G8"/>
    <mergeCell ref="H8:I8"/>
    <mergeCell ref="J8:K8"/>
    <mergeCell ref="L8:M8"/>
    <mergeCell ref="N8:O8"/>
    <mergeCell ref="AR8:AS8"/>
    <mergeCell ref="AT8:AU8"/>
    <mergeCell ref="D9:E9"/>
    <mergeCell ref="F9:G9"/>
    <mergeCell ref="H9:I9"/>
    <mergeCell ref="J9:K9"/>
    <mergeCell ref="L9:M9"/>
    <mergeCell ref="N9:O9"/>
    <mergeCell ref="AB8:AC8"/>
    <mergeCell ref="AD8:AE8"/>
    <mergeCell ref="AF8:AG8"/>
    <mergeCell ref="AH8:AI8"/>
    <mergeCell ref="AJ8:AK8"/>
    <mergeCell ref="AL8:AM8"/>
    <mergeCell ref="P8:Q8"/>
    <mergeCell ref="R8:S8"/>
    <mergeCell ref="Z9:AA9"/>
    <mergeCell ref="AN8:AO8"/>
    <mergeCell ref="AP8:AQ8"/>
    <mergeCell ref="AN9:AO9"/>
    <mergeCell ref="AP9:AQ9"/>
    <mergeCell ref="AR9:AS9"/>
    <mergeCell ref="AT9:AU9"/>
    <mergeCell ref="D70:I70"/>
    <mergeCell ref="J70:M70"/>
    <mergeCell ref="P70:U70"/>
    <mergeCell ref="AB9:AC9"/>
    <mergeCell ref="AD9:AE9"/>
    <mergeCell ref="AF9:AG9"/>
    <mergeCell ref="AH9:AI9"/>
    <mergeCell ref="AJ9:AK9"/>
    <mergeCell ref="AL9:AM9"/>
    <mergeCell ref="P9:Q9"/>
    <mergeCell ref="R9:S9"/>
    <mergeCell ref="T9:U9"/>
    <mergeCell ref="V9:W9"/>
    <mergeCell ref="X9:Y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Z75"/>
  <sheetViews>
    <sheetView topLeftCell="Z43" workbookViewId="0">
      <selection activeCell="AJ72" sqref="AJ72"/>
    </sheetView>
  </sheetViews>
  <sheetFormatPr defaultColWidth="9.109375" defaultRowHeight="13.2"/>
  <cols>
    <col min="1" max="1" width="9.6640625" style="18" customWidth="1"/>
    <col min="2" max="2" width="39.44140625" style="18" customWidth="1"/>
    <col min="3" max="3" width="15" style="18" customWidth="1"/>
    <col min="4" max="4" width="9.109375" style="18" customWidth="1"/>
    <col min="5" max="5" width="9.33203125" style="18" customWidth="1"/>
    <col min="6" max="6" width="9.109375" style="18" customWidth="1"/>
    <col min="7" max="7" width="11.33203125" style="18" customWidth="1"/>
    <col min="8" max="8" width="9.109375" style="18" customWidth="1"/>
    <col min="9" max="9" width="10.109375" style="18" customWidth="1"/>
    <col min="10" max="10" width="8" style="18" customWidth="1"/>
    <col min="11" max="11" width="11.44140625" style="18" customWidth="1"/>
    <col min="12" max="12" width="7.88671875" style="18" customWidth="1"/>
    <col min="13" max="13" width="11.5546875" style="18" customWidth="1"/>
    <col min="14" max="14" width="9.109375" style="18" customWidth="1"/>
    <col min="15" max="15" width="11.109375" style="18" customWidth="1"/>
    <col min="16" max="16" width="9.109375" style="18" customWidth="1"/>
    <col min="17" max="17" width="14.5546875" style="18" customWidth="1"/>
    <col min="18" max="18" width="9.109375" style="18" customWidth="1"/>
    <col min="19" max="19" width="10.6640625" style="18" customWidth="1"/>
    <col min="20" max="20" width="9.109375" style="18" customWidth="1"/>
    <col min="21" max="21" width="11.109375" style="18" customWidth="1"/>
    <col min="22" max="22" width="9.109375" style="18"/>
    <col min="23" max="23" width="11.33203125" style="18" customWidth="1"/>
    <col min="24" max="24" width="7.5546875" style="18" customWidth="1"/>
    <col min="25" max="25" width="10.33203125" style="18" customWidth="1"/>
    <col min="26" max="26" width="6.88671875" style="18" customWidth="1"/>
    <col min="27" max="27" width="11.109375" style="18" customWidth="1"/>
    <col min="28" max="28" width="7.6640625" style="18" customWidth="1"/>
    <col min="29" max="29" width="11.44140625" style="18" customWidth="1"/>
    <col min="30" max="30" width="6.44140625" style="18" customWidth="1"/>
    <col min="31" max="31" width="10.109375" style="18" customWidth="1"/>
    <col min="32" max="32" width="8.5546875" style="18" customWidth="1"/>
    <col min="33" max="33" width="10" style="18" customWidth="1"/>
    <col min="34" max="34" width="5.88671875" style="18" customWidth="1"/>
    <col min="35" max="35" width="17.5546875" style="18" customWidth="1"/>
    <col min="36" max="36" width="7.33203125" style="18" customWidth="1"/>
    <col min="37" max="37" width="11" style="18" customWidth="1"/>
    <col min="38" max="38" width="6.33203125" style="18" customWidth="1"/>
    <col min="39" max="39" width="11.44140625" style="18" customWidth="1"/>
    <col min="40" max="40" width="6.6640625" style="18" customWidth="1"/>
    <col min="41" max="41" width="10.5546875" style="18" customWidth="1"/>
    <col min="42" max="42" width="6.5546875" style="18" customWidth="1"/>
    <col min="43" max="43" width="11.109375" style="18" customWidth="1"/>
    <col min="44" max="44" width="6.33203125" style="18" customWidth="1"/>
    <col min="45" max="45" width="10.33203125" style="18" customWidth="1"/>
    <col min="46" max="46" width="7.44140625" style="18" customWidth="1"/>
    <col min="47" max="47" width="14" style="18" customWidth="1"/>
    <col min="48" max="48" width="14" style="18" hidden="1" customWidth="1"/>
    <col min="49" max="49" width="14" style="18" customWidth="1"/>
    <col min="50" max="51" width="11.33203125" style="18" customWidth="1"/>
    <col min="52" max="16384" width="9.109375" style="18"/>
  </cols>
  <sheetData>
    <row r="1" spans="1:52">
      <c r="A1" s="17" t="s">
        <v>19</v>
      </c>
      <c r="B1" s="18" t="s">
        <v>20</v>
      </c>
    </row>
    <row r="2" spans="1:52">
      <c r="A2" s="17" t="s">
        <v>21</v>
      </c>
      <c r="B2" s="18" t="s">
        <v>22</v>
      </c>
    </row>
    <row r="3" spans="1:52">
      <c r="A3" s="17" t="s">
        <v>23</v>
      </c>
      <c r="B3" s="18" t="s">
        <v>24</v>
      </c>
    </row>
    <row r="4" spans="1:52">
      <c r="A4" s="17" t="s">
        <v>25</v>
      </c>
      <c r="B4" s="18" t="s">
        <v>26</v>
      </c>
    </row>
    <row r="6" spans="1:52" ht="13.8">
      <c r="D6" s="19" t="s">
        <v>27</v>
      </c>
    </row>
    <row r="8" spans="1:52" ht="39.6">
      <c r="A8" s="20" t="s">
        <v>28</v>
      </c>
      <c r="B8" s="20" t="s">
        <v>29</v>
      </c>
      <c r="C8" s="21" t="s">
        <v>30</v>
      </c>
      <c r="D8" s="784" t="s">
        <v>31</v>
      </c>
      <c r="E8" s="785"/>
      <c r="F8" s="784" t="s">
        <v>32</v>
      </c>
      <c r="G8" s="785"/>
      <c r="H8" s="784" t="s">
        <v>33</v>
      </c>
      <c r="I8" s="785"/>
      <c r="J8" s="784" t="s">
        <v>34</v>
      </c>
      <c r="K8" s="785"/>
      <c r="L8" s="784" t="s">
        <v>35</v>
      </c>
      <c r="M8" s="785"/>
      <c r="N8" s="784" t="s">
        <v>36</v>
      </c>
      <c r="O8" s="785"/>
      <c r="P8" s="784" t="s">
        <v>37</v>
      </c>
      <c r="Q8" s="785"/>
      <c r="R8" s="784" t="s">
        <v>38</v>
      </c>
      <c r="S8" s="785"/>
      <c r="T8" s="784" t="s">
        <v>39</v>
      </c>
      <c r="U8" s="785"/>
      <c r="V8" s="784" t="s">
        <v>40</v>
      </c>
      <c r="W8" s="785"/>
      <c r="X8" s="784" t="s">
        <v>41</v>
      </c>
      <c r="Y8" s="785"/>
      <c r="Z8" s="784" t="s">
        <v>42</v>
      </c>
      <c r="AA8" s="785"/>
      <c r="AB8" s="784" t="s">
        <v>43</v>
      </c>
      <c r="AC8" s="785"/>
      <c r="AD8" s="784" t="s">
        <v>44</v>
      </c>
      <c r="AE8" s="785"/>
      <c r="AF8" s="784" t="s">
        <v>45</v>
      </c>
      <c r="AG8" s="785"/>
      <c r="AH8" s="786" t="s">
        <v>46</v>
      </c>
      <c r="AI8" s="787"/>
      <c r="AJ8" s="786" t="s">
        <v>47</v>
      </c>
      <c r="AK8" s="787"/>
      <c r="AL8" s="786" t="s">
        <v>48</v>
      </c>
      <c r="AM8" s="787"/>
      <c r="AN8" s="786" t="s">
        <v>49</v>
      </c>
      <c r="AO8" s="787"/>
      <c r="AP8" s="786" t="s">
        <v>50</v>
      </c>
      <c r="AQ8" s="787"/>
      <c r="AR8" s="786" t="s">
        <v>51</v>
      </c>
      <c r="AS8" s="787"/>
      <c r="AT8" s="786" t="s">
        <v>52</v>
      </c>
      <c r="AU8" s="787"/>
      <c r="AW8" s="22" t="s">
        <v>53</v>
      </c>
      <c r="AX8" s="22" t="s">
        <v>54</v>
      </c>
      <c r="AY8" s="22" t="s">
        <v>55</v>
      </c>
    </row>
    <row r="9" spans="1:52" ht="13.8">
      <c r="A9" s="20"/>
      <c r="B9" s="20"/>
      <c r="C9" s="21"/>
      <c r="D9" s="784" t="s">
        <v>56</v>
      </c>
      <c r="E9" s="785"/>
      <c r="F9" s="784" t="s">
        <v>57</v>
      </c>
      <c r="G9" s="785"/>
      <c r="H9" s="784" t="s">
        <v>58</v>
      </c>
      <c r="I9" s="788"/>
      <c r="J9" s="784" t="s">
        <v>59</v>
      </c>
      <c r="K9" s="785"/>
      <c r="L9" s="784" t="s">
        <v>60</v>
      </c>
      <c r="M9" s="785"/>
      <c r="N9" s="784" t="s">
        <v>61</v>
      </c>
      <c r="O9" s="785"/>
      <c r="P9" s="784" t="s">
        <v>62</v>
      </c>
      <c r="Q9" s="785"/>
      <c r="R9" s="784" t="s">
        <v>63</v>
      </c>
      <c r="S9" s="785"/>
      <c r="T9" s="784" t="s">
        <v>64</v>
      </c>
      <c r="U9" s="785"/>
      <c r="V9" s="784" t="s">
        <v>65</v>
      </c>
      <c r="W9" s="785"/>
      <c r="X9" s="784" t="s">
        <v>57</v>
      </c>
      <c r="Y9" s="785"/>
      <c r="Z9" s="784" t="s">
        <v>58</v>
      </c>
      <c r="AA9" s="785"/>
      <c r="AB9" s="784" t="s">
        <v>59</v>
      </c>
      <c r="AC9" s="785"/>
      <c r="AD9" s="784" t="s">
        <v>60</v>
      </c>
      <c r="AE9" s="785"/>
      <c r="AF9" s="784" t="s">
        <v>61</v>
      </c>
      <c r="AG9" s="785"/>
      <c r="AH9" s="784" t="s">
        <v>66</v>
      </c>
      <c r="AI9" s="785"/>
      <c r="AJ9" s="776" t="s">
        <v>67</v>
      </c>
      <c r="AK9" s="777"/>
      <c r="AL9" s="776" t="s">
        <v>68</v>
      </c>
      <c r="AM9" s="777"/>
      <c r="AN9" s="776" t="s">
        <v>65</v>
      </c>
      <c r="AO9" s="777"/>
      <c r="AP9" s="776" t="s">
        <v>57</v>
      </c>
      <c r="AQ9" s="777"/>
      <c r="AR9" s="776" t="s">
        <v>58</v>
      </c>
      <c r="AS9" s="777"/>
      <c r="AT9" s="776" t="s">
        <v>59</v>
      </c>
      <c r="AU9" s="778"/>
      <c r="AW9" s="23"/>
      <c r="AX9" s="23"/>
      <c r="AY9" s="23"/>
    </row>
    <row r="10" spans="1:52" ht="13.8">
      <c r="A10" s="24"/>
      <c r="B10" s="24"/>
      <c r="C10" s="25"/>
      <c r="D10" s="26" t="s">
        <v>69</v>
      </c>
      <c r="E10" s="27" t="s">
        <v>70</v>
      </c>
      <c r="F10" s="26" t="s">
        <v>69</v>
      </c>
      <c r="G10" s="27" t="s">
        <v>70</v>
      </c>
      <c r="H10" s="26" t="s">
        <v>69</v>
      </c>
      <c r="I10" s="28" t="s">
        <v>70</v>
      </c>
      <c r="J10" s="26" t="s">
        <v>69</v>
      </c>
      <c r="K10" s="27" t="s">
        <v>70</v>
      </c>
      <c r="L10" s="26" t="s">
        <v>69</v>
      </c>
      <c r="M10" s="27" t="s">
        <v>70</v>
      </c>
      <c r="N10" s="26" t="s">
        <v>69</v>
      </c>
      <c r="O10" s="27" t="s">
        <v>70</v>
      </c>
      <c r="P10" s="26" t="s">
        <v>69</v>
      </c>
      <c r="Q10" s="27" t="s">
        <v>70</v>
      </c>
      <c r="R10" s="26" t="s">
        <v>69</v>
      </c>
      <c r="S10" s="27" t="s">
        <v>70</v>
      </c>
      <c r="T10" s="26" t="s">
        <v>69</v>
      </c>
      <c r="U10" s="27" t="s">
        <v>70</v>
      </c>
      <c r="V10" s="26" t="s">
        <v>69</v>
      </c>
      <c r="W10" s="27" t="s">
        <v>70</v>
      </c>
      <c r="X10" s="26" t="s">
        <v>69</v>
      </c>
      <c r="Y10" s="27" t="s">
        <v>70</v>
      </c>
      <c r="Z10" s="26" t="s">
        <v>69</v>
      </c>
      <c r="AA10" s="27" t="s">
        <v>70</v>
      </c>
      <c r="AB10" s="26" t="s">
        <v>69</v>
      </c>
      <c r="AC10" s="27" t="s">
        <v>70</v>
      </c>
      <c r="AD10" s="26" t="s">
        <v>69</v>
      </c>
      <c r="AE10" s="27" t="s">
        <v>70</v>
      </c>
      <c r="AF10" s="26" t="s">
        <v>69</v>
      </c>
      <c r="AG10" s="27" t="s">
        <v>70</v>
      </c>
      <c r="AH10" s="26" t="s">
        <v>69</v>
      </c>
      <c r="AI10" s="27" t="s">
        <v>70</v>
      </c>
      <c r="AJ10" s="26" t="s">
        <v>69</v>
      </c>
      <c r="AK10" s="27" t="s">
        <v>70</v>
      </c>
      <c r="AL10" s="26" t="s">
        <v>69</v>
      </c>
      <c r="AM10" s="27" t="s">
        <v>70</v>
      </c>
      <c r="AN10" s="26" t="s">
        <v>69</v>
      </c>
      <c r="AO10" s="27" t="s">
        <v>70</v>
      </c>
      <c r="AP10" s="26" t="s">
        <v>69</v>
      </c>
      <c r="AQ10" s="27" t="s">
        <v>70</v>
      </c>
      <c r="AR10" s="26" t="s">
        <v>69</v>
      </c>
      <c r="AS10" s="27" t="s">
        <v>70</v>
      </c>
      <c r="AT10" s="26" t="s">
        <v>69</v>
      </c>
      <c r="AU10" s="29" t="s">
        <v>70</v>
      </c>
      <c r="AW10" s="23"/>
      <c r="AX10" s="23"/>
      <c r="AY10" s="23"/>
    </row>
    <row r="11" spans="1:52" ht="14.4">
      <c r="A11" s="30">
        <v>24.2</v>
      </c>
      <c r="B11" s="31" t="s">
        <v>71</v>
      </c>
      <c r="C11" s="32">
        <f>SUM(C12:C13)</f>
        <v>1622032.33</v>
      </c>
      <c r="D11" s="33">
        <v>4.6625821570399892E-2</v>
      </c>
      <c r="E11" s="34">
        <v>75628.59</v>
      </c>
      <c r="F11" s="33">
        <v>4.0553575155928001E-2</v>
      </c>
      <c r="G11" s="34">
        <v>65779.210000000006</v>
      </c>
      <c r="H11" s="33">
        <v>9.4694844954169313E-2</v>
      </c>
      <c r="I11" s="34">
        <v>153598.1</v>
      </c>
      <c r="J11" s="33">
        <v>5.0190312791114342E-2</v>
      </c>
      <c r="K11" s="34">
        <v>81410.31</v>
      </c>
      <c r="L11" s="33">
        <v>5.3015065365559014E-2</v>
      </c>
      <c r="M11" s="34">
        <v>85992.15</v>
      </c>
      <c r="N11" s="33">
        <v>3.4070726568070316E-2</v>
      </c>
      <c r="O11" s="34">
        <v>55263.82</v>
      </c>
      <c r="P11" s="35">
        <v>4.0427850164984069E-2</v>
      </c>
      <c r="Q11" s="34">
        <v>65575.28</v>
      </c>
      <c r="R11" s="36">
        <v>5.6084011593036498E-2</v>
      </c>
      <c r="S11" s="34">
        <v>90970.08</v>
      </c>
      <c r="T11" s="36">
        <v>8.4804413238791607E-2</v>
      </c>
      <c r="U11" s="34">
        <v>137555.5</v>
      </c>
      <c r="V11" s="35">
        <v>0.15318364807747081</v>
      </c>
      <c r="W11" s="34">
        <v>248468.82960900001</v>
      </c>
      <c r="X11" s="33">
        <v>0.21216836658243424</v>
      </c>
      <c r="Y11" s="34">
        <v>344143.94999999995</v>
      </c>
      <c r="Z11" s="33">
        <v>4.8125927305037126E-2</v>
      </c>
      <c r="AA11" s="34">
        <v>78061.81</v>
      </c>
      <c r="AB11" s="33">
        <v>1.0872884389425208E-2</v>
      </c>
      <c r="AC11" s="34">
        <v>17636.169999999998</v>
      </c>
      <c r="AD11" s="33">
        <v>0</v>
      </c>
      <c r="AE11" s="34">
        <v>0</v>
      </c>
      <c r="AF11" s="33">
        <v>0</v>
      </c>
      <c r="AG11" s="34">
        <v>0</v>
      </c>
      <c r="AH11" s="33">
        <v>0</v>
      </c>
      <c r="AI11" s="37">
        <v>0</v>
      </c>
      <c r="AJ11" s="38"/>
      <c r="AK11" s="37">
        <f>ROUND(Gantt!AK11*(centralizator!$R$18-1),2)</f>
        <v>27318.04</v>
      </c>
      <c r="AL11" s="38"/>
      <c r="AM11" s="37">
        <v>0</v>
      </c>
      <c r="AN11" s="38"/>
      <c r="AO11" s="37">
        <v>0</v>
      </c>
      <c r="AP11" s="38"/>
      <c r="AQ11" s="37">
        <v>0</v>
      </c>
      <c r="AR11" s="38"/>
      <c r="AS11" s="37">
        <v>0</v>
      </c>
      <c r="AT11" s="33">
        <v>4.1018481986732393E-3</v>
      </c>
      <c r="AU11" s="34">
        <v>6653.3303910002578</v>
      </c>
      <c r="AV11" s="39">
        <f t="shared" ref="AV11:AV69" si="0">C11-(AU11+AS11+AQ11+AO11+AM11+AK11+AI11+AG11+AE11+AC11+AA11+Y11+W11+U11+S11+Q11+O11+M11+K11+I11+G11+E11)</f>
        <v>87977.159999999683</v>
      </c>
      <c r="AW11" s="40">
        <f>SUM(D11:AI11)</f>
        <v>1500084.7244264479</v>
      </c>
      <c r="AX11" s="40">
        <f>SUM(AJ11:AU11)</f>
        <v>33971.374492848452</v>
      </c>
      <c r="AY11" s="40">
        <f>AW11+AX11</f>
        <v>1534056.0989192964</v>
      </c>
      <c r="AZ11" s="41">
        <f>C11-AY11</f>
        <v>87976.23108070367</v>
      </c>
    </row>
    <row r="12" spans="1:52" ht="14.4">
      <c r="A12" s="42" t="s">
        <v>72</v>
      </c>
      <c r="B12" s="43" t="s">
        <v>71</v>
      </c>
      <c r="C12" s="44">
        <v>978106.69</v>
      </c>
      <c r="D12" s="45">
        <v>7.7321411634552875E-2</v>
      </c>
      <c r="E12" s="46">
        <v>75628.59</v>
      </c>
      <c r="F12" s="45">
        <v>6.7251569458133459E-2</v>
      </c>
      <c r="G12" s="46">
        <v>65779.210000000006</v>
      </c>
      <c r="H12" s="45">
        <v>0.15703614091423915</v>
      </c>
      <c r="I12" s="47">
        <v>153598.1</v>
      </c>
      <c r="J12" s="45">
        <v>8.323254593013775E-2</v>
      </c>
      <c r="K12" s="46">
        <v>81410.31</v>
      </c>
      <c r="L12" s="45">
        <v>8.7916942884829874E-2</v>
      </c>
      <c r="M12" s="48">
        <v>85992.15</v>
      </c>
      <c r="N12" s="45">
        <v>5.6500809742953503E-2</v>
      </c>
      <c r="O12" s="48">
        <v>55263.82</v>
      </c>
      <c r="P12" s="49">
        <v>4.6713779250400586E-2</v>
      </c>
      <c r="Q12" s="48">
        <v>45691.06</v>
      </c>
      <c r="R12" s="50">
        <v>6.4833264763785647E-2</v>
      </c>
      <c r="S12" s="48">
        <v>63413.850000000006</v>
      </c>
      <c r="T12" s="50">
        <v>6.2973304067677954E-2</v>
      </c>
      <c r="U12" s="48">
        <v>61594.610000000015</v>
      </c>
      <c r="V12" s="49">
        <v>0.13876404304135781</v>
      </c>
      <c r="W12" s="51">
        <v>135726.03883020001</v>
      </c>
      <c r="X12" s="45">
        <v>9.2683999533834091E-2</v>
      </c>
      <c r="Y12" s="46">
        <v>90654.84</v>
      </c>
      <c r="Z12" s="45">
        <v>3.7276823042688728E-2</v>
      </c>
      <c r="AA12" s="46">
        <v>36460.71</v>
      </c>
      <c r="AB12" s="45">
        <v>1.0399018945469027E-2</v>
      </c>
      <c r="AC12" s="46">
        <v>10171.35</v>
      </c>
      <c r="AD12" s="52">
        <v>0</v>
      </c>
      <c r="AE12" s="53"/>
      <c r="AF12" s="52">
        <v>0</v>
      </c>
      <c r="AG12" s="53"/>
      <c r="AH12" s="52">
        <v>0</v>
      </c>
      <c r="AI12" s="54"/>
      <c r="AJ12" s="45">
        <v>1.0520324730628312E-2</v>
      </c>
      <c r="AK12" s="37">
        <f>ROUND(Gantt!AK12*(centralizator!$R$18-1),2)</f>
        <v>2438.11</v>
      </c>
      <c r="AL12" s="55"/>
      <c r="AM12" s="56"/>
      <c r="AN12" s="55"/>
      <c r="AO12" s="56"/>
      <c r="AP12" s="55"/>
      <c r="AQ12" s="56"/>
      <c r="AR12" s="55"/>
      <c r="AS12" s="56"/>
      <c r="AT12" s="45">
        <v>6.5760220593114507E-3</v>
      </c>
      <c r="AU12" s="48">
        <v>6432.0511698001064</v>
      </c>
      <c r="AV12" s="39">
        <f t="shared" si="0"/>
        <v>7851.8899999998976</v>
      </c>
      <c r="AW12" s="40">
        <f>SUM(D12:AI12)</f>
        <v>961385.62173385324</v>
      </c>
      <c r="AX12" s="40">
        <f>SUM(AJ12:AU12)</f>
        <v>8870.1782661468969</v>
      </c>
      <c r="AY12" s="40">
        <f>AW12+AX12</f>
        <v>970255.80000000016</v>
      </c>
      <c r="AZ12" s="41">
        <f t="shared" ref="AZ12:AZ69" si="1">C12-AY12</f>
        <v>7850.8899999997811</v>
      </c>
    </row>
    <row r="13" spans="1:52" ht="14.4">
      <c r="A13" s="42"/>
      <c r="B13" s="57" t="s">
        <v>73</v>
      </c>
      <c r="C13" s="58">
        <v>643925.64</v>
      </c>
      <c r="D13" s="52">
        <v>0</v>
      </c>
      <c r="E13" s="59"/>
      <c r="F13" s="52">
        <v>0</v>
      </c>
      <c r="G13" s="59"/>
      <c r="H13" s="52">
        <v>0</v>
      </c>
      <c r="I13" s="60"/>
      <c r="J13" s="52">
        <v>0</v>
      </c>
      <c r="K13" s="59"/>
      <c r="L13" s="52">
        <v>0</v>
      </c>
      <c r="M13" s="59"/>
      <c r="N13" s="52">
        <v>0</v>
      </c>
      <c r="O13" s="61"/>
      <c r="P13" s="62">
        <v>3.087968356097763E-2</v>
      </c>
      <c r="Q13" s="63">
        <v>19884.22</v>
      </c>
      <c r="R13" s="64">
        <v>4.2794118277383705E-2</v>
      </c>
      <c r="S13" s="63">
        <v>27556.23</v>
      </c>
      <c r="T13" s="64">
        <v>0.11796531351042334</v>
      </c>
      <c r="U13" s="63">
        <v>75960.89</v>
      </c>
      <c r="V13" s="62">
        <v>0.17508666183691646</v>
      </c>
      <c r="W13" s="65">
        <v>112742.7907788</v>
      </c>
      <c r="X13" s="66">
        <v>0.39366208495751154</v>
      </c>
      <c r="Y13" s="63">
        <v>253489.11</v>
      </c>
      <c r="Z13" s="66">
        <v>6.46054410878871E-2</v>
      </c>
      <c r="AA13" s="63">
        <v>41601.1</v>
      </c>
      <c r="AB13" s="66">
        <v>1.1592673961546243E-2</v>
      </c>
      <c r="AC13" s="63">
        <v>7464.82</v>
      </c>
      <c r="AD13" s="52">
        <v>0</v>
      </c>
      <c r="AE13" s="59">
        <v>0</v>
      </c>
      <c r="AF13" s="52">
        <v>0</v>
      </c>
      <c r="AG13" s="59"/>
      <c r="AH13" s="52">
        <v>0</v>
      </c>
      <c r="AI13" s="56"/>
      <c r="AJ13" s="67">
        <v>0.16307038185340778</v>
      </c>
      <c r="AK13" s="37">
        <f>ROUND(Gantt!AK13*(centralizator!$R$18-1),2)</f>
        <v>24879.93</v>
      </c>
      <c r="AL13" s="55">
        <v>0</v>
      </c>
      <c r="AM13" s="59"/>
      <c r="AN13" s="55"/>
      <c r="AO13" s="56"/>
      <c r="AP13" s="55"/>
      <c r="AQ13" s="56"/>
      <c r="AR13" s="55"/>
      <c r="AS13" s="56"/>
      <c r="AT13" s="66">
        <v>2.262321927275146E-4</v>
      </c>
      <c r="AU13" s="68">
        <v>221.27922120015137</v>
      </c>
      <c r="AV13" s="39">
        <f t="shared" si="0"/>
        <v>80125.269999999902</v>
      </c>
      <c r="AW13" s="40">
        <f>SUM(D13:AI13)</f>
        <v>538699.99736477714</v>
      </c>
      <c r="AX13" s="40">
        <f>SUM(AJ13:AU13)</f>
        <v>25101.372517814198</v>
      </c>
      <c r="AY13" s="40">
        <f>AW13+AX13</f>
        <v>563801.3698825913</v>
      </c>
      <c r="AZ13" s="41">
        <f t="shared" si="1"/>
        <v>80124.270117408712</v>
      </c>
    </row>
    <row r="14" spans="1:52" ht="14.4">
      <c r="A14" s="30">
        <v>24.3</v>
      </c>
      <c r="B14" s="31" t="s">
        <v>74</v>
      </c>
      <c r="C14" s="32">
        <f>C15</f>
        <v>178447.66</v>
      </c>
      <c r="D14" s="33">
        <v>0</v>
      </c>
      <c r="E14" s="34">
        <v>0</v>
      </c>
      <c r="F14" s="33">
        <v>0</v>
      </c>
      <c r="G14" s="34">
        <v>0</v>
      </c>
      <c r="H14" s="33">
        <v>0</v>
      </c>
      <c r="I14" s="69">
        <v>0</v>
      </c>
      <c r="J14" s="33">
        <v>0</v>
      </c>
      <c r="K14" s="34">
        <v>0</v>
      </c>
      <c r="L14" s="33">
        <v>0</v>
      </c>
      <c r="M14" s="34">
        <v>0</v>
      </c>
      <c r="N14" s="33">
        <v>0</v>
      </c>
      <c r="O14" s="34">
        <v>0</v>
      </c>
      <c r="P14" s="35">
        <v>0</v>
      </c>
      <c r="Q14" s="34">
        <v>0</v>
      </c>
      <c r="R14" s="36">
        <v>0</v>
      </c>
      <c r="S14" s="34">
        <v>0</v>
      </c>
      <c r="T14" s="36">
        <v>0</v>
      </c>
      <c r="U14" s="34">
        <v>0</v>
      </c>
      <c r="V14" s="35">
        <v>0</v>
      </c>
      <c r="W14" s="34">
        <v>0</v>
      </c>
      <c r="X14" s="33">
        <v>0</v>
      </c>
      <c r="Y14" s="34">
        <v>0</v>
      </c>
      <c r="Z14" s="33">
        <v>0</v>
      </c>
      <c r="AA14" s="34">
        <v>0</v>
      </c>
      <c r="AB14" s="33">
        <v>0</v>
      </c>
      <c r="AC14" s="34">
        <v>0</v>
      </c>
      <c r="AD14" s="33">
        <v>0</v>
      </c>
      <c r="AE14" s="34">
        <v>0</v>
      </c>
      <c r="AF14" s="33">
        <v>0</v>
      </c>
      <c r="AG14" s="34">
        <v>0</v>
      </c>
      <c r="AH14" s="33">
        <v>0</v>
      </c>
      <c r="AI14" s="70">
        <v>0</v>
      </c>
      <c r="AJ14" s="71"/>
      <c r="AK14" s="37">
        <f>ROUND(Gantt!AK14*(centralizator!$R$18-1),2)</f>
        <v>0</v>
      </c>
      <c r="AL14" s="38"/>
      <c r="AM14" s="37">
        <v>0</v>
      </c>
      <c r="AN14" s="38"/>
      <c r="AO14" s="37">
        <v>45230</v>
      </c>
      <c r="AP14" s="38"/>
      <c r="AQ14" s="37">
        <v>66742</v>
      </c>
      <c r="AR14" s="38"/>
      <c r="AS14" s="37">
        <v>66475.66</v>
      </c>
      <c r="AT14" s="33">
        <v>0</v>
      </c>
      <c r="AU14" s="72"/>
      <c r="AV14" s="39">
        <f t="shared" si="0"/>
        <v>0</v>
      </c>
      <c r="AW14" s="40">
        <f t="shared" ref="AW14:AW69" si="2">SUM(D14:AI14)</f>
        <v>0</v>
      </c>
      <c r="AX14" s="40">
        <f t="shared" ref="AX14:AX69" si="3">SUM(AJ14:AU14)</f>
        <v>178447.66</v>
      </c>
      <c r="AY14" s="40">
        <f t="shared" ref="AY14:AY69" si="4">AW14+AX14</f>
        <v>178447.66</v>
      </c>
      <c r="AZ14" s="41">
        <f t="shared" si="1"/>
        <v>0</v>
      </c>
    </row>
    <row r="15" spans="1:52" ht="14.4">
      <c r="A15" s="42" t="s">
        <v>75</v>
      </c>
      <c r="B15" s="43" t="s">
        <v>74</v>
      </c>
      <c r="C15" s="44">
        <v>178447.66</v>
      </c>
      <c r="D15" s="52">
        <v>0</v>
      </c>
      <c r="E15" s="53"/>
      <c r="F15" s="52">
        <v>0</v>
      </c>
      <c r="G15" s="53"/>
      <c r="H15" s="52">
        <v>0</v>
      </c>
      <c r="I15" s="73"/>
      <c r="J15" s="52">
        <v>0</v>
      </c>
      <c r="K15" s="53"/>
      <c r="L15" s="52">
        <v>0</v>
      </c>
      <c r="M15" s="53"/>
      <c r="N15" s="52">
        <v>0</v>
      </c>
      <c r="O15" s="53"/>
      <c r="P15" s="74">
        <v>0</v>
      </c>
      <c r="Q15" s="53"/>
      <c r="R15" s="75">
        <v>0</v>
      </c>
      <c r="S15" s="53"/>
      <c r="T15" s="75">
        <v>0</v>
      </c>
      <c r="U15" s="53"/>
      <c r="V15" s="74">
        <v>0</v>
      </c>
      <c r="W15" s="53"/>
      <c r="X15" s="52">
        <v>0</v>
      </c>
      <c r="Y15" s="53"/>
      <c r="Z15" s="52">
        <v>0</v>
      </c>
      <c r="AA15" s="53"/>
      <c r="AB15" s="52">
        <v>0</v>
      </c>
      <c r="AC15" s="53"/>
      <c r="AD15" s="52">
        <v>0</v>
      </c>
      <c r="AE15" s="53"/>
      <c r="AF15" s="52">
        <v>0</v>
      </c>
      <c r="AG15" s="53"/>
      <c r="AH15" s="52">
        <v>0</v>
      </c>
      <c r="AI15" s="54"/>
      <c r="AJ15" s="55"/>
      <c r="AK15" s="37">
        <f>ROUND(Gantt!AK15*(centralizator!$R$18-1),2)</f>
        <v>0</v>
      </c>
      <c r="AL15" s="55"/>
      <c r="AM15" s="56"/>
      <c r="AN15" s="45">
        <v>0.25346367668816727</v>
      </c>
      <c r="AO15" s="48">
        <v>45230</v>
      </c>
      <c r="AP15" s="45">
        <v>0.3740144308981132</v>
      </c>
      <c r="AQ15" s="48">
        <v>66742</v>
      </c>
      <c r="AR15" s="45">
        <v>0.37252189241371952</v>
      </c>
      <c r="AS15" s="48">
        <v>66475.66</v>
      </c>
      <c r="AT15" s="45">
        <v>0</v>
      </c>
      <c r="AU15" s="48">
        <v>0</v>
      </c>
      <c r="AV15" s="39">
        <f t="shared" si="0"/>
        <v>0</v>
      </c>
      <c r="AW15" s="40">
        <f t="shared" si="2"/>
        <v>0</v>
      </c>
      <c r="AX15" s="40">
        <f t="shared" si="3"/>
        <v>178448.65999999997</v>
      </c>
      <c r="AY15" s="40">
        <f t="shared" si="4"/>
        <v>178448.65999999997</v>
      </c>
      <c r="AZ15" s="41">
        <f t="shared" si="1"/>
        <v>-0.99999999997089617</v>
      </c>
    </row>
    <row r="16" spans="1:52" ht="14.4">
      <c r="A16" s="30">
        <v>24.4</v>
      </c>
      <c r="B16" s="31" t="s">
        <v>76</v>
      </c>
      <c r="C16" s="32">
        <f>SUM(C17:C18)</f>
        <v>3291251.87</v>
      </c>
      <c r="D16" s="33">
        <v>5.149350663338932E-3</v>
      </c>
      <c r="E16" s="76">
        <v>16947.810000000001</v>
      </c>
      <c r="F16" s="33">
        <v>1.4793635347026783E-2</v>
      </c>
      <c r="G16" s="76">
        <v>48689.58</v>
      </c>
      <c r="H16" s="33">
        <v>1.7466031853709207E-2</v>
      </c>
      <c r="I16" s="76">
        <v>57485.11</v>
      </c>
      <c r="J16" s="33">
        <v>9.2257636909447466E-2</v>
      </c>
      <c r="K16" s="76">
        <v>303643.12</v>
      </c>
      <c r="L16" s="33">
        <v>0.11365547980075619</v>
      </c>
      <c r="M16" s="76">
        <v>374068.81042998604</v>
      </c>
      <c r="N16" s="33">
        <v>8.5111353085231978E-3</v>
      </c>
      <c r="O16" s="76">
        <v>28012.29</v>
      </c>
      <c r="P16" s="35">
        <v>7.4342137783578377E-3</v>
      </c>
      <c r="Q16" s="76">
        <v>24467.87</v>
      </c>
      <c r="R16" s="36">
        <v>5.6599509049424401E-2</v>
      </c>
      <c r="S16" s="76">
        <v>186283.24</v>
      </c>
      <c r="T16" s="36">
        <v>5.2674975008825446E-2</v>
      </c>
      <c r="U16" s="76">
        <v>173366.61000000002</v>
      </c>
      <c r="V16" s="35">
        <v>7.3080558551509453E-2</v>
      </c>
      <c r="W16" s="76">
        <v>240526.5249933</v>
      </c>
      <c r="X16" s="33">
        <v>0.18299169853566996</v>
      </c>
      <c r="Y16" s="76">
        <v>602271.77</v>
      </c>
      <c r="Z16" s="33">
        <v>0.14786679331229671</v>
      </c>
      <c r="AA16" s="76">
        <v>486666.86000000004</v>
      </c>
      <c r="AB16" s="33">
        <v>0.10487740945818284</v>
      </c>
      <c r="AC16" s="76">
        <v>345177.97</v>
      </c>
      <c r="AD16" s="33">
        <v>0</v>
      </c>
      <c r="AE16" s="76">
        <v>0</v>
      </c>
      <c r="AF16" s="33">
        <v>0</v>
      </c>
      <c r="AG16" s="76">
        <v>0</v>
      </c>
      <c r="AH16" s="33">
        <v>0</v>
      </c>
      <c r="AI16" s="77">
        <v>0</v>
      </c>
      <c r="AJ16" s="78"/>
      <c r="AK16" s="37">
        <f>ROUND(Gantt!AK16*(centralizator!$R$18-1),2)</f>
        <v>95639.41</v>
      </c>
      <c r="AL16" s="78"/>
      <c r="AM16" s="77">
        <v>0</v>
      </c>
      <c r="AN16" s="78"/>
      <c r="AO16" s="77">
        <v>0</v>
      </c>
      <c r="AP16" s="78"/>
      <c r="AQ16" s="77">
        <v>0</v>
      </c>
      <c r="AR16" s="78"/>
      <c r="AS16" s="77">
        <v>0</v>
      </c>
      <c r="AT16" s="33">
        <v>9.2541296236409261E-8</v>
      </c>
      <c r="AU16" s="76">
        <v>0.30457671429030597</v>
      </c>
      <c r="AV16" s="39">
        <f t="shared" si="0"/>
        <v>308004.58999999939</v>
      </c>
      <c r="AW16" s="40">
        <f t="shared" si="2"/>
        <v>2887608.4427817138</v>
      </c>
      <c r="AX16" s="40">
        <f t="shared" si="3"/>
        <v>95639.714576806829</v>
      </c>
      <c r="AY16" s="40">
        <f t="shared" si="4"/>
        <v>2983248.1573585207</v>
      </c>
      <c r="AZ16" s="41">
        <f t="shared" si="1"/>
        <v>308003.71264147945</v>
      </c>
    </row>
    <row r="17" spans="1:52" ht="14.4">
      <c r="A17" s="42" t="s">
        <v>77</v>
      </c>
      <c r="B17" s="43" t="s">
        <v>76</v>
      </c>
      <c r="C17" s="44">
        <v>2754315.69</v>
      </c>
      <c r="D17" s="45">
        <v>6.1531835517373108E-3</v>
      </c>
      <c r="E17" s="46">
        <v>16947.810000000001</v>
      </c>
      <c r="F17" s="45">
        <v>1.7677559684525487E-2</v>
      </c>
      <c r="G17" s="46">
        <v>48689.58</v>
      </c>
      <c r="H17" s="45">
        <v>2.0870922751777956E-2</v>
      </c>
      <c r="I17" s="47">
        <v>57485.11</v>
      </c>
      <c r="J17" s="45">
        <v>5.6948399404427023E-2</v>
      </c>
      <c r="K17" s="46">
        <v>156853.87</v>
      </c>
      <c r="L17" s="45">
        <v>0.13222121986677063</v>
      </c>
      <c r="M17" s="46">
        <v>364178.98042998603</v>
      </c>
      <c r="N17" s="45">
        <v>1.0170326553961577E-2</v>
      </c>
      <c r="O17" s="46">
        <v>28012.29</v>
      </c>
      <c r="P17" s="49">
        <v>8.8834660779207927E-3</v>
      </c>
      <c r="Q17" s="46">
        <v>24467.87</v>
      </c>
      <c r="R17" s="50">
        <v>6.763322035899233E-2</v>
      </c>
      <c r="S17" s="46">
        <v>186283.24</v>
      </c>
      <c r="T17" s="50">
        <v>5.02948447423614E-2</v>
      </c>
      <c r="U17" s="46">
        <v>138527.88</v>
      </c>
      <c r="V17" s="49">
        <v>8.2363843259448594E-2</v>
      </c>
      <c r="W17" s="51">
        <v>226856.02577820001</v>
      </c>
      <c r="X17" s="45">
        <v>0.14564740035300747</v>
      </c>
      <c r="Y17" s="46">
        <v>401158.92</v>
      </c>
      <c r="Z17" s="45">
        <v>0.17443680539030731</v>
      </c>
      <c r="AA17" s="46">
        <v>480454.03</v>
      </c>
      <c r="AB17" s="45">
        <v>0.12422937982101827</v>
      </c>
      <c r="AC17" s="46">
        <v>342166.93</v>
      </c>
      <c r="AD17" s="52">
        <v>0</v>
      </c>
      <c r="AE17" s="53">
        <v>0</v>
      </c>
      <c r="AF17" s="52">
        <v>0</v>
      </c>
      <c r="AG17" s="53"/>
      <c r="AH17" s="52">
        <v>0</v>
      </c>
      <c r="AI17" s="56"/>
      <c r="AJ17" s="45">
        <v>0.10246934330174766</v>
      </c>
      <c r="AK17" s="37">
        <f>ROUND(Gantt!AK17*(centralizator!$R$18-1),2)</f>
        <v>66872.27</v>
      </c>
      <c r="AL17" s="55"/>
      <c r="AM17" s="56"/>
      <c r="AN17" s="55"/>
      <c r="AO17" s="56"/>
      <c r="AP17" s="55"/>
      <c r="AQ17" s="56"/>
      <c r="AR17" s="55"/>
      <c r="AS17" s="56"/>
      <c r="AT17" s="52">
        <v>8.488199629203686E-8</v>
      </c>
      <c r="AU17" s="56">
        <v>0.23379181418567896</v>
      </c>
      <c r="AV17" s="39">
        <f t="shared" si="0"/>
        <v>215360.64999999991</v>
      </c>
      <c r="AW17" s="40">
        <f t="shared" si="2"/>
        <v>2472083.4337387579</v>
      </c>
      <c r="AX17" s="40">
        <f t="shared" si="3"/>
        <v>66872.60626124237</v>
      </c>
      <c r="AY17" s="40">
        <f t="shared" si="4"/>
        <v>2538956.04</v>
      </c>
      <c r="AZ17" s="41">
        <f t="shared" si="1"/>
        <v>215359.64999999991</v>
      </c>
    </row>
    <row r="18" spans="1:52" ht="14.25" customHeight="1">
      <c r="A18" s="42"/>
      <c r="B18" s="43" t="s">
        <v>78</v>
      </c>
      <c r="C18" s="58">
        <v>536936.18000000005</v>
      </c>
      <c r="D18" s="52">
        <v>0</v>
      </c>
      <c r="E18" s="53"/>
      <c r="F18" s="52">
        <v>0</v>
      </c>
      <c r="G18" s="53"/>
      <c r="H18" s="52">
        <v>0</v>
      </c>
      <c r="I18" s="73"/>
      <c r="J18" s="66">
        <v>0.27338304898731164</v>
      </c>
      <c r="K18" s="79">
        <v>146789.25</v>
      </c>
      <c r="L18" s="66">
        <v>1.8419004657127036E-2</v>
      </c>
      <c r="M18" s="79">
        <v>9889.8300000000017</v>
      </c>
      <c r="N18" s="52">
        <v>0</v>
      </c>
      <c r="O18" s="53"/>
      <c r="P18" s="74">
        <v>0</v>
      </c>
      <c r="Q18" s="53"/>
      <c r="R18" s="75">
        <v>0</v>
      </c>
      <c r="S18" s="53"/>
      <c r="T18" s="64">
        <v>6.4884303382200845E-2</v>
      </c>
      <c r="U18" s="79">
        <v>34838.730000000003</v>
      </c>
      <c r="V18" s="62">
        <v>2.5460193826201093E-2</v>
      </c>
      <c r="W18" s="65">
        <v>13670.499215100001</v>
      </c>
      <c r="X18" s="66">
        <v>0.37455633926549703</v>
      </c>
      <c r="Y18" s="79">
        <v>201112.85</v>
      </c>
      <c r="Z18" s="66">
        <v>1.1570890976279526E-2</v>
      </c>
      <c r="AA18" s="79">
        <v>6212.83</v>
      </c>
      <c r="AB18" s="66">
        <v>5.6078173014900944E-3</v>
      </c>
      <c r="AC18" s="79">
        <v>3011.04</v>
      </c>
      <c r="AD18" s="52">
        <v>0</v>
      </c>
      <c r="AE18" s="53">
        <v>0</v>
      </c>
      <c r="AF18" s="52">
        <v>0</v>
      </c>
      <c r="AG18" s="53"/>
      <c r="AH18" s="52">
        <v>0</v>
      </c>
      <c r="AI18" s="54"/>
      <c r="AJ18" s="80">
        <v>0.22611826977276889</v>
      </c>
      <c r="AK18" s="37">
        <f>ROUND(Gantt!AK18*(centralizator!$R$18-1),2)</f>
        <v>28767.14</v>
      </c>
      <c r="AL18" s="55"/>
      <c r="AM18" s="56"/>
      <c r="AN18" s="55"/>
      <c r="AO18" s="56"/>
      <c r="AP18" s="55"/>
      <c r="AQ18" s="56"/>
      <c r="AR18" s="55"/>
      <c r="AS18" s="56"/>
      <c r="AT18" s="52">
        <v>2.5699632166938356E-8</v>
      </c>
      <c r="AU18" s="56">
        <v>7.0784900104627013E-2</v>
      </c>
      <c r="AV18" s="39">
        <f t="shared" si="0"/>
        <v>92643.939999999944</v>
      </c>
      <c r="AW18" s="40">
        <f t="shared" si="2"/>
        <v>415525.80309669842</v>
      </c>
      <c r="AX18" s="40">
        <f t="shared" si="3"/>
        <v>28767.436903195576</v>
      </c>
      <c r="AY18" s="40">
        <f t="shared" si="4"/>
        <v>444293.23999989399</v>
      </c>
      <c r="AZ18" s="41">
        <f t="shared" si="1"/>
        <v>92642.940000106057</v>
      </c>
    </row>
    <row r="19" spans="1:52" ht="14.4">
      <c r="A19" s="30">
        <v>24.5</v>
      </c>
      <c r="B19" s="31" t="s">
        <v>79</v>
      </c>
      <c r="C19" s="32">
        <f>C20+C21</f>
        <v>36901319.259999998</v>
      </c>
      <c r="D19" s="33">
        <v>2.9964711890357498E-3</v>
      </c>
      <c r="E19" s="76">
        <v>110573.74</v>
      </c>
      <c r="F19" s="33">
        <v>3.7252562715016604E-2</v>
      </c>
      <c r="G19" s="76">
        <v>1374668.71</v>
      </c>
      <c r="H19" s="33">
        <v>1.1883468363564414E-2</v>
      </c>
      <c r="I19" s="81">
        <v>438515.66000000015</v>
      </c>
      <c r="J19" s="33">
        <v>3.4943339584005979E-2</v>
      </c>
      <c r="K19" s="76">
        <v>1289455.33</v>
      </c>
      <c r="L19" s="33">
        <v>9.7692788252684015E-2</v>
      </c>
      <c r="M19" s="76">
        <v>3604992.7687118701</v>
      </c>
      <c r="N19" s="33">
        <v>4.198598589615845E-2</v>
      </c>
      <c r="O19" s="76">
        <v>1549338.27</v>
      </c>
      <c r="P19" s="35">
        <v>3.2254547367637935E-2</v>
      </c>
      <c r="Q19" s="76">
        <v>1190235.3500000001</v>
      </c>
      <c r="R19" s="36">
        <v>3.9477778280385522E-3</v>
      </c>
      <c r="S19" s="76">
        <v>145678.21</v>
      </c>
      <c r="T19" s="36">
        <v>5.4143557739024857E-2</v>
      </c>
      <c r="U19" s="76">
        <v>1997968.71</v>
      </c>
      <c r="V19" s="35">
        <v>7.3880321734445767E-2</v>
      </c>
      <c r="W19" s="76">
        <v>2726281.3393542999</v>
      </c>
      <c r="X19" s="33">
        <v>4.8758241333402126E-2</v>
      </c>
      <c r="Y19" s="76">
        <v>1799243.43</v>
      </c>
      <c r="Z19" s="33">
        <v>0.12551532934001669</v>
      </c>
      <c r="AA19" s="76">
        <v>4631681.24</v>
      </c>
      <c r="AB19" s="33">
        <v>1.4068973424556095E-2</v>
      </c>
      <c r="AC19" s="76">
        <v>519163.68</v>
      </c>
      <c r="AD19" s="33">
        <v>6.3193944193961599E-2</v>
      </c>
      <c r="AE19" s="76">
        <v>2331939.91</v>
      </c>
      <c r="AF19" s="33">
        <v>0</v>
      </c>
      <c r="AG19" s="76">
        <v>0</v>
      </c>
      <c r="AH19" s="33">
        <v>2.0469232947418477E-2</v>
      </c>
      <c r="AI19" s="77">
        <v>755341.7</v>
      </c>
      <c r="AJ19" s="78"/>
      <c r="AK19" s="37">
        <f>ROUND(Gantt!AK19*(centralizator!$R$18-1),2)</f>
        <v>516030.56</v>
      </c>
      <c r="AL19" s="78"/>
      <c r="AM19" s="77">
        <v>4905650.74</v>
      </c>
      <c r="AN19" s="78"/>
      <c r="AO19" s="77">
        <v>5249460.79128813</v>
      </c>
      <c r="AP19" s="78"/>
      <c r="AQ19" s="77">
        <v>0</v>
      </c>
      <c r="AR19" s="78"/>
      <c r="AS19" s="77">
        <v>0</v>
      </c>
      <c r="AT19" s="33">
        <v>2.7975737105313723E-3</v>
      </c>
      <c r="AU19" s="82">
        <v>103234.16064570099</v>
      </c>
      <c r="AV19" s="39">
        <f t="shared" si="0"/>
        <v>1661864.9600000009</v>
      </c>
      <c r="AW19" s="40">
        <f t="shared" si="2"/>
        <v>24465078.711052708</v>
      </c>
      <c r="AX19" s="40">
        <f t="shared" si="3"/>
        <v>10774376.254731406</v>
      </c>
      <c r="AY19" s="40">
        <f t="shared" si="4"/>
        <v>35239454.965784118</v>
      </c>
      <c r="AZ19" s="41">
        <f t="shared" si="1"/>
        <v>1661864.2942158803</v>
      </c>
    </row>
    <row r="20" spans="1:52" ht="14.4">
      <c r="A20" s="42" t="s">
        <v>80</v>
      </c>
      <c r="B20" s="43" t="s">
        <v>79</v>
      </c>
      <c r="C20" s="58">
        <v>36899802.57</v>
      </c>
      <c r="D20" s="45">
        <v>2.9965943527811129E-3</v>
      </c>
      <c r="E20" s="46">
        <v>110573.74</v>
      </c>
      <c r="F20" s="45">
        <v>3.7254093904492129E-2</v>
      </c>
      <c r="G20" s="46">
        <v>1374668.71</v>
      </c>
      <c r="H20" s="45">
        <v>1.1883956808932058E-2</v>
      </c>
      <c r="I20" s="47">
        <v>438515.66000000015</v>
      </c>
      <c r="J20" s="45">
        <v>3.4944775857644925E-2</v>
      </c>
      <c r="K20" s="46">
        <v>1289455.33</v>
      </c>
      <c r="L20" s="45">
        <v>9.7696803712515642E-2</v>
      </c>
      <c r="M20" s="46">
        <v>3604992.7687118701</v>
      </c>
      <c r="N20" s="45">
        <v>4.1987711643195383E-2</v>
      </c>
      <c r="O20" s="46">
        <v>1549338.27</v>
      </c>
      <c r="P20" s="49">
        <v>3.2255873124038777E-2</v>
      </c>
      <c r="Q20" s="46">
        <v>1190235.3500000001</v>
      </c>
      <c r="R20" s="50">
        <v>3.9479400932740548E-3</v>
      </c>
      <c r="S20" s="46">
        <v>145678.21</v>
      </c>
      <c r="T20" s="50">
        <v>5.4145783197885544E-2</v>
      </c>
      <c r="U20" s="46">
        <v>1997968.71</v>
      </c>
      <c r="V20" s="49">
        <v>7.3883358432134283E-2</v>
      </c>
      <c r="W20" s="51">
        <v>2726281.3393542999</v>
      </c>
      <c r="X20" s="45">
        <v>4.8760245439979866E-2</v>
      </c>
      <c r="Y20" s="46">
        <v>1799243.43</v>
      </c>
      <c r="Z20" s="45">
        <v>0.1255204883878055</v>
      </c>
      <c r="AA20" s="46">
        <v>4631681.24</v>
      </c>
      <c r="AB20" s="45">
        <v>1.4069551700585155E-2</v>
      </c>
      <c r="AC20" s="46">
        <v>519163.68</v>
      </c>
      <c r="AD20" s="45">
        <v>6.3196541650222718E-2</v>
      </c>
      <c r="AE20" s="46">
        <v>2331939.91</v>
      </c>
      <c r="AF20" s="52">
        <v>0</v>
      </c>
      <c r="AG20" s="53"/>
      <c r="AH20" s="45">
        <v>2.047007429286633E-2</v>
      </c>
      <c r="AI20" s="83">
        <v>755341.7</v>
      </c>
      <c r="AJ20" s="45">
        <v>5.902187459860981E-2</v>
      </c>
      <c r="AK20" s="37">
        <f>ROUND(Gantt!AK20*(centralizator!$R$18-1),2)</f>
        <v>516030.56</v>
      </c>
      <c r="AL20" s="45">
        <v>0.13294517580937831</v>
      </c>
      <c r="AM20" s="48">
        <v>4905650.74</v>
      </c>
      <c r="AN20" s="45">
        <v>0.14222146829465082</v>
      </c>
      <c r="AO20" s="48">
        <v>5247944.1012881296</v>
      </c>
      <c r="AP20" s="55"/>
      <c r="AQ20" s="56"/>
      <c r="AR20" s="55"/>
      <c r="AS20" s="56"/>
      <c r="AT20" s="45">
        <v>2.7976886990076109E-3</v>
      </c>
      <c r="AU20" s="48">
        <v>103234.16064570099</v>
      </c>
      <c r="AV20" s="39">
        <f t="shared" si="0"/>
        <v>1661864.9600000009</v>
      </c>
      <c r="AW20" s="40">
        <f t="shared" si="2"/>
        <v>24465078.711079959</v>
      </c>
      <c r="AX20" s="40">
        <f t="shared" si="3"/>
        <v>10772859.898920039</v>
      </c>
      <c r="AY20" s="40">
        <f t="shared" si="4"/>
        <v>35237938.609999999</v>
      </c>
      <c r="AZ20" s="41">
        <f t="shared" si="1"/>
        <v>1661863.9600000009</v>
      </c>
    </row>
    <row r="21" spans="1:52" ht="14.4">
      <c r="A21" s="42"/>
      <c r="B21" s="43" t="s">
        <v>81</v>
      </c>
      <c r="C21" s="58">
        <v>1516.69</v>
      </c>
      <c r="D21" s="52">
        <v>0</v>
      </c>
      <c r="E21" s="53"/>
      <c r="F21" s="52">
        <v>0</v>
      </c>
      <c r="G21" s="53"/>
      <c r="H21" s="52">
        <v>0</v>
      </c>
      <c r="I21" s="53"/>
      <c r="J21" s="52">
        <v>0</v>
      </c>
      <c r="K21" s="53"/>
      <c r="L21" s="52">
        <v>0</v>
      </c>
      <c r="M21" s="53"/>
      <c r="N21" s="52">
        <v>0</v>
      </c>
      <c r="O21" s="56"/>
      <c r="P21" s="74">
        <v>0</v>
      </c>
      <c r="Q21" s="56"/>
      <c r="R21" s="75">
        <v>0</v>
      </c>
      <c r="S21" s="56"/>
      <c r="T21" s="75">
        <v>0</v>
      </c>
      <c r="U21" s="56"/>
      <c r="V21" s="74">
        <v>0</v>
      </c>
      <c r="W21" s="56"/>
      <c r="X21" s="52">
        <v>0</v>
      </c>
      <c r="Y21" s="56"/>
      <c r="Z21" s="52">
        <v>0</v>
      </c>
      <c r="AA21" s="56"/>
      <c r="AB21" s="52">
        <v>0</v>
      </c>
      <c r="AC21" s="56"/>
      <c r="AD21" s="52">
        <v>0</v>
      </c>
      <c r="AE21" s="56"/>
      <c r="AF21" s="52">
        <v>0</v>
      </c>
      <c r="AG21" s="56"/>
      <c r="AH21" s="84"/>
      <c r="AI21" s="56"/>
      <c r="AJ21" s="84"/>
      <c r="AK21" s="37">
        <f>ROUND(Gantt!AK21*(centralizator!$R$18-1),2)</f>
        <v>0</v>
      </c>
      <c r="AL21" s="84"/>
      <c r="AM21" s="56"/>
      <c r="AN21" s="66">
        <v>1</v>
      </c>
      <c r="AO21" s="68">
        <v>1516.69</v>
      </c>
      <c r="AP21" s="55"/>
      <c r="AQ21" s="85"/>
      <c r="AR21" s="55"/>
      <c r="AS21" s="85"/>
      <c r="AT21" s="52"/>
      <c r="AU21" s="85"/>
      <c r="AV21" s="39">
        <f t="shared" si="0"/>
        <v>0</v>
      </c>
      <c r="AW21" s="40">
        <f t="shared" si="2"/>
        <v>0</v>
      </c>
      <c r="AX21" s="40">
        <f t="shared" si="3"/>
        <v>1517.69</v>
      </c>
      <c r="AY21" s="40">
        <f t="shared" si="4"/>
        <v>1517.69</v>
      </c>
      <c r="AZ21" s="41">
        <f t="shared" si="1"/>
        <v>-1</v>
      </c>
    </row>
    <row r="22" spans="1:52" ht="14.4">
      <c r="A22" s="30">
        <v>24.6</v>
      </c>
      <c r="B22" s="31" t="s">
        <v>82</v>
      </c>
      <c r="C22" s="32">
        <f>C23+C24</f>
        <v>2767995.93</v>
      </c>
      <c r="D22" s="33">
        <v>5.6791991020015695E-4</v>
      </c>
      <c r="E22" s="86">
        <v>1572</v>
      </c>
      <c r="F22" s="33">
        <v>3.0874828634592677E-2</v>
      </c>
      <c r="G22" s="86">
        <v>85461.4</v>
      </c>
      <c r="H22" s="33">
        <v>2.2778563117323659E-2</v>
      </c>
      <c r="I22" s="86">
        <v>63050.970000000008</v>
      </c>
      <c r="J22" s="33">
        <v>2.3836082735858643E-2</v>
      </c>
      <c r="K22" s="86">
        <v>65978.179999999993</v>
      </c>
      <c r="L22" s="33">
        <v>3.6488492958152579E-4</v>
      </c>
      <c r="M22" s="86">
        <v>1010</v>
      </c>
      <c r="N22" s="33">
        <v>0</v>
      </c>
      <c r="O22" s="87">
        <v>0</v>
      </c>
      <c r="P22" s="35">
        <v>0</v>
      </c>
      <c r="Q22" s="87">
        <v>0</v>
      </c>
      <c r="R22" s="36">
        <v>0</v>
      </c>
      <c r="S22" s="87">
        <v>0</v>
      </c>
      <c r="T22" s="36">
        <v>4.0098173121229985E-2</v>
      </c>
      <c r="U22" s="88">
        <v>110991.58</v>
      </c>
      <c r="V22" s="35">
        <v>2.1089253709126659E-2</v>
      </c>
      <c r="W22" s="88">
        <v>58374.968433599999</v>
      </c>
      <c r="X22" s="33">
        <v>8.2446074983932513E-3</v>
      </c>
      <c r="Y22" s="88">
        <v>22821.040000000001</v>
      </c>
      <c r="Z22" s="33">
        <v>0</v>
      </c>
      <c r="AA22" s="88">
        <v>0</v>
      </c>
      <c r="AB22" s="33">
        <v>0</v>
      </c>
      <c r="AC22" s="88">
        <v>0</v>
      </c>
      <c r="AD22" s="33">
        <v>3.8554644840102779E-3</v>
      </c>
      <c r="AE22" s="88">
        <v>10671.91</v>
      </c>
      <c r="AF22" s="33">
        <v>1.5936118085260333E-2</v>
      </c>
      <c r="AG22" s="88">
        <v>44111.11</v>
      </c>
      <c r="AH22" s="89">
        <v>0</v>
      </c>
      <c r="AI22" s="88">
        <v>0</v>
      </c>
      <c r="AJ22" s="38"/>
      <c r="AK22" s="37">
        <f>ROUND(Gantt!AK22*(centralizator!$R$18-1),2)</f>
        <v>74823.100000000006</v>
      </c>
      <c r="AL22" s="71"/>
      <c r="AM22" s="91">
        <v>455703.41</v>
      </c>
      <c r="AN22" s="71"/>
      <c r="AO22" s="91">
        <v>495696.05</v>
      </c>
      <c r="AP22" s="38"/>
      <c r="AQ22" s="32">
        <v>492701.04</v>
      </c>
      <c r="AR22" s="38"/>
      <c r="AS22" s="32">
        <v>406805.54</v>
      </c>
      <c r="AT22" s="33">
        <v>4.95873242004371E-2</v>
      </c>
      <c r="AU22" s="32">
        <v>137257.51156640041</v>
      </c>
      <c r="AV22" s="39">
        <f t="shared" si="0"/>
        <v>240966.11999999918</v>
      </c>
      <c r="AW22" s="40">
        <f t="shared" si="2"/>
        <v>464043.32607949612</v>
      </c>
      <c r="AX22" s="40">
        <f t="shared" si="3"/>
        <v>2062986.7011537249</v>
      </c>
      <c r="AY22" s="40">
        <f t="shared" si="4"/>
        <v>2527030.0272332211</v>
      </c>
      <c r="AZ22" s="41">
        <f t="shared" si="1"/>
        <v>240965.90276677907</v>
      </c>
    </row>
    <row r="23" spans="1:52" ht="14.4">
      <c r="A23" s="42" t="s">
        <v>83</v>
      </c>
      <c r="B23" s="43" t="s">
        <v>82</v>
      </c>
      <c r="C23" s="58">
        <v>2731780.04</v>
      </c>
      <c r="D23" s="45">
        <v>5.7544896623521705E-4</v>
      </c>
      <c r="E23" s="46">
        <v>1572</v>
      </c>
      <c r="F23" s="45">
        <v>3.1284143945937898E-2</v>
      </c>
      <c r="G23" s="46">
        <v>85461.4</v>
      </c>
      <c r="H23" s="45">
        <v>2.3080544215412016E-2</v>
      </c>
      <c r="I23" s="47">
        <v>63050.970000000008</v>
      </c>
      <c r="J23" s="45">
        <v>2.4152083635547755E-2</v>
      </c>
      <c r="K23" s="46">
        <v>65978.179999999993</v>
      </c>
      <c r="L23" s="45">
        <v>3.6972230018929341E-4</v>
      </c>
      <c r="M23" s="46">
        <v>1010</v>
      </c>
      <c r="N23" s="52">
        <v>0</v>
      </c>
      <c r="O23" s="53"/>
      <c r="P23" s="74">
        <v>0</v>
      </c>
      <c r="Q23" s="53"/>
      <c r="R23" s="75">
        <v>0</v>
      </c>
      <c r="S23" s="53"/>
      <c r="T23" s="50">
        <v>4.0629764613112851E-2</v>
      </c>
      <c r="U23" s="48">
        <v>110991.58</v>
      </c>
      <c r="V23" s="49">
        <v>2.1368839210641571E-2</v>
      </c>
      <c r="W23" s="51">
        <v>58374.968433599999</v>
      </c>
      <c r="X23" s="45">
        <v>8.3539083183285876E-3</v>
      </c>
      <c r="Y23" s="48">
        <v>22821.040000000001</v>
      </c>
      <c r="Z23" s="52">
        <v>0</v>
      </c>
      <c r="AA23" s="56">
        <v>0</v>
      </c>
      <c r="AB23" s="52">
        <v>0</v>
      </c>
      <c r="AC23" s="92">
        <v>0</v>
      </c>
      <c r="AD23" s="45">
        <v>3.9065773392209131E-3</v>
      </c>
      <c r="AE23" s="46">
        <v>10671.91</v>
      </c>
      <c r="AF23" s="45">
        <v>3.445778892212713E-3</v>
      </c>
      <c r="AG23" s="46">
        <v>9413.11</v>
      </c>
      <c r="AH23" s="52">
        <v>0</v>
      </c>
      <c r="AI23" s="54"/>
      <c r="AJ23" s="45">
        <v>0.11559833345879486</v>
      </c>
      <c r="AK23" s="37">
        <f>ROUND(Gantt!AK23*(centralizator!$R$18-1),2)</f>
        <v>74823.100000000006</v>
      </c>
      <c r="AL23" s="45">
        <v>0.16681555737554915</v>
      </c>
      <c r="AM23" s="48">
        <v>455703.41</v>
      </c>
      <c r="AN23" s="45">
        <v>0.1814553304957891</v>
      </c>
      <c r="AO23" s="48">
        <v>495696.05</v>
      </c>
      <c r="AP23" s="45">
        <v>0.18035897209352184</v>
      </c>
      <c r="AQ23" s="48">
        <v>492701.04</v>
      </c>
      <c r="AR23" s="45">
        <v>0.1483668282458056</v>
      </c>
      <c r="AS23" s="48">
        <v>405305.54</v>
      </c>
      <c r="AT23" s="45">
        <v>5.0238166893700704E-2</v>
      </c>
      <c r="AU23" s="48">
        <v>137239.6215664004</v>
      </c>
      <c r="AV23" s="39">
        <f t="shared" si="0"/>
        <v>240966.11999999918</v>
      </c>
      <c r="AW23" s="40">
        <f t="shared" si="2"/>
        <v>429345.31560041138</v>
      </c>
      <c r="AX23" s="40">
        <f t="shared" si="3"/>
        <v>2061469.6043995889</v>
      </c>
      <c r="AY23" s="40">
        <f t="shared" si="4"/>
        <v>2490814.9200000004</v>
      </c>
      <c r="AZ23" s="41">
        <f t="shared" si="1"/>
        <v>240965.11999999965</v>
      </c>
    </row>
    <row r="24" spans="1:52" s="93" customFormat="1" ht="14.4">
      <c r="A24" s="42"/>
      <c r="B24" s="43" t="s">
        <v>84</v>
      </c>
      <c r="C24" s="44">
        <v>36215.89</v>
      </c>
      <c r="D24" s="52">
        <v>0</v>
      </c>
      <c r="E24" s="53"/>
      <c r="F24" s="52">
        <v>0</v>
      </c>
      <c r="G24" s="53"/>
      <c r="H24" s="52">
        <v>0</v>
      </c>
      <c r="I24" s="73"/>
      <c r="J24" s="52">
        <v>0</v>
      </c>
      <c r="K24" s="53"/>
      <c r="L24" s="52">
        <v>0</v>
      </c>
      <c r="M24" s="53"/>
      <c r="N24" s="52">
        <v>0</v>
      </c>
      <c r="O24" s="53"/>
      <c r="P24" s="74">
        <v>0</v>
      </c>
      <c r="Q24" s="53"/>
      <c r="R24" s="75">
        <v>0</v>
      </c>
      <c r="S24" s="53"/>
      <c r="T24" s="75">
        <v>0</v>
      </c>
      <c r="U24" s="53"/>
      <c r="V24" s="74">
        <v>0</v>
      </c>
      <c r="W24" s="53"/>
      <c r="X24" s="52">
        <v>0</v>
      </c>
      <c r="Y24" s="53">
        <v>0</v>
      </c>
      <c r="Z24" s="52">
        <v>0</v>
      </c>
      <c r="AA24" s="53"/>
      <c r="AB24" s="52">
        <v>0</v>
      </c>
      <c r="AC24" s="53">
        <v>0</v>
      </c>
      <c r="AD24" s="52">
        <v>0</v>
      </c>
      <c r="AE24" s="53"/>
      <c r="AF24" s="66">
        <v>0.95808773441713013</v>
      </c>
      <c r="AG24" s="79">
        <v>34698</v>
      </c>
      <c r="AH24" s="52"/>
      <c r="AI24" s="54"/>
      <c r="AJ24" s="55"/>
      <c r="AK24" s="37">
        <f>ROUND(Gantt!AK24*(centralizator!$R$18-1),2)</f>
        <v>0</v>
      </c>
      <c r="AL24" s="55"/>
      <c r="AM24" s="56"/>
      <c r="AN24" s="55"/>
      <c r="AO24" s="56"/>
      <c r="AP24" s="55"/>
      <c r="AQ24" s="56"/>
      <c r="AR24" s="66">
        <v>4.1418283521404559E-2</v>
      </c>
      <c r="AS24" s="68">
        <v>1500</v>
      </c>
      <c r="AT24" s="66">
        <v>4.9398206146526898E-4</v>
      </c>
      <c r="AU24" s="68">
        <v>17.889999999999418</v>
      </c>
      <c r="AV24" s="39">
        <f t="shared" si="0"/>
        <v>0</v>
      </c>
      <c r="AW24" s="40">
        <f t="shared" si="2"/>
        <v>34698.95808773442</v>
      </c>
      <c r="AX24" s="40">
        <f t="shared" si="3"/>
        <v>1517.9319122655822</v>
      </c>
      <c r="AY24" s="40">
        <f t="shared" si="4"/>
        <v>36216.89</v>
      </c>
      <c r="AZ24" s="41">
        <f t="shared" si="1"/>
        <v>-1</v>
      </c>
    </row>
    <row r="25" spans="1:52" ht="14.4">
      <c r="A25" s="30">
        <v>24.7</v>
      </c>
      <c r="B25" s="31" t="s">
        <v>85</v>
      </c>
      <c r="C25" s="32">
        <f>SUM(C26:C31)</f>
        <v>9489213.1899999995</v>
      </c>
      <c r="D25" s="33">
        <v>0</v>
      </c>
      <c r="E25" s="76">
        <v>0</v>
      </c>
      <c r="F25" s="33">
        <v>0</v>
      </c>
      <c r="G25" s="76">
        <v>0</v>
      </c>
      <c r="H25" s="33">
        <v>0</v>
      </c>
      <c r="I25" s="81">
        <v>0</v>
      </c>
      <c r="J25" s="33">
        <v>0</v>
      </c>
      <c r="K25" s="76"/>
      <c r="L25" s="33">
        <v>0</v>
      </c>
      <c r="M25" s="76"/>
      <c r="N25" s="33">
        <v>0</v>
      </c>
      <c r="O25" s="76"/>
      <c r="P25" s="35">
        <v>0</v>
      </c>
      <c r="Q25" s="76">
        <v>0</v>
      </c>
      <c r="R25" s="36">
        <v>8.6370069213293765E-3</v>
      </c>
      <c r="S25" s="76">
        <v>81958.400000000009</v>
      </c>
      <c r="T25" s="36">
        <v>4.212477915674271E-2</v>
      </c>
      <c r="U25" s="76">
        <v>399731.01</v>
      </c>
      <c r="V25" s="35">
        <v>4.3140496854513176E-2</v>
      </c>
      <c r="W25" s="76">
        <v>409369.37177499995</v>
      </c>
      <c r="X25" s="33">
        <v>8.467812703868656E-2</v>
      </c>
      <c r="Y25" s="76">
        <v>803528.8</v>
      </c>
      <c r="Z25" s="33">
        <v>8.3413429981121542E-2</v>
      </c>
      <c r="AA25" s="76">
        <v>791527.82</v>
      </c>
      <c r="AB25" s="33">
        <v>0.10741426602936298</v>
      </c>
      <c r="AC25" s="76">
        <v>1019276.8700000001</v>
      </c>
      <c r="AD25" s="33">
        <v>6.0923823548325186E-2</v>
      </c>
      <c r="AE25" s="76">
        <v>578119.14999999991</v>
      </c>
      <c r="AF25" s="33">
        <v>9.0569662920598801E-2</v>
      </c>
      <c r="AG25" s="76">
        <v>859434.84</v>
      </c>
      <c r="AH25" s="33">
        <v>4.8934155098269011E-2</v>
      </c>
      <c r="AI25" s="77">
        <v>464346.63</v>
      </c>
      <c r="AJ25" s="78"/>
      <c r="AK25" s="37">
        <f>ROUND(Gantt!AK25*(centralizator!$R$18-1),2)</f>
        <v>117962.71</v>
      </c>
      <c r="AL25" s="78"/>
      <c r="AM25" s="77">
        <v>687830</v>
      </c>
      <c r="AN25" s="78"/>
      <c r="AO25" s="77">
        <v>837156</v>
      </c>
      <c r="AP25" s="78"/>
      <c r="AQ25" s="77">
        <v>857331.19999999995</v>
      </c>
      <c r="AR25" s="78"/>
      <c r="AS25" s="77">
        <v>1157689.9500000002</v>
      </c>
      <c r="AT25" s="33">
        <v>4.6425501612109843E-3</v>
      </c>
      <c r="AU25" s="76">
        <v>44054.148224999895</v>
      </c>
      <c r="AV25" s="39">
        <f t="shared" si="0"/>
        <v>379896.28999999911</v>
      </c>
      <c r="AW25" s="40">
        <f t="shared" si="2"/>
        <v>5407293.4616107475</v>
      </c>
      <c r="AX25" s="40">
        <f t="shared" si="3"/>
        <v>3702024.0128675504</v>
      </c>
      <c r="AY25" s="40">
        <f t="shared" si="4"/>
        <v>9109317.4744782969</v>
      </c>
      <c r="AZ25" s="41">
        <f t="shared" si="1"/>
        <v>379895.71552170254</v>
      </c>
    </row>
    <row r="26" spans="1:52" ht="14.4">
      <c r="A26" s="42" t="s">
        <v>86</v>
      </c>
      <c r="B26" s="43" t="s">
        <v>87</v>
      </c>
      <c r="C26" s="58">
        <v>3622456.33</v>
      </c>
      <c r="D26" s="52"/>
      <c r="E26" s="53"/>
      <c r="F26" s="52">
        <v>0</v>
      </c>
      <c r="G26" s="53"/>
      <c r="H26" s="52">
        <v>0</v>
      </c>
      <c r="I26" s="73"/>
      <c r="J26" s="52">
        <v>0</v>
      </c>
      <c r="K26" s="53"/>
      <c r="L26" s="52">
        <v>0</v>
      </c>
      <c r="M26" s="53"/>
      <c r="N26" s="52">
        <v>0</v>
      </c>
      <c r="O26" s="53"/>
      <c r="P26" s="74">
        <v>0</v>
      </c>
      <c r="Q26" s="53"/>
      <c r="R26" s="75">
        <v>0</v>
      </c>
      <c r="S26" s="53"/>
      <c r="T26" s="50">
        <v>7.4547918704654201E-2</v>
      </c>
      <c r="U26" s="46">
        <v>270046.58</v>
      </c>
      <c r="V26" s="49">
        <v>5.9351729714599476E-2</v>
      </c>
      <c r="W26" s="51">
        <v>214999.04900109998</v>
      </c>
      <c r="X26" s="45">
        <v>0.10732036347281515</v>
      </c>
      <c r="Y26" s="46">
        <v>388763.33</v>
      </c>
      <c r="Z26" s="45">
        <v>5.7462945315892876E-2</v>
      </c>
      <c r="AA26" s="46">
        <v>208157.01</v>
      </c>
      <c r="AB26" s="45">
        <v>0.13050063187373193</v>
      </c>
      <c r="AC26" s="46">
        <v>472732.84</v>
      </c>
      <c r="AD26" s="45">
        <v>7.54831156239225E-2</v>
      </c>
      <c r="AE26" s="46">
        <v>273434.28999999998</v>
      </c>
      <c r="AF26" s="45">
        <v>5.0568107193717363E-2</v>
      </c>
      <c r="AG26" s="46">
        <v>183180.76</v>
      </c>
      <c r="AH26" s="52">
        <v>0</v>
      </c>
      <c r="AI26" s="54"/>
      <c r="AJ26" s="45">
        <v>5.1264662174685206E-2</v>
      </c>
      <c r="AK26" s="37">
        <f>ROUND(Gantt!AK26*(centralizator!$R$18-1),2)</f>
        <v>44000.71</v>
      </c>
      <c r="AL26" s="45">
        <v>8.4668515520793033E-2</v>
      </c>
      <c r="AM26" s="48">
        <v>306708</v>
      </c>
      <c r="AN26" s="45">
        <v>0.1043239629613423</v>
      </c>
      <c r="AO26" s="48">
        <v>377909</v>
      </c>
      <c r="AP26" s="45">
        <v>7.492264233865864E-2</v>
      </c>
      <c r="AQ26" s="48">
        <v>271404</v>
      </c>
      <c r="AR26" s="45">
        <v>0.12452876139986482</v>
      </c>
      <c r="AS26" s="48">
        <v>451100</v>
      </c>
      <c r="AT26" s="45">
        <v>5.0566437053224632E-3</v>
      </c>
      <c r="AU26" s="48">
        <v>18317.470998900011</v>
      </c>
      <c r="AV26" s="39">
        <f t="shared" si="0"/>
        <v>141703.28999999957</v>
      </c>
      <c r="AW26" s="40">
        <f t="shared" si="2"/>
        <v>2011314.4142359123</v>
      </c>
      <c r="AX26" s="40">
        <f t="shared" si="3"/>
        <v>1469439.625764088</v>
      </c>
      <c r="AY26" s="40">
        <f t="shared" si="4"/>
        <v>3480754.04</v>
      </c>
      <c r="AZ26" s="41">
        <f t="shared" si="1"/>
        <v>141702.29000000004</v>
      </c>
    </row>
    <row r="27" spans="1:52" ht="14.4">
      <c r="A27" s="42"/>
      <c r="B27" s="43" t="s">
        <v>88</v>
      </c>
      <c r="C27" s="94">
        <v>138133.35</v>
      </c>
      <c r="D27" s="52"/>
      <c r="E27" s="53"/>
      <c r="F27" s="52">
        <v>0</v>
      </c>
      <c r="G27" s="53"/>
      <c r="H27" s="52">
        <v>0</v>
      </c>
      <c r="I27" s="73"/>
      <c r="J27" s="52">
        <v>0</v>
      </c>
      <c r="K27" s="53"/>
      <c r="L27" s="52">
        <v>0</v>
      </c>
      <c r="M27" s="53"/>
      <c r="N27" s="52">
        <v>0</v>
      </c>
      <c r="O27" s="53"/>
      <c r="P27" s="74">
        <v>0</v>
      </c>
      <c r="Q27" s="53"/>
      <c r="R27" s="75">
        <v>0</v>
      </c>
      <c r="S27" s="53"/>
      <c r="T27" s="75">
        <v>0</v>
      </c>
      <c r="U27" s="53"/>
      <c r="V27" s="74">
        <v>0</v>
      </c>
      <c r="W27" s="95">
        <v>0</v>
      </c>
      <c r="X27" s="52">
        <v>0</v>
      </c>
      <c r="Y27" s="53"/>
      <c r="Z27" s="52">
        <v>0</v>
      </c>
      <c r="AA27" s="53"/>
      <c r="AB27" s="52">
        <v>0</v>
      </c>
      <c r="AC27" s="53"/>
      <c r="AD27" s="52">
        <v>0</v>
      </c>
      <c r="AE27" s="53"/>
      <c r="AF27" s="52">
        <v>0</v>
      </c>
      <c r="AG27" s="53"/>
      <c r="AH27" s="52"/>
      <c r="AI27" s="54"/>
      <c r="AJ27" s="55"/>
      <c r="AK27" s="37">
        <f>ROUND(Gantt!AK27*(centralizator!$R$18-1),2)</f>
        <v>0</v>
      </c>
      <c r="AL27" s="55"/>
      <c r="AM27" s="56"/>
      <c r="AN27" s="55"/>
      <c r="AO27" s="56"/>
      <c r="AP27" s="96">
        <v>3.8132136709568006E-2</v>
      </c>
      <c r="AQ27" s="97">
        <v>138132</v>
      </c>
      <c r="AR27" s="55"/>
      <c r="AS27" s="56"/>
      <c r="AT27" s="52">
        <v>9.7731648440135608E-6</v>
      </c>
      <c r="AU27" s="56">
        <v>1.3500000000058208</v>
      </c>
      <c r="AV27" s="39">
        <f t="shared" si="0"/>
        <v>0</v>
      </c>
      <c r="AW27" s="40">
        <f t="shared" si="2"/>
        <v>0</v>
      </c>
      <c r="AX27" s="40">
        <f t="shared" si="3"/>
        <v>138133.38814190988</v>
      </c>
      <c r="AY27" s="40">
        <f t="shared" si="4"/>
        <v>138133.38814190988</v>
      </c>
      <c r="AZ27" s="41">
        <f t="shared" si="1"/>
        <v>-3.8141909870319068E-2</v>
      </c>
    </row>
    <row r="28" spans="1:52" ht="14.4">
      <c r="A28" s="42" t="s">
        <v>89</v>
      </c>
      <c r="B28" s="43" t="s">
        <v>90</v>
      </c>
      <c r="C28" s="44">
        <v>677604.14</v>
      </c>
      <c r="D28" s="52"/>
      <c r="E28" s="53"/>
      <c r="F28" s="52">
        <v>0</v>
      </c>
      <c r="G28" s="53"/>
      <c r="H28" s="52">
        <v>0</v>
      </c>
      <c r="I28" s="73"/>
      <c r="J28" s="52">
        <v>0</v>
      </c>
      <c r="K28" s="53"/>
      <c r="L28" s="52">
        <v>0</v>
      </c>
      <c r="M28" s="53"/>
      <c r="N28" s="52">
        <v>0</v>
      </c>
      <c r="O28" s="53"/>
      <c r="P28" s="74">
        <v>0</v>
      </c>
      <c r="Q28" s="53"/>
      <c r="R28" s="75">
        <v>0</v>
      </c>
      <c r="S28" s="53"/>
      <c r="T28" s="75">
        <v>0</v>
      </c>
      <c r="U28" s="53"/>
      <c r="V28" s="74">
        <v>0</v>
      </c>
      <c r="W28" s="95">
        <v>0</v>
      </c>
      <c r="X28" s="52">
        <v>0</v>
      </c>
      <c r="Y28" s="53"/>
      <c r="Z28" s="45">
        <v>0.43600481838850624</v>
      </c>
      <c r="AA28" s="46">
        <v>295438.67</v>
      </c>
      <c r="AB28" s="45">
        <v>8.0492380108539485E-2</v>
      </c>
      <c r="AC28" s="46">
        <v>54541.97</v>
      </c>
      <c r="AD28" s="52">
        <v>0</v>
      </c>
      <c r="AE28" s="53"/>
      <c r="AF28" s="45">
        <v>0.13093758547579123</v>
      </c>
      <c r="AG28" s="46">
        <v>88723.85</v>
      </c>
      <c r="AH28" s="45">
        <v>0.20989932263400868</v>
      </c>
      <c r="AI28" s="83">
        <v>142228.65</v>
      </c>
      <c r="AJ28" s="45">
        <v>4.1240893244837609E-2</v>
      </c>
      <c r="AK28" s="37">
        <f>ROUND(Gantt!AK28*(centralizator!$R$18-1),2)</f>
        <v>6621.29</v>
      </c>
      <c r="AL28" s="45">
        <v>3.940944044409174E-2</v>
      </c>
      <c r="AM28" s="48">
        <v>26704</v>
      </c>
      <c r="AN28" s="45">
        <v>2.1406303686397194E-2</v>
      </c>
      <c r="AO28" s="48">
        <v>14505</v>
      </c>
      <c r="AP28" s="45">
        <v>2.0497513489218057E-2</v>
      </c>
      <c r="AQ28" s="48">
        <v>13889.2</v>
      </c>
      <c r="AR28" s="45">
        <v>1.8980167387997366E-2</v>
      </c>
      <c r="AS28" s="48">
        <v>12861.04</v>
      </c>
      <c r="AT28" s="45">
        <v>1.1315751406123483E-3</v>
      </c>
      <c r="AU28" s="48">
        <v>766.76000000000931</v>
      </c>
      <c r="AV28" s="39">
        <f t="shared" si="0"/>
        <v>21323.710000000079</v>
      </c>
      <c r="AW28" s="40">
        <f t="shared" si="2"/>
        <v>580933.99733410659</v>
      </c>
      <c r="AX28" s="40">
        <f t="shared" si="3"/>
        <v>75347.432665893415</v>
      </c>
      <c r="AY28" s="40">
        <f t="shared" si="4"/>
        <v>656281.43000000005</v>
      </c>
      <c r="AZ28" s="41">
        <f t="shared" si="1"/>
        <v>21322.709999999963</v>
      </c>
    </row>
    <row r="29" spans="1:52" ht="14.4">
      <c r="A29" s="42"/>
      <c r="B29" s="43" t="s">
        <v>91</v>
      </c>
      <c r="C29" s="44">
        <v>8763.09</v>
      </c>
      <c r="D29" s="52"/>
      <c r="E29" s="53"/>
      <c r="F29" s="52">
        <v>0</v>
      </c>
      <c r="G29" s="53"/>
      <c r="H29" s="52">
        <v>0</v>
      </c>
      <c r="I29" s="73"/>
      <c r="J29" s="52">
        <v>0</v>
      </c>
      <c r="K29" s="53"/>
      <c r="L29" s="52">
        <v>0</v>
      </c>
      <c r="M29" s="53"/>
      <c r="N29" s="52">
        <v>0</v>
      </c>
      <c r="O29" s="53"/>
      <c r="P29" s="74">
        <v>0</v>
      </c>
      <c r="Q29" s="53"/>
      <c r="R29" s="75">
        <v>0</v>
      </c>
      <c r="S29" s="53"/>
      <c r="T29" s="75">
        <v>0</v>
      </c>
      <c r="U29" s="53"/>
      <c r="V29" s="74">
        <v>0</v>
      </c>
      <c r="W29" s="95">
        <v>0</v>
      </c>
      <c r="X29" s="52">
        <v>0</v>
      </c>
      <c r="Y29" s="53"/>
      <c r="Z29" s="66">
        <v>7.4149643561802966E-2</v>
      </c>
      <c r="AA29" s="79">
        <v>649.78</v>
      </c>
      <c r="AB29" s="52">
        <v>0</v>
      </c>
      <c r="AC29" s="53">
        <v>0</v>
      </c>
      <c r="AD29" s="52">
        <v>0</v>
      </c>
      <c r="AE29" s="53"/>
      <c r="AF29" s="66">
        <v>7.0186429672638301E-2</v>
      </c>
      <c r="AG29" s="79">
        <v>615.04999999999995</v>
      </c>
      <c r="AH29" s="66">
        <v>0.30350024934127118</v>
      </c>
      <c r="AI29" s="68">
        <v>2659.6</v>
      </c>
      <c r="AJ29" s="98"/>
      <c r="AK29" s="37">
        <f>ROUND(Gantt!AK29*(centralizator!$R$18-1),2)</f>
        <v>0</v>
      </c>
      <c r="AL29" s="55"/>
      <c r="AM29" s="56"/>
      <c r="AN29" s="55"/>
      <c r="AO29" s="56"/>
      <c r="AP29" s="55"/>
      <c r="AQ29" s="56"/>
      <c r="AR29" s="66">
        <v>0.47072436777438093</v>
      </c>
      <c r="AS29" s="68">
        <v>4125</v>
      </c>
      <c r="AT29" s="66">
        <v>8.1439309649906574E-2</v>
      </c>
      <c r="AU29" s="68">
        <v>713.65999999999985</v>
      </c>
      <c r="AV29" s="39">
        <f t="shared" si="0"/>
        <v>0</v>
      </c>
      <c r="AW29" s="40">
        <f t="shared" si="2"/>
        <v>3924.8778363225756</v>
      </c>
      <c r="AX29" s="40">
        <f t="shared" si="3"/>
        <v>4839.2121636774236</v>
      </c>
      <c r="AY29" s="40">
        <f t="shared" si="4"/>
        <v>8764.09</v>
      </c>
      <c r="AZ29" s="41">
        <f t="shared" si="1"/>
        <v>-1</v>
      </c>
    </row>
    <row r="30" spans="1:52" ht="14.4">
      <c r="A30" s="42" t="s">
        <v>92</v>
      </c>
      <c r="B30" s="43" t="s">
        <v>93</v>
      </c>
      <c r="C30" s="44">
        <v>3150677.75</v>
      </c>
      <c r="D30" s="52"/>
      <c r="E30" s="53"/>
      <c r="F30" s="52">
        <v>0</v>
      </c>
      <c r="G30" s="53"/>
      <c r="H30" s="52">
        <v>0</v>
      </c>
      <c r="I30" s="73"/>
      <c r="J30" s="52">
        <v>0</v>
      </c>
      <c r="K30" s="53"/>
      <c r="L30" s="52">
        <v>0</v>
      </c>
      <c r="M30" s="53"/>
      <c r="N30" s="52">
        <v>0</v>
      </c>
      <c r="O30" s="53"/>
      <c r="P30" s="74">
        <v>0</v>
      </c>
      <c r="Q30" s="53"/>
      <c r="R30" s="50">
        <v>2.4566765039680749E-2</v>
      </c>
      <c r="S30" s="46">
        <v>77401.960000000006</v>
      </c>
      <c r="T30" s="50">
        <v>4.1160804211093943E-2</v>
      </c>
      <c r="U30" s="46">
        <v>129684.43</v>
      </c>
      <c r="V30" s="49">
        <v>6.0342315848169494E-2</v>
      </c>
      <c r="W30" s="51">
        <v>190119.1919263</v>
      </c>
      <c r="X30" s="45">
        <v>0.1288036232839109</v>
      </c>
      <c r="Y30" s="46">
        <v>405818.71</v>
      </c>
      <c r="Z30" s="45">
        <v>8.9223510719241284E-2</v>
      </c>
      <c r="AA30" s="46">
        <v>281114.53000000003</v>
      </c>
      <c r="AB30" s="45">
        <v>0.15277230430817623</v>
      </c>
      <c r="AC30" s="46">
        <v>481336.3</v>
      </c>
      <c r="AD30" s="45">
        <v>9.4622790286946992E-2</v>
      </c>
      <c r="AE30" s="46">
        <v>298125.92</v>
      </c>
      <c r="AF30" s="45">
        <v>0.13606690179597072</v>
      </c>
      <c r="AG30" s="46">
        <v>428702.96</v>
      </c>
      <c r="AH30" s="45">
        <v>5.7103853289978641E-2</v>
      </c>
      <c r="AI30" s="48">
        <v>179915.84</v>
      </c>
      <c r="AJ30" s="45">
        <v>3.3866998933800831E-2</v>
      </c>
      <c r="AK30" s="37">
        <f>ROUND(Gantt!AK30*(centralizator!$R$18-1),2)</f>
        <v>25282.45</v>
      </c>
      <c r="AL30" s="45">
        <v>4.9135142430862692E-2</v>
      </c>
      <c r="AM30" s="48">
        <v>154809</v>
      </c>
      <c r="AN30" s="45">
        <v>4.5798082650629693E-2</v>
      </c>
      <c r="AO30" s="48">
        <v>144295</v>
      </c>
      <c r="AP30" s="45">
        <v>4.5767613015961404E-2</v>
      </c>
      <c r="AQ30" s="48">
        <v>144199</v>
      </c>
      <c r="AR30" s="45">
        <v>3.3070979728091837E-2</v>
      </c>
      <c r="AS30" s="48">
        <v>104196</v>
      </c>
      <c r="AT30" s="45">
        <v>7.6983144574845948E-3</v>
      </c>
      <c r="AU30" s="48">
        <v>24254.908073700033</v>
      </c>
      <c r="AV30" s="39">
        <f t="shared" si="0"/>
        <v>81421.549999999814</v>
      </c>
      <c r="AW30" s="40">
        <f t="shared" si="2"/>
        <v>2472220.6265891688</v>
      </c>
      <c r="AX30" s="40">
        <f t="shared" si="3"/>
        <v>597036.57341083128</v>
      </c>
      <c r="AY30" s="40">
        <f t="shared" si="4"/>
        <v>3069257.2</v>
      </c>
      <c r="AZ30" s="41">
        <f t="shared" si="1"/>
        <v>81420.549999999814</v>
      </c>
    </row>
    <row r="31" spans="1:52" ht="14.4">
      <c r="A31" s="42"/>
      <c r="B31" s="43" t="s">
        <v>94</v>
      </c>
      <c r="C31" s="44">
        <v>1891578.53</v>
      </c>
      <c r="D31" s="52"/>
      <c r="E31" s="53"/>
      <c r="F31" s="52">
        <v>0</v>
      </c>
      <c r="G31" s="53"/>
      <c r="H31" s="52">
        <v>0</v>
      </c>
      <c r="I31" s="73"/>
      <c r="J31" s="52">
        <v>0</v>
      </c>
      <c r="K31" s="53"/>
      <c r="L31" s="52">
        <v>0</v>
      </c>
      <c r="M31" s="53"/>
      <c r="N31" s="52">
        <v>0</v>
      </c>
      <c r="O31" s="53"/>
      <c r="P31" s="74">
        <v>0</v>
      </c>
      <c r="Q31" s="53"/>
      <c r="R31" s="64">
        <v>2.4088029800169064E-3</v>
      </c>
      <c r="S31" s="79">
        <v>4556.4399999999996</v>
      </c>
      <c r="T31" s="75">
        <v>0</v>
      </c>
      <c r="U31" s="53"/>
      <c r="V31" s="62">
        <v>2.2473985510926687E-3</v>
      </c>
      <c r="W31" s="65">
        <v>4251.1308476000004</v>
      </c>
      <c r="X31" s="66">
        <v>4.7297851281913206E-3</v>
      </c>
      <c r="Y31" s="79">
        <v>8946.76</v>
      </c>
      <c r="Z31" s="66">
        <v>3.2606787940228947E-3</v>
      </c>
      <c r="AA31" s="79">
        <v>6167.83</v>
      </c>
      <c r="AB31" s="66">
        <v>5.6385499363856709E-3</v>
      </c>
      <c r="AC31" s="79">
        <v>10665.76</v>
      </c>
      <c r="AD31" s="66">
        <v>3.4674426125993296E-3</v>
      </c>
      <c r="AE31" s="79">
        <v>6558.94</v>
      </c>
      <c r="AF31" s="66">
        <v>8.3640312834381766E-2</v>
      </c>
      <c r="AG31" s="79">
        <v>158212.22</v>
      </c>
      <c r="AH31" s="66">
        <v>7.377041861434111E-2</v>
      </c>
      <c r="AI31" s="68">
        <v>139542.54</v>
      </c>
      <c r="AJ31" s="66">
        <v>9.3840143131673201E-2</v>
      </c>
      <c r="AK31" s="37">
        <f>ROUND(Gantt!AK31*(centralizator!$R$18-1),2)</f>
        <v>42058.27</v>
      </c>
      <c r="AL31" s="66">
        <v>0.10552509284401743</v>
      </c>
      <c r="AM31" s="68">
        <v>199609</v>
      </c>
      <c r="AN31" s="66">
        <v>0.15883400833482711</v>
      </c>
      <c r="AO31" s="68">
        <v>300447</v>
      </c>
      <c r="AP31" s="66">
        <v>0.15315621075483449</v>
      </c>
      <c r="AQ31" s="68">
        <v>289707</v>
      </c>
      <c r="AR31" s="66">
        <v>0.3094811559317075</v>
      </c>
      <c r="AS31" s="68">
        <v>585407.91</v>
      </c>
      <c r="AT31" s="66">
        <v>-4.4809145069816468E-10</v>
      </c>
      <c r="AU31" s="68">
        <v>-8.4760016761720181E-4</v>
      </c>
      <c r="AV31" s="39">
        <f t="shared" si="0"/>
        <v>135447.73000000021</v>
      </c>
      <c r="AW31" s="40">
        <f t="shared" si="2"/>
        <v>338901.80001098948</v>
      </c>
      <c r="AX31" s="40">
        <f t="shared" si="3"/>
        <v>1417229.9999890104</v>
      </c>
      <c r="AY31" s="40">
        <f t="shared" si="4"/>
        <v>1756131.7999999998</v>
      </c>
      <c r="AZ31" s="41">
        <f t="shared" si="1"/>
        <v>135446.73000000021</v>
      </c>
    </row>
    <row r="32" spans="1:52" ht="14.4">
      <c r="A32" s="30">
        <v>24.8</v>
      </c>
      <c r="B32" s="31" t="s">
        <v>95</v>
      </c>
      <c r="C32" s="32">
        <f>SUM(C33:C38)</f>
        <v>10165088.700000001</v>
      </c>
      <c r="D32" s="33">
        <v>0</v>
      </c>
      <c r="E32" s="76">
        <v>0</v>
      </c>
      <c r="F32" s="33">
        <v>0</v>
      </c>
      <c r="G32" s="76">
        <v>0</v>
      </c>
      <c r="H32" s="33">
        <v>0</v>
      </c>
      <c r="I32" s="81">
        <v>0</v>
      </c>
      <c r="J32" s="33">
        <v>2.6180242775451626E-2</v>
      </c>
      <c r="K32" s="76">
        <v>266124.49</v>
      </c>
      <c r="L32" s="33">
        <v>2.1648693532797209E-2</v>
      </c>
      <c r="M32" s="76">
        <v>220060.89</v>
      </c>
      <c r="N32" s="33">
        <v>9.0175179681412903E-3</v>
      </c>
      <c r="O32" s="76">
        <v>91663.87</v>
      </c>
      <c r="P32" s="35">
        <v>5.7094022209565175E-3</v>
      </c>
      <c r="Q32" s="76">
        <v>58036.58</v>
      </c>
      <c r="R32" s="36">
        <v>7.1056753297194528E-3</v>
      </c>
      <c r="S32" s="76">
        <v>72229.819999999992</v>
      </c>
      <c r="T32" s="36">
        <v>9.9363264778988096E-3</v>
      </c>
      <c r="U32" s="76">
        <v>101003.64</v>
      </c>
      <c r="V32" s="35">
        <v>7.1885250724137803E-2</v>
      </c>
      <c r="W32" s="76">
        <v>730719.94983260008</v>
      </c>
      <c r="X32" s="33">
        <v>7.9903894985195734E-2</v>
      </c>
      <c r="Y32" s="76">
        <v>812230.17999999993</v>
      </c>
      <c r="Z32" s="33">
        <v>9.823754218691666E-2</v>
      </c>
      <c r="AA32" s="76">
        <v>998593.33</v>
      </c>
      <c r="AB32" s="33">
        <v>7.4343790035004811E-2</v>
      </c>
      <c r="AC32" s="76">
        <v>755711.22000000009</v>
      </c>
      <c r="AD32" s="33">
        <v>5.9991923139834473E-2</v>
      </c>
      <c r="AE32" s="76">
        <v>609823.22</v>
      </c>
      <c r="AF32" s="33">
        <v>5.355216034661852E-2</v>
      </c>
      <c r="AG32" s="76">
        <v>544362.46000000008</v>
      </c>
      <c r="AH32" s="33">
        <v>3.3853779357577073E-2</v>
      </c>
      <c r="AI32" s="76">
        <v>344126.67</v>
      </c>
      <c r="AJ32" s="78"/>
      <c r="AK32" s="37">
        <f>ROUND(Gantt!AK32*(centralizator!$R$18-1),2)</f>
        <v>339354.71</v>
      </c>
      <c r="AL32" s="78"/>
      <c r="AM32" s="76">
        <v>1711839</v>
      </c>
      <c r="AN32" s="78"/>
      <c r="AO32" s="76">
        <v>1041642.32</v>
      </c>
      <c r="AP32" s="78"/>
      <c r="AQ32" s="76">
        <v>374682.06</v>
      </c>
      <c r="AR32" s="78"/>
      <c r="AS32" s="77">
        <v>0</v>
      </c>
      <c r="AT32" s="33">
        <v>1.6468232277751446E-11</v>
      </c>
      <c r="AU32" s="82">
        <v>1.6740104183554649E-4</v>
      </c>
      <c r="AV32" s="39">
        <f t="shared" si="0"/>
        <v>1092884.290000001</v>
      </c>
      <c r="AW32" s="40">
        <f t="shared" si="2"/>
        <v>5604686.8711987985</v>
      </c>
      <c r="AX32" s="40">
        <f t="shared" si="3"/>
        <v>3467518.0901674009</v>
      </c>
      <c r="AY32" s="40">
        <f t="shared" si="4"/>
        <v>9072204.961366199</v>
      </c>
      <c r="AZ32" s="41">
        <f t="shared" si="1"/>
        <v>1092883.7386338022</v>
      </c>
    </row>
    <row r="33" spans="1:52" ht="14.4">
      <c r="A33" s="42" t="s">
        <v>96</v>
      </c>
      <c r="B33" s="43" t="s">
        <v>97</v>
      </c>
      <c r="C33" s="99">
        <v>79198.59</v>
      </c>
      <c r="D33" s="52"/>
      <c r="E33" s="53"/>
      <c r="F33" s="52">
        <v>0</v>
      </c>
      <c r="G33" s="53"/>
      <c r="H33" s="52">
        <v>0</v>
      </c>
      <c r="I33" s="73"/>
      <c r="J33" s="52">
        <v>0</v>
      </c>
      <c r="K33" s="53"/>
      <c r="L33" s="52">
        <v>0</v>
      </c>
      <c r="M33" s="53"/>
      <c r="N33" s="52">
        <v>0</v>
      </c>
      <c r="O33" s="53"/>
      <c r="P33" s="74">
        <v>0</v>
      </c>
      <c r="Q33" s="53"/>
      <c r="R33" s="50">
        <v>0.18929592054606023</v>
      </c>
      <c r="S33" s="46">
        <v>14991.97</v>
      </c>
      <c r="T33" s="75">
        <v>0</v>
      </c>
      <c r="U33" s="53"/>
      <c r="V33" s="49">
        <v>6.6911200710770224E-2</v>
      </c>
      <c r="W33" s="51">
        <v>5299.2727514999997</v>
      </c>
      <c r="X33" s="45">
        <v>0.13289390631828168</v>
      </c>
      <c r="Y33" s="46">
        <v>10525.01</v>
      </c>
      <c r="Z33" s="45">
        <v>0.22793764383936635</v>
      </c>
      <c r="AA33" s="46">
        <v>18052.34</v>
      </c>
      <c r="AB33" s="45">
        <v>0.10649520401815235</v>
      </c>
      <c r="AC33" s="46">
        <v>8434.27</v>
      </c>
      <c r="AD33" s="45">
        <v>0.13959541451432406</v>
      </c>
      <c r="AE33" s="46">
        <v>11055.76</v>
      </c>
      <c r="AF33" s="52">
        <v>0</v>
      </c>
      <c r="AG33" s="53">
        <v>0</v>
      </c>
      <c r="AH33" s="52">
        <v>0</v>
      </c>
      <c r="AI33" s="56"/>
      <c r="AJ33" s="52">
        <v>0</v>
      </c>
      <c r="AK33" s="37">
        <f>ROUND(Gantt!AK33*(centralizator!$R$18-1),2)</f>
        <v>0</v>
      </c>
      <c r="AL33" s="45">
        <v>9.147890132892518E-2</v>
      </c>
      <c r="AM33" s="48">
        <v>7245</v>
      </c>
      <c r="AN33" s="45">
        <v>4.5391843465900084E-2</v>
      </c>
      <c r="AO33" s="48">
        <v>3594.97</v>
      </c>
      <c r="AP33" s="100"/>
      <c r="AQ33" s="101"/>
      <c r="AR33" s="55"/>
      <c r="AS33" s="56"/>
      <c r="AT33" s="52">
        <v>-3.4741780081193101E-8</v>
      </c>
      <c r="AU33" s="56">
        <v>-2.7514999965205789E-3</v>
      </c>
      <c r="AV33" s="39">
        <f t="shared" si="0"/>
        <v>0</v>
      </c>
      <c r="AW33" s="40">
        <f t="shared" si="2"/>
        <v>68359.485880789944</v>
      </c>
      <c r="AX33" s="40">
        <f t="shared" si="3"/>
        <v>10840.104119210057</v>
      </c>
      <c r="AY33" s="40">
        <f t="shared" si="4"/>
        <v>79199.59</v>
      </c>
      <c r="AZ33" s="41">
        <f t="shared" si="1"/>
        <v>-1</v>
      </c>
    </row>
    <row r="34" spans="1:52" ht="14.4">
      <c r="A34" s="42" t="s">
        <v>98</v>
      </c>
      <c r="B34" s="43" t="s">
        <v>99</v>
      </c>
      <c r="C34" s="44">
        <v>8107046.6500000004</v>
      </c>
      <c r="D34" s="52"/>
      <c r="E34" s="53"/>
      <c r="F34" s="52">
        <v>0</v>
      </c>
      <c r="G34" s="53"/>
      <c r="H34" s="52">
        <v>0</v>
      </c>
      <c r="I34" s="73"/>
      <c r="J34" s="45">
        <v>3.2826317830550532E-2</v>
      </c>
      <c r="K34" s="46">
        <v>266124.49</v>
      </c>
      <c r="L34" s="45">
        <v>2.7144396658923875E-2</v>
      </c>
      <c r="M34" s="46">
        <v>220060.89</v>
      </c>
      <c r="N34" s="45">
        <v>1.1306690828034151E-2</v>
      </c>
      <c r="O34" s="46">
        <v>91663.87</v>
      </c>
      <c r="P34" s="49">
        <v>7.1587820454937189E-3</v>
      </c>
      <c r="Q34" s="46">
        <v>58036.58</v>
      </c>
      <c r="R34" s="50">
        <v>7.0602591142114616E-3</v>
      </c>
      <c r="S34" s="46">
        <v>57237.85</v>
      </c>
      <c r="T34" s="50">
        <v>1.2458746613971932E-2</v>
      </c>
      <c r="U34" s="46">
        <v>101003.64</v>
      </c>
      <c r="V34" s="49">
        <v>7.1746414258760924E-2</v>
      </c>
      <c r="W34" s="51">
        <v>581651.52736599999</v>
      </c>
      <c r="X34" s="45">
        <v>5.7784279556353603E-2</v>
      </c>
      <c r="Y34" s="46">
        <v>468459.85</v>
      </c>
      <c r="Z34" s="45">
        <v>8.7594425030229711E-2</v>
      </c>
      <c r="AA34" s="46">
        <v>710132.09</v>
      </c>
      <c r="AB34" s="45">
        <v>6.8101237581999111E-2</v>
      </c>
      <c r="AC34" s="46">
        <v>552099.91</v>
      </c>
      <c r="AD34" s="45">
        <v>2.4510624963530955E-2</v>
      </c>
      <c r="AE34" s="46">
        <v>198708.78</v>
      </c>
      <c r="AF34" s="45">
        <v>4.7873021675532111E-2</v>
      </c>
      <c r="AG34" s="46">
        <v>388108.82</v>
      </c>
      <c r="AH34" s="45">
        <v>3.236157645645224E-2</v>
      </c>
      <c r="AI34" s="48">
        <v>262356.81</v>
      </c>
      <c r="AJ34" s="45">
        <v>0.16021728455207543</v>
      </c>
      <c r="AK34" s="37">
        <f>ROUND(Gantt!AK34*(centralizator!$R$18-1),2)</f>
        <v>307758.76</v>
      </c>
      <c r="AL34" s="45">
        <v>0.19371308292644399</v>
      </c>
      <c r="AM34" s="48">
        <v>1570441</v>
      </c>
      <c r="AN34" s="45">
        <v>0.11815424794675382</v>
      </c>
      <c r="AO34" s="48">
        <v>957882</v>
      </c>
      <c r="AP34" s="45">
        <v>3.9988611635779846E-2</v>
      </c>
      <c r="AQ34" s="48">
        <v>324189.54000000004</v>
      </c>
      <c r="AR34" s="52"/>
      <c r="AS34" s="56"/>
      <c r="AT34" s="52">
        <v>3.2490265298556744E-10</v>
      </c>
      <c r="AU34" s="56">
        <v>2.6340009644627571E-3</v>
      </c>
      <c r="AV34" s="39">
        <f t="shared" si="0"/>
        <v>991130.24000000115</v>
      </c>
      <c r="AW34" s="40">
        <f t="shared" si="2"/>
        <v>3955645.5952927722</v>
      </c>
      <c r="AX34" s="40">
        <f t="shared" si="3"/>
        <v>3160271.8147072284</v>
      </c>
      <c r="AY34" s="40">
        <f t="shared" si="4"/>
        <v>7115917.4100000001</v>
      </c>
      <c r="AZ34" s="41">
        <f t="shared" si="1"/>
        <v>991129.24000000022</v>
      </c>
    </row>
    <row r="35" spans="1:52" ht="14.4">
      <c r="A35" s="42" t="s">
        <v>100</v>
      </c>
      <c r="B35" s="43" t="s">
        <v>101</v>
      </c>
      <c r="C35" s="99">
        <v>726886.88</v>
      </c>
      <c r="D35" s="52"/>
      <c r="E35" s="53"/>
      <c r="F35" s="52">
        <v>0</v>
      </c>
      <c r="G35" s="53"/>
      <c r="H35" s="52">
        <v>0</v>
      </c>
      <c r="I35" s="73"/>
      <c r="J35" s="52">
        <v>0</v>
      </c>
      <c r="K35" s="53"/>
      <c r="L35" s="52">
        <v>0</v>
      </c>
      <c r="M35" s="53"/>
      <c r="N35" s="52">
        <v>0</v>
      </c>
      <c r="O35" s="53"/>
      <c r="P35" s="74">
        <v>0</v>
      </c>
      <c r="Q35" s="53"/>
      <c r="R35" s="75">
        <v>0</v>
      </c>
      <c r="S35" s="53"/>
      <c r="T35" s="75">
        <v>0</v>
      </c>
      <c r="U35" s="53"/>
      <c r="V35" s="49">
        <v>0.10751636456541902</v>
      </c>
      <c r="W35" s="51">
        <v>78152.234787899986</v>
      </c>
      <c r="X35" s="45">
        <v>5.9270020116472588E-2</v>
      </c>
      <c r="Y35" s="46">
        <v>43082.6</v>
      </c>
      <c r="Z35" s="45">
        <v>0.23395671964804207</v>
      </c>
      <c r="AA35" s="46">
        <v>170060.07</v>
      </c>
      <c r="AB35" s="45">
        <v>0.17591468977951563</v>
      </c>
      <c r="AC35" s="46">
        <v>127870.08</v>
      </c>
      <c r="AD35" s="45">
        <v>0.31395729690429963</v>
      </c>
      <c r="AE35" s="46">
        <v>228211.44</v>
      </c>
      <c r="AF35" s="45">
        <v>0.10430984804678275</v>
      </c>
      <c r="AG35" s="46">
        <v>75821.460000000006</v>
      </c>
      <c r="AH35" s="52">
        <v>0</v>
      </c>
      <c r="AI35" s="56">
        <v>0</v>
      </c>
      <c r="AJ35" s="45">
        <v>5.0750675263254164E-3</v>
      </c>
      <c r="AK35" s="37">
        <f>ROUND(Gantt!AK35*(centralizator!$R$18-1),2)</f>
        <v>874.07</v>
      </c>
      <c r="AL35" s="52">
        <v>0</v>
      </c>
      <c r="AM35" s="56"/>
      <c r="AN35" s="52">
        <v>0</v>
      </c>
      <c r="AO35" s="56"/>
      <c r="AP35" s="52"/>
      <c r="AQ35" s="56"/>
      <c r="AR35" s="52"/>
      <c r="AS35" s="56"/>
      <c r="AT35" s="52">
        <v>-6.5868569577452722E-9</v>
      </c>
      <c r="AU35" s="56">
        <v>-4.7878999030217528E-3</v>
      </c>
      <c r="AV35" s="39">
        <f t="shared" si="0"/>
        <v>2814.9299999999348</v>
      </c>
      <c r="AW35" s="40">
        <f t="shared" si="2"/>
        <v>723198.87971283903</v>
      </c>
      <c r="AX35" s="40">
        <f t="shared" si="3"/>
        <v>874.0702871610365</v>
      </c>
      <c r="AY35" s="40">
        <f t="shared" si="4"/>
        <v>724072.95000000007</v>
      </c>
      <c r="AZ35" s="41">
        <f t="shared" si="1"/>
        <v>2813.9299999999348</v>
      </c>
    </row>
    <row r="36" spans="1:52" ht="14.4">
      <c r="A36" s="42"/>
      <c r="B36" s="43" t="s">
        <v>102</v>
      </c>
      <c r="C36" s="102">
        <v>434939.98</v>
      </c>
      <c r="D36" s="52"/>
      <c r="E36" s="53"/>
      <c r="F36" s="52">
        <v>0</v>
      </c>
      <c r="G36" s="53"/>
      <c r="H36" s="52">
        <v>0</v>
      </c>
      <c r="I36" s="73"/>
      <c r="J36" s="52">
        <v>0</v>
      </c>
      <c r="K36" s="53"/>
      <c r="L36" s="52">
        <v>0</v>
      </c>
      <c r="M36" s="53"/>
      <c r="N36" s="52">
        <v>0</v>
      </c>
      <c r="O36" s="53"/>
      <c r="P36" s="74">
        <v>0</v>
      </c>
      <c r="Q36" s="53"/>
      <c r="R36" s="75">
        <v>0</v>
      </c>
      <c r="S36" s="103"/>
      <c r="T36" s="75">
        <v>0</v>
      </c>
      <c r="U36" s="103"/>
      <c r="V36" s="62">
        <v>2.1569980198877094E-2</v>
      </c>
      <c r="W36" s="65">
        <v>9381.6467562999987</v>
      </c>
      <c r="X36" s="66">
        <v>1.1224721167274621E-2</v>
      </c>
      <c r="Y36" s="79">
        <v>4882.08</v>
      </c>
      <c r="Z36" s="66">
        <v>4.5182165134600868E-2</v>
      </c>
      <c r="AA36" s="79">
        <v>19651.53</v>
      </c>
      <c r="AB36" s="66">
        <v>3.3833242922391274E-2</v>
      </c>
      <c r="AC36" s="79">
        <v>14715.43</v>
      </c>
      <c r="AD36" s="66">
        <v>0.39510564193247999</v>
      </c>
      <c r="AE36" s="79">
        <v>171847.24</v>
      </c>
      <c r="AF36" s="66">
        <v>2.0066768752782856E-2</v>
      </c>
      <c r="AG36" s="79">
        <v>8727.84</v>
      </c>
      <c r="AH36" s="66">
        <v>0.18800262969617096</v>
      </c>
      <c r="AI36" s="68">
        <v>81769.86</v>
      </c>
      <c r="AJ36" s="66">
        <v>0.13480020852532343</v>
      </c>
      <c r="AK36" s="37">
        <f>ROUND(Gantt!AK36*(centralizator!$R$18-1),2)</f>
        <v>13891.79</v>
      </c>
      <c r="AL36" s="66">
        <v>0.13611763167874336</v>
      </c>
      <c r="AM36" s="68">
        <v>59203</v>
      </c>
      <c r="AN36" s="66">
        <v>1.4097002533544975E-2</v>
      </c>
      <c r="AO36" s="68">
        <v>6131.35</v>
      </c>
      <c r="AP36" s="52">
        <v>0</v>
      </c>
      <c r="AQ36" s="56">
        <v>0</v>
      </c>
      <c r="AR36" s="52"/>
      <c r="AS36" s="56"/>
      <c r="AT36" s="52">
        <v>7.4578106594935632E-9</v>
      </c>
      <c r="AU36" s="56">
        <v>3.2437000190839171E-3</v>
      </c>
      <c r="AV36" s="39">
        <f t="shared" si="0"/>
        <v>44738.210000000021</v>
      </c>
      <c r="AW36" s="40">
        <f t="shared" si="2"/>
        <v>310976.34174144978</v>
      </c>
      <c r="AX36" s="40">
        <f t="shared" si="3"/>
        <v>79226.428258550222</v>
      </c>
      <c r="AY36" s="40">
        <f t="shared" si="4"/>
        <v>390202.77</v>
      </c>
      <c r="AZ36" s="41">
        <f t="shared" si="1"/>
        <v>44737.209999999963</v>
      </c>
    </row>
    <row r="37" spans="1:52" ht="14.4">
      <c r="A37" s="42" t="s">
        <v>103</v>
      </c>
      <c r="B37" s="43" t="s">
        <v>104</v>
      </c>
      <c r="C37" s="99">
        <v>573186.6</v>
      </c>
      <c r="D37" s="52"/>
      <c r="E37" s="53"/>
      <c r="F37" s="52">
        <v>0</v>
      </c>
      <c r="G37" s="53"/>
      <c r="H37" s="52">
        <v>0</v>
      </c>
      <c r="I37" s="73"/>
      <c r="J37" s="52">
        <v>0</v>
      </c>
      <c r="K37" s="53"/>
      <c r="L37" s="52">
        <v>0</v>
      </c>
      <c r="M37" s="53"/>
      <c r="N37" s="52">
        <v>0</v>
      </c>
      <c r="O37" s="53"/>
      <c r="P37" s="74">
        <v>0</v>
      </c>
      <c r="Q37" s="53"/>
      <c r="R37" s="75">
        <v>0</v>
      </c>
      <c r="S37" s="53"/>
      <c r="T37" s="75">
        <v>0</v>
      </c>
      <c r="U37" s="53"/>
      <c r="V37" s="49">
        <v>8.2602301250064125E-2</v>
      </c>
      <c r="W37" s="51">
        <v>47346.532205700001</v>
      </c>
      <c r="X37" s="45">
        <v>0.40969204444067603</v>
      </c>
      <c r="Y37" s="46">
        <v>234829.99</v>
      </c>
      <c r="Z37" s="45">
        <v>0.11588911883145907</v>
      </c>
      <c r="AA37" s="46">
        <v>66426.09</v>
      </c>
      <c r="AB37" s="45">
        <v>7.552577118864956E-2</v>
      </c>
      <c r="AC37" s="46">
        <v>43290.36</v>
      </c>
      <c r="AD37" s="45">
        <v>0</v>
      </c>
      <c r="AE37" s="46">
        <v>0</v>
      </c>
      <c r="AF37" s="45">
        <v>0.10297393553861867</v>
      </c>
      <c r="AG37" s="46">
        <v>59023.28</v>
      </c>
      <c r="AH37" s="52">
        <v>0</v>
      </c>
      <c r="AI37" s="56">
        <v>0</v>
      </c>
      <c r="AJ37" s="45">
        <v>7.1918987638580525E-2</v>
      </c>
      <c r="AK37" s="37">
        <f>ROUND(Gantt!AK37*(centralizator!$R$18-1),2)</f>
        <v>9767.3799999999992</v>
      </c>
      <c r="AL37" s="45">
        <v>7.468597486403207E-2</v>
      </c>
      <c r="AM37" s="48">
        <v>42809</v>
      </c>
      <c r="AN37" s="45">
        <v>4.5001052013428092E-2</v>
      </c>
      <c r="AO37" s="48">
        <v>25794</v>
      </c>
      <c r="AP37" s="45">
        <v>2.1710818082627894E-2</v>
      </c>
      <c r="AQ37" s="48">
        <v>12444.35</v>
      </c>
      <c r="AR37" s="52"/>
      <c r="AS37" s="56"/>
      <c r="AT37" s="52">
        <v>-3.8481360720604482E-9</v>
      </c>
      <c r="AU37" s="56">
        <v>-2.2057000314816833E-3</v>
      </c>
      <c r="AV37" s="39">
        <f t="shared" si="0"/>
        <v>31455.619999999995</v>
      </c>
      <c r="AW37" s="40">
        <f t="shared" si="2"/>
        <v>450917.0388888712</v>
      </c>
      <c r="AX37" s="40">
        <f t="shared" si="3"/>
        <v>90814.941111128719</v>
      </c>
      <c r="AY37" s="40">
        <f t="shared" si="4"/>
        <v>541731.98</v>
      </c>
      <c r="AZ37" s="41">
        <f t="shared" si="1"/>
        <v>31454.619999999995</v>
      </c>
    </row>
    <row r="38" spans="1:52" ht="14.4">
      <c r="A38" s="42"/>
      <c r="B38" s="43" t="s">
        <v>105</v>
      </c>
      <c r="C38" s="102">
        <v>243830</v>
      </c>
      <c r="D38" s="52"/>
      <c r="E38" s="53"/>
      <c r="F38" s="52">
        <v>0</v>
      </c>
      <c r="G38" s="53"/>
      <c r="H38" s="52">
        <v>0</v>
      </c>
      <c r="I38" s="73"/>
      <c r="J38" s="52">
        <v>0</v>
      </c>
      <c r="K38" s="53"/>
      <c r="L38" s="52">
        <v>0</v>
      </c>
      <c r="M38" s="53"/>
      <c r="N38" s="52">
        <v>0</v>
      </c>
      <c r="O38" s="53"/>
      <c r="P38" s="74">
        <v>0</v>
      </c>
      <c r="Q38" s="53"/>
      <c r="R38" s="75">
        <v>0</v>
      </c>
      <c r="S38" s="53"/>
      <c r="T38" s="75">
        <v>0</v>
      </c>
      <c r="U38" s="53"/>
      <c r="V38" s="62">
        <v>3.6454644486732558E-2</v>
      </c>
      <c r="W38" s="65">
        <v>8888.7359651999996</v>
      </c>
      <c r="X38" s="66">
        <v>0.2069091170077513</v>
      </c>
      <c r="Y38" s="79">
        <v>50450.65</v>
      </c>
      <c r="Z38" s="66">
        <v>5.852934421523192E-2</v>
      </c>
      <c r="AA38" s="79">
        <v>14271.21</v>
      </c>
      <c r="AB38" s="66">
        <v>3.8146126399540667E-2</v>
      </c>
      <c r="AC38" s="79">
        <v>9301.17</v>
      </c>
      <c r="AD38" s="52">
        <v>0</v>
      </c>
      <c r="AE38" s="53"/>
      <c r="AF38" s="66">
        <v>5.2007792314317347E-2</v>
      </c>
      <c r="AG38" s="79">
        <v>12681.06</v>
      </c>
      <c r="AH38" s="84">
        <v>0</v>
      </c>
      <c r="AI38" s="54">
        <v>0</v>
      </c>
      <c r="AJ38" s="67">
        <v>5.2004007072042509E-2</v>
      </c>
      <c r="AK38" s="37">
        <f>ROUND(Gantt!AK38*(centralizator!$R$18-1),2)</f>
        <v>7062.71</v>
      </c>
      <c r="AL38" s="67">
        <v>5.6074234812886418E-2</v>
      </c>
      <c r="AM38" s="68">
        <v>32141</v>
      </c>
      <c r="AN38" s="67">
        <v>8.4161074247025319E-2</v>
      </c>
      <c r="AO38" s="68">
        <v>48240</v>
      </c>
      <c r="AP38" s="67">
        <v>6.6380075877558911E-2</v>
      </c>
      <c r="AQ38" s="68">
        <v>38048.170000000006</v>
      </c>
      <c r="AR38" s="55"/>
      <c r="AS38" s="56"/>
      <c r="AT38" s="52">
        <v>7.039243397024437E-9</v>
      </c>
      <c r="AU38" s="56">
        <v>4.0347999893128872E-3</v>
      </c>
      <c r="AV38" s="39">
        <f t="shared" si="0"/>
        <v>22745.289999999979</v>
      </c>
      <c r="AW38" s="40">
        <f t="shared" si="2"/>
        <v>95593.218012224432</v>
      </c>
      <c r="AX38" s="40">
        <f t="shared" si="3"/>
        <v>125492.14265419907</v>
      </c>
      <c r="AY38" s="40">
        <f t="shared" si="4"/>
        <v>221085.36066642351</v>
      </c>
      <c r="AZ38" s="41">
        <f t="shared" si="1"/>
        <v>22744.639333576488</v>
      </c>
    </row>
    <row r="39" spans="1:52" ht="14.4">
      <c r="A39" s="30">
        <v>24.9</v>
      </c>
      <c r="B39" s="31" t="s">
        <v>106</v>
      </c>
      <c r="C39" s="32">
        <f>SUM(C40:C45)</f>
        <v>1735429.6700000002</v>
      </c>
      <c r="D39" s="33">
        <v>0</v>
      </c>
      <c r="E39" s="76">
        <v>0</v>
      </c>
      <c r="F39" s="33">
        <v>0</v>
      </c>
      <c r="G39" s="76">
        <v>0</v>
      </c>
      <c r="H39" s="33">
        <v>0</v>
      </c>
      <c r="I39" s="81">
        <v>0</v>
      </c>
      <c r="J39" s="33">
        <v>0</v>
      </c>
      <c r="K39" s="76"/>
      <c r="L39" s="33">
        <v>0</v>
      </c>
      <c r="M39" s="76"/>
      <c r="N39" s="33">
        <v>0</v>
      </c>
      <c r="O39" s="76"/>
      <c r="P39" s="35">
        <v>1.3452898958446409E-2</v>
      </c>
      <c r="Q39" s="76">
        <v>23346.559999999998</v>
      </c>
      <c r="R39" s="36">
        <v>0.13258684807434459</v>
      </c>
      <c r="S39" s="76">
        <v>230095.15</v>
      </c>
      <c r="T39" s="36">
        <v>5.3676061675262239E-2</v>
      </c>
      <c r="U39" s="76">
        <v>93151.03</v>
      </c>
      <c r="V39" s="35">
        <v>0.2038732322291113</v>
      </c>
      <c r="W39" s="76">
        <v>353807.65612920001</v>
      </c>
      <c r="X39" s="33">
        <v>9.5898158753964374E-2</v>
      </c>
      <c r="Y39" s="76">
        <v>166424.51</v>
      </c>
      <c r="Z39" s="33">
        <v>2.9269840707517692E-2</v>
      </c>
      <c r="AA39" s="76">
        <v>50795.75</v>
      </c>
      <c r="AB39" s="33">
        <v>0</v>
      </c>
      <c r="AC39" s="76">
        <v>0</v>
      </c>
      <c r="AD39" s="33">
        <v>3.3024495887522771E-2</v>
      </c>
      <c r="AE39" s="76">
        <v>57311.69</v>
      </c>
      <c r="AF39" s="33">
        <v>0.11819448724764513</v>
      </c>
      <c r="AG39" s="76">
        <v>205118.22</v>
      </c>
      <c r="AH39" s="33">
        <v>3.3629746574518338E-2</v>
      </c>
      <c r="AI39" s="77">
        <v>58362.06</v>
      </c>
      <c r="AJ39" s="78"/>
      <c r="AK39" s="37">
        <f>ROUND(Gantt!AK39*(centralizator!$R$18-1),2)</f>
        <v>0</v>
      </c>
      <c r="AL39" s="78"/>
      <c r="AM39" s="77">
        <v>178136.14</v>
      </c>
      <c r="AN39" s="78"/>
      <c r="AO39" s="77">
        <v>36174.910000000003</v>
      </c>
      <c r="AP39" s="78"/>
      <c r="AQ39" s="77">
        <v>18691.05</v>
      </c>
      <c r="AR39" s="78"/>
      <c r="AS39" s="77">
        <v>38710</v>
      </c>
      <c r="AT39" s="33">
        <v>0.12982660592105699</v>
      </c>
      <c r="AU39" s="76">
        <v>225304.94387080002</v>
      </c>
      <c r="AV39" s="39">
        <f t="shared" si="0"/>
        <v>0</v>
      </c>
      <c r="AW39" s="40">
        <f t="shared" si="2"/>
        <v>1238413.3397349704</v>
      </c>
      <c r="AX39" s="40">
        <f t="shared" si="3"/>
        <v>497017.1736974059</v>
      </c>
      <c r="AY39" s="40">
        <f t="shared" si="4"/>
        <v>1735430.5134323763</v>
      </c>
      <c r="AZ39" s="41">
        <f t="shared" si="1"/>
        <v>-0.84343237616121769</v>
      </c>
    </row>
    <row r="40" spans="1:52" ht="14.4">
      <c r="A40" s="42" t="s">
        <v>107</v>
      </c>
      <c r="B40" s="43" t="s">
        <v>108</v>
      </c>
      <c r="C40" s="58">
        <v>79871.399999999994</v>
      </c>
      <c r="D40" s="52"/>
      <c r="E40" s="53"/>
      <c r="F40" s="52">
        <v>0</v>
      </c>
      <c r="G40" s="53"/>
      <c r="H40" s="52">
        <v>0</v>
      </c>
      <c r="I40" s="73"/>
      <c r="J40" s="52">
        <v>0</v>
      </c>
      <c r="K40" s="53"/>
      <c r="L40" s="52">
        <v>0</v>
      </c>
      <c r="M40" s="53"/>
      <c r="N40" s="52">
        <v>0</v>
      </c>
      <c r="O40" s="53"/>
      <c r="P40" s="74">
        <v>0</v>
      </c>
      <c r="Q40" s="53"/>
      <c r="R40" s="75">
        <v>0</v>
      </c>
      <c r="S40" s="53"/>
      <c r="T40" s="75">
        <v>0</v>
      </c>
      <c r="U40" s="53"/>
      <c r="V40" s="74">
        <v>0</v>
      </c>
      <c r="W40" s="95">
        <v>0</v>
      </c>
      <c r="X40" s="52">
        <v>0</v>
      </c>
      <c r="Y40" s="53"/>
      <c r="Z40" s="52">
        <v>0</v>
      </c>
      <c r="AA40" s="53"/>
      <c r="AB40" s="52">
        <v>0</v>
      </c>
      <c r="AC40" s="53"/>
      <c r="AD40" s="52">
        <v>0</v>
      </c>
      <c r="AE40" s="53">
        <v>0</v>
      </c>
      <c r="AF40" s="52">
        <v>0</v>
      </c>
      <c r="AG40" s="53"/>
      <c r="AH40" s="52">
        <v>0</v>
      </c>
      <c r="AI40" s="54"/>
      <c r="AJ40" s="52">
        <v>0</v>
      </c>
      <c r="AK40" s="37">
        <f>ROUND(Gantt!AK40*(centralizator!$R$18-1),2)</f>
        <v>0</v>
      </c>
      <c r="AL40" s="52">
        <v>0</v>
      </c>
      <c r="AM40" s="56"/>
      <c r="AN40" s="45">
        <v>0.34415623114156008</v>
      </c>
      <c r="AO40" s="83">
        <v>27488.240000000002</v>
      </c>
      <c r="AP40" s="45">
        <v>0.20717115262784927</v>
      </c>
      <c r="AQ40" s="48">
        <v>16547.05</v>
      </c>
      <c r="AR40" s="45">
        <v>0.44709370312777791</v>
      </c>
      <c r="AS40" s="46">
        <v>35710</v>
      </c>
      <c r="AT40" s="45">
        <v>1.5789131028125967E-3</v>
      </c>
      <c r="AU40" s="48">
        <v>126.10999999998603</v>
      </c>
      <c r="AV40" s="39">
        <f t="shared" si="0"/>
        <v>0</v>
      </c>
      <c r="AW40" s="40">
        <f t="shared" si="2"/>
        <v>0</v>
      </c>
      <c r="AX40" s="40">
        <f t="shared" si="3"/>
        <v>79872.399999999994</v>
      </c>
      <c r="AY40" s="40">
        <f t="shared" si="4"/>
        <v>79872.399999999994</v>
      </c>
      <c r="AZ40" s="41">
        <f t="shared" si="1"/>
        <v>-1</v>
      </c>
    </row>
    <row r="41" spans="1:52" ht="14.4">
      <c r="A41" s="42"/>
      <c r="B41" s="43" t="s">
        <v>109</v>
      </c>
      <c r="C41" s="44">
        <v>204438.07</v>
      </c>
      <c r="D41" s="52"/>
      <c r="E41" s="53"/>
      <c r="F41" s="52">
        <v>0</v>
      </c>
      <c r="G41" s="53"/>
      <c r="H41" s="52">
        <v>0</v>
      </c>
      <c r="I41" s="73"/>
      <c r="J41" s="52">
        <v>0</v>
      </c>
      <c r="K41" s="53"/>
      <c r="L41" s="52">
        <v>0</v>
      </c>
      <c r="M41" s="53"/>
      <c r="N41" s="52">
        <v>0</v>
      </c>
      <c r="O41" s="53"/>
      <c r="P41" s="74">
        <v>0</v>
      </c>
      <c r="Q41" s="53"/>
      <c r="R41" s="75">
        <v>0</v>
      </c>
      <c r="S41" s="53"/>
      <c r="T41" s="75">
        <v>0</v>
      </c>
      <c r="U41" s="53"/>
      <c r="V41" s="74">
        <v>0</v>
      </c>
      <c r="W41" s="95">
        <v>0</v>
      </c>
      <c r="X41" s="52">
        <v>0</v>
      </c>
      <c r="Y41" s="53"/>
      <c r="Z41" s="52">
        <v>0</v>
      </c>
      <c r="AA41" s="53"/>
      <c r="AB41" s="52">
        <v>0</v>
      </c>
      <c r="AC41" s="53"/>
      <c r="AD41" s="52">
        <v>0</v>
      </c>
      <c r="AE41" s="53"/>
      <c r="AF41" s="52">
        <v>0</v>
      </c>
      <c r="AG41" s="53"/>
      <c r="AH41" s="52"/>
      <c r="AI41" s="104"/>
      <c r="AJ41" s="100"/>
      <c r="AK41" s="37">
        <f>ROUND(Gantt!AK41*(centralizator!$R$18-1),2)</f>
        <v>0</v>
      </c>
      <c r="AL41" s="100"/>
      <c r="AM41" s="101"/>
      <c r="AN41" s="66">
        <v>1.7716856747865013E-2</v>
      </c>
      <c r="AO41" s="68">
        <v>3622</v>
      </c>
      <c r="AP41" s="66">
        <v>1.0487283508399389E-2</v>
      </c>
      <c r="AQ41" s="68">
        <v>2144</v>
      </c>
      <c r="AR41" s="66">
        <v>1.4674370580782728E-2</v>
      </c>
      <c r="AS41" s="68">
        <v>3000</v>
      </c>
      <c r="AT41" s="66">
        <v>0.95712148916295292</v>
      </c>
      <c r="AU41" s="68">
        <v>195672.07</v>
      </c>
      <c r="AV41" s="39">
        <f t="shared" si="0"/>
        <v>0</v>
      </c>
      <c r="AW41" s="40">
        <f t="shared" si="2"/>
        <v>0</v>
      </c>
      <c r="AX41" s="40">
        <f t="shared" si="3"/>
        <v>204439.07</v>
      </c>
      <c r="AY41" s="40">
        <f t="shared" si="4"/>
        <v>204439.07</v>
      </c>
      <c r="AZ41" s="41">
        <f t="shared" si="1"/>
        <v>-1</v>
      </c>
    </row>
    <row r="42" spans="1:52" ht="14.4">
      <c r="A42" s="42" t="s">
        <v>110</v>
      </c>
      <c r="B42" s="43" t="s">
        <v>111</v>
      </c>
      <c r="C42" s="58">
        <v>5064.67</v>
      </c>
      <c r="D42" s="52"/>
      <c r="E42" s="53"/>
      <c r="F42" s="52">
        <v>0</v>
      </c>
      <c r="G42" s="53"/>
      <c r="H42" s="52">
        <v>0</v>
      </c>
      <c r="I42" s="73"/>
      <c r="J42" s="52">
        <v>0</v>
      </c>
      <c r="K42" s="53"/>
      <c r="L42" s="52">
        <v>0</v>
      </c>
      <c r="M42" s="53"/>
      <c r="N42" s="52">
        <v>0</v>
      </c>
      <c r="O42" s="53"/>
      <c r="P42" s="74">
        <v>0</v>
      </c>
      <c r="Q42" s="53"/>
      <c r="R42" s="75">
        <v>0</v>
      </c>
      <c r="S42" s="53"/>
      <c r="T42" s="75">
        <v>0</v>
      </c>
      <c r="U42" s="53"/>
      <c r="V42" s="74">
        <v>0</v>
      </c>
      <c r="W42" s="95">
        <v>0</v>
      </c>
      <c r="X42" s="52">
        <v>0</v>
      </c>
      <c r="Y42" s="53"/>
      <c r="Z42" s="52">
        <v>0</v>
      </c>
      <c r="AA42" s="53"/>
      <c r="AB42" s="52">
        <v>0</v>
      </c>
      <c r="AC42" s="53"/>
      <c r="AD42" s="52">
        <v>0</v>
      </c>
      <c r="AE42" s="53"/>
      <c r="AF42" s="52">
        <v>0</v>
      </c>
      <c r="AG42" s="53"/>
      <c r="AH42" s="52">
        <v>0</v>
      </c>
      <c r="AI42" s="104"/>
      <c r="AJ42" s="100"/>
      <c r="AK42" s="37">
        <f>ROUND(Gantt!AK42*(centralizator!$R$18-1),2)</f>
        <v>0</v>
      </c>
      <c r="AL42" s="100"/>
      <c r="AM42" s="101"/>
      <c r="AN42" s="45">
        <v>1</v>
      </c>
      <c r="AO42" s="48">
        <v>5064.67</v>
      </c>
      <c r="AP42" s="100"/>
      <c r="AQ42" s="101"/>
      <c r="AR42" s="100"/>
      <c r="AS42" s="101"/>
      <c r="AT42" s="52">
        <v>0</v>
      </c>
      <c r="AU42" s="56">
        <v>0</v>
      </c>
      <c r="AV42" s="39">
        <f t="shared" si="0"/>
        <v>0</v>
      </c>
      <c r="AW42" s="40">
        <f t="shared" si="2"/>
        <v>0</v>
      </c>
      <c r="AX42" s="40">
        <f t="shared" si="3"/>
        <v>5065.67</v>
      </c>
      <c r="AY42" s="40">
        <f t="shared" si="4"/>
        <v>5065.67</v>
      </c>
      <c r="AZ42" s="41">
        <f t="shared" si="1"/>
        <v>-1</v>
      </c>
    </row>
    <row r="43" spans="1:52" ht="14.4">
      <c r="A43" s="42"/>
      <c r="B43" s="43" t="s">
        <v>112</v>
      </c>
      <c r="C43" s="44">
        <v>33978.339999999997</v>
      </c>
      <c r="D43" s="52"/>
      <c r="E43" s="53"/>
      <c r="F43" s="52">
        <v>0</v>
      </c>
      <c r="G43" s="53"/>
      <c r="H43" s="52">
        <v>0</v>
      </c>
      <c r="I43" s="73"/>
      <c r="J43" s="52">
        <v>0</v>
      </c>
      <c r="K43" s="53"/>
      <c r="L43" s="52">
        <v>0</v>
      </c>
      <c r="M43" s="53"/>
      <c r="N43" s="52">
        <v>0</v>
      </c>
      <c r="O43" s="53"/>
      <c r="P43" s="74">
        <v>0</v>
      </c>
      <c r="Q43" s="53"/>
      <c r="R43" s="75">
        <v>0</v>
      </c>
      <c r="S43" s="53"/>
      <c r="T43" s="75">
        <v>0</v>
      </c>
      <c r="U43" s="53"/>
      <c r="V43" s="49">
        <v>1.0000001219953654</v>
      </c>
      <c r="W43" s="51">
        <v>33978.344145199997</v>
      </c>
      <c r="X43" s="52">
        <v>0</v>
      </c>
      <c r="Y43" s="53"/>
      <c r="Z43" s="52">
        <v>0</v>
      </c>
      <c r="AA43" s="53"/>
      <c r="AB43" s="52">
        <v>0</v>
      </c>
      <c r="AC43" s="53"/>
      <c r="AD43" s="52">
        <v>0</v>
      </c>
      <c r="AE43" s="53"/>
      <c r="AF43" s="52">
        <v>0</v>
      </c>
      <c r="AG43" s="53"/>
      <c r="AH43" s="52"/>
      <c r="AI43" s="104"/>
      <c r="AJ43" s="100"/>
      <c r="AK43" s="37">
        <f>ROUND(Gantt!AK43*(centralizator!$R$18-1),2)</f>
        <v>0</v>
      </c>
      <c r="AL43" s="100"/>
      <c r="AM43" s="101"/>
      <c r="AN43" s="55">
        <v>0</v>
      </c>
      <c r="AO43" s="56"/>
      <c r="AP43" s="100"/>
      <c r="AQ43" s="101"/>
      <c r="AR43" s="100"/>
      <c r="AS43" s="101"/>
      <c r="AT43" s="52"/>
      <c r="AU43" s="56">
        <v>-4.1452000004937872E-3</v>
      </c>
      <c r="AV43" s="39">
        <f t="shared" si="0"/>
        <v>0</v>
      </c>
      <c r="AW43" s="40">
        <f t="shared" si="2"/>
        <v>33979.344145321993</v>
      </c>
      <c r="AX43" s="40">
        <f t="shared" si="3"/>
        <v>-4.1452000004937872E-3</v>
      </c>
      <c r="AY43" s="40">
        <f t="shared" si="4"/>
        <v>33979.340000121992</v>
      </c>
      <c r="AZ43" s="41">
        <f t="shared" si="1"/>
        <v>-1.0000001219959813</v>
      </c>
    </row>
    <row r="44" spans="1:52" ht="14.4">
      <c r="A44" s="42" t="s">
        <v>113</v>
      </c>
      <c r="B44" s="43" t="s">
        <v>114</v>
      </c>
      <c r="C44" s="58">
        <v>1001732.39</v>
      </c>
      <c r="D44" s="52"/>
      <c r="E44" s="53"/>
      <c r="F44" s="52">
        <v>0</v>
      </c>
      <c r="G44" s="53"/>
      <c r="H44" s="52">
        <v>0</v>
      </c>
      <c r="I44" s="73"/>
      <c r="J44" s="52">
        <v>0</v>
      </c>
      <c r="K44" s="53"/>
      <c r="L44" s="52">
        <v>0</v>
      </c>
      <c r="M44" s="53"/>
      <c r="N44" s="52">
        <v>0</v>
      </c>
      <c r="O44" s="53"/>
      <c r="P44" s="49">
        <v>2.3377301396833141E-3</v>
      </c>
      <c r="Q44" s="46">
        <v>2341.7800000000002</v>
      </c>
      <c r="R44" s="50">
        <v>0.21050431443072334</v>
      </c>
      <c r="S44" s="46">
        <v>210868.99</v>
      </c>
      <c r="T44" s="50">
        <v>6.8113610662025217E-2</v>
      </c>
      <c r="U44" s="46">
        <v>68231.61</v>
      </c>
      <c r="V44" s="49">
        <v>0.25924906890162552</v>
      </c>
      <c r="W44" s="51">
        <v>259698.1893961</v>
      </c>
      <c r="X44" s="45">
        <v>0.12509624451696127</v>
      </c>
      <c r="Y44" s="46">
        <v>125312.96000000001</v>
      </c>
      <c r="Z44" s="45">
        <v>4.0189965306003529E-2</v>
      </c>
      <c r="AA44" s="46">
        <v>40259.589999999997</v>
      </c>
      <c r="AB44" s="45">
        <v>0</v>
      </c>
      <c r="AC44" s="46">
        <v>0</v>
      </c>
      <c r="AD44" s="45">
        <v>4.6427120121372935E-2</v>
      </c>
      <c r="AE44" s="46">
        <v>46507.55</v>
      </c>
      <c r="AF44" s="45">
        <v>0.12326572568947282</v>
      </c>
      <c r="AG44" s="46">
        <v>123479.27</v>
      </c>
      <c r="AH44" s="45">
        <v>4.7313344834542082E-2</v>
      </c>
      <c r="AI44" s="83">
        <v>47395.31</v>
      </c>
      <c r="AJ44" s="100"/>
      <c r="AK44" s="37">
        <f>ROUND(Gantt!AK44*(centralizator!$R$18-1),2)</f>
        <v>0</v>
      </c>
      <c r="AL44" s="105">
        <v>7.7502874794734347E-2</v>
      </c>
      <c r="AM44" s="48">
        <v>77637.14</v>
      </c>
      <c r="AN44" s="100"/>
      <c r="AO44" s="101"/>
      <c r="AP44" s="100"/>
      <c r="AQ44" s="101"/>
      <c r="AR44" s="100"/>
      <c r="AS44" s="101"/>
      <c r="AT44" s="52">
        <v>6.0285567704863262E-10</v>
      </c>
      <c r="AU44" s="56">
        <v>6.0390005819499493E-4</v>
      </c>
      <c r="AV44" s="39">
        <f t="shared" si="0"/>
        <v>0</v>
      </c>
      <c r="AW44" s="40">
        <f t="shared" si="2"/>
        <v>924096.17189322435</v>
      </c>
      <c r="AX44" s="40">
        <f t="shared" si="3"/>
        <v>77637.218106775443</v>
      </c>
      <c r="AY44" s="40">
        <f t="shared" si="4"/>
        <v>1001733.3899999998</v>
      </c>
      <c r="AZ44" s="41">
        <f t="shared" si="1"/>
        <v>-0.99999999976716936</v>
      </c>
    </row>
    <row r="45" spans="1:52" ht="14.4">
      <c r="A45" s="42"/>
      <c r="B45" s="43" t="s">
        <v>115</v>
      </c>
      <c r="C45" s="44">
        <v>410344.8</v>
      </c>
      <c r="D45" s="52"/>
      <c r="E45" s="53"/>
      <c r="F45" s="52">
        <v>0</v>
      </c>
      <c r="G45" s="53"/>
      <c r="H45" s="52">
        <v>0</v>
      </c>
      <c r="I45" s="73"/>
      <c r="J45" s="52">
        <v>0</v>
      </c>
      <c r="K45" s="53"/>
      <c r="L45" s="52">
        <v>0</v>
      </c>
      <c r="M45" s="53"/>
      <c r="N45" s="52">
        <v>0</v>
      </c>
      <c r="O45" s="53"/>
      <c r="P45" s="62">
        <v>5.1188122768949428E-2</v>
      </c>
      <c r="Q45" s="79">
        <v>21004.78</v>
      </c>
      <c r="R45" s="64">
        <v>4.6853670376717338E-2</v>
      </c>
      <c r="S45" s="79">
        <v>19226.16</v>
      </c>
      <c r="T45" s="64">
        <v>6.072800240188251E-2</v>
      </c>
      <c r="U45" s="79">
        <v>24919.42</v>
      </c>
      <c r="V45" s="62">
        <v>0.1465380396873556</v>
      </c>
      <c r="W45" s="65">
        <v>60131.122587899998</v>
      </c>
      <c r="X45" s="66">
        <v>0.10018781765968524</v>
      </c>
      <c r="Y45" s="79">
        <v>41111.550000000003</v>
      </c>
      <c r="Z45" s="66">
        <v>2.5676358028662725E-2</v>
      </c>
      <c r="AA45" s="79">
        <v>10536.16</v>
      </c>
      <c r="AB45" s="66">
        <v>0</v>
      </c>
      <c r="AC45" s="79">
        <v>0</v>
      </c>
      <c r="AD45" s="66">
        <v>2.6329418576767634E-2</v>
      </c>
      <c r="AE45" s="79">
        <v>10804.14</v>
      </c>
      <c r="AF45" s="66">
        <v>0.19895207640013959</v>
      </c>
      <c r="AG45" s="79">
        <v>81638.95</v>
      </c>
      <c r="AH45" s="66">
        <v>2.672569507399631E-2</v>
      </c>
      <c r="AI45" s="106">
        <v>10966.75</v>
      </c>
      <c r="AJ45" s="100"/>
      <c r="AK45" s="37">
        <f>ROUND(Gantt!AK45*(centralizator!$R$18-1),2)</f>
        <v>0</v>
      </c>
      <c r="AL45" s="66">
        <v>0.24491354587654091</v>
      </c>
      <c r="AM45" s="68">
        <v>100499</v>
      </c>
      <c r="AN45" s="100"/>
      <c r="AO45" s="101"/>
      <c r="AP45" s="100"/>
      <c r="AQ45" s="101"/>
      <c r="AR45" s="100"/>
      <c r="AS45" s="101"/>
      <c r="AT45" s="66">
        <v>2.945573858513249E-2</v>
      </c>
      <c r="AU45" s="68">
        <v>29506.767412099987</v>
      </c>
      <c r="AV45" s="39">
        <f t="shared" si="0"/>
        <v>0</v>
      </c>
      <c r="AW45" s="40">
        <f t="shared" si="2"/>
        <v>280339.71576710098</v>
      </c>
      <c r="AX45" s="40">
        <f t="shared" si="3"/>
        <v>130006.04178138444</v>
      </c>
      <c r="AY45" s="40">
        <f t="shared" si="4"/>
        <v>410345.75754848542</v>
      </c>
      <c r="AZ45" s="41">
        <f t="shared" si="1"/>
        <v>-0.95754848542856053</v>
      </c>
    </row>
    <row r="46" spans="1:52" ht="14.4">
      <c r="A46" s="30">
        <v>24.1</v>
      </c>
      <c r="B46" s="31" t="s">
        <v>116</v>
      </c>
      <c r="C46" s="32">
        <f>SUM(C47:C55)</f>
        <v>1530466.95</v>
      </c>
      <c r="D46" s="33">
        <v>1.0905168517360013E-3</v>
      </c>
      <c r="E46" s="76">
        <v>1669</v>
      </c>
      <c r="F46" s="33">
        <v>7.1873489329514766E-4</v>
      </c>
      <c r="G46" s="76">
        <v>1100</v>
      </c>
      <c r="H46" s="33">
        <v>7.2111978635017247E-4</v>
      </c>
      <c r="I46" s="76">
        <v>1103.6500000000001</v>
      </c>
      <c r="J46" s="33">
        <v>0</v>
      </c>
      <c r="K46" s="76">
        <v>0</v>
      </c>
      <c r="L46" s="33">
        <v>0</v>
      </c>
      <c r="M46" s="76">
        <v>0</v>
      </c>
      <c r="N46" s="33">
        <v>0</v>
      </c>
      <c r="O46" s="76">
        <v>0</v>
      </c>
      <c r="P46" s="35">
        <v>0</v>
      </c>
      <c r="Q46" s="76">
        <v>0</v>
      </c>
      <c r="R46" s="36">
        <v>0</v>
      </c>
      <c r="S46" s="76">
        <v>0</v>
      </c>
      <c r="T46" s="36">
        <v>8.827599968754634E-3</v>
      </c>
      <c r="U46" s="76">
        <v>13510.35</v>
      </c>
      <c r="V46" s="35">
        <v>5.7892679598863595E-3</v>
      </c>
      <c r="W46" s="76">
        <v>8860.2832772999991</v>
      </c>
      <c r="X46" s="33">
        <v>6.9868872372578833E-4</v>
      </c>
      <c r="Y46" s="76">
        <v>1069.32</v>
      </c>
      <c r="Z46" s="33">
        <v>0</v>
      </c>
      <c r="AA46" s="76">
        <v>0</v>
      </c>
      <c r="AB46" s="33">
        <v>0</v>
      </c>
      <c r="AC46" s="76">
        <v>0</v>
      </c>
      <c r="AD46" s="33">
        <v>0</v>
      </c>
      <c r="AE46" s="76">
        <v>0</v>
      </c>
      <c r="AF46" s="33">
        <v>0</v>
      </c>
      <c r="AG46" s="76">
        <v>0</v>
      </c>
      <c r="AH46" s="33">
        <v>0</v>
      </c>
      <c r="AI46" s="77">
        <v>0</v>
      </c>
      <c r="AJ46" s="78"/>
      <c r="AK46" s="37">
        <f>ROUND(Gantt!AK46*(centralizator!$R$18-1),2)</f>
        <v>0</v>
      </c>
      <c r="AL46" s="78"/>
      <c r="AM46" s="77">
        <v>0</v>
      </c>
      <c r="AN46" s="78"/>
      <c r="AO46" s="77">
        <v>11934.1</v>
      </c>
      <c r="AP46" s="78"/>
      <c r="AQ46" s="77">
        <v>563447</v>
      </c>
      <c r="AR46" s="78"/>
      <c r="AS46" s="77">
        <v>276631</v>
      </c>
      <c r="AT46" s="33">
        <v>0.42545332110745676</v>
      </c>
      <c r="AU46" s="76">
        <v>651142.24672269996</v>
      </c>
      <c r="AV46" s="39">
        <f t="shared" si="0"/>
        <v>0</v>
      </c>
      <c r="AW46" s="40">
        <f t="shared" si="2"/>
        <v>27312.621123228186</v>
      </c>
      <c r="AX46" s="40">
        <f t="shared" si="3"/>
        <v>1503154.772176021</v>
      </c>
      <c r="AY46" s="40">
        <f t="shared" si="4"/>
        <v>1530467.3932992492</v>
      </c>
      <c r="AZ46" s="41">
        <f t="shared" si="1"/>
        <v>-0.44329924928024411</v>
      </c>
    </row>
    <row r="47" spans="1:52" ht="14.4">
      <c r="A47" s="42" t="s">
        <v>117</v>
      </c>
      <c r="B47" s="43" t="s">
        <v>118</v>
      </c>
      <c r="C47" s="58">
        <v>6878.3</v>
      </c>
      <c r="D47" s="45">
        <v>0.24264716572408879</v>
      </c>
      <c r="E47" s="46">
        <v>1669</v>
      </c>
      <c r="F47" s="45">
        <v>0.15992323684631377</v>
      </c>
      <c r="G47" s="46">
        <v>1100</v>
      </c>
      <c r="H47" s="45">
        <v>0.16045389122312201</v>
      </c>
      <c r="I47" s="47">
        <v>1103.6500000000001</v>
      </c>
      <c r="J47" s="52">
        <v>0</v>
      </c>
      <c r="K47" s="53"/>
      <c r="L47" s="52">
        <v>0</v>
      </c>
      <c r="M47" s="53"/>
      <c r="N47" s="52">
        <v>0</v>
      </c>
      <c r="O47" s="53"/>
      <c r="P47" s="74">
        <v>0</v>
      </c>
      <c r="Q47" s="53"/>
      <c r="R47" s="75">
        <v>0</v>
      </c>
      <c r="S47" s="53"/>
      <c r="T47" s="50">
        <v>0.28151287382056611</v>
      </c>
      <c r="U47" s="46">
        <v>1936.33</v>
      </c>
      <c r="V47" s="74">
        <v>0</v>
      </c>
      <c r="W47" s="95">
        <v>0</v>
      </c>
      <c r="X47" s="45">
        <v>0.1554628323859093</v>
      </c>
      <c r="Y47" s="46">
        <v>1069.32</v>
      </c>
      <c r="Z47" s="52">
        <v>0</v>
      </c>
      <c r="AA47" s="53"/>
      <c r="AB47" s="52">
        <v>0</v>
      </c>
      <c r="AC47" s="53"/>
      <c r="AD47" s="52">
        <v>0</v>
      </c>
      <c r="AE47" s="53"/>
      <c r="AF47" s="52">
        <v>0</v>
      </c>
      <c r="AG47" s="53"/>
      <c r="AH47" s="52">
        <v>0</v>
      </c>
      <c r="AI47" s="104"/>
      <c r="AJ47" s="100"/>
      <c r="AK47" s="37">
        <f>ROUND(Gantt!AK47*(centralizator!$R$18-1),2)</f>
        <v>0</v>
      </c>
      <c r="AL47" s="100"/>
      <c r="AM47" s="101"/>
      <c r="AN47" s="100"/>
      <c r="AO47" s="101"/>
      <c r="AP47" s="100"/>
      <c r="AQ47" s="101"/>
      <c r="AR47" s="100"/>
      <c r="AS47" s="101"/>
      <c r="AT47" s="45">
        <v>0</v>
      </c>
      <c r="AU47" s="48">
        <v>0</v>
      </c>
      <c r="AV47" s="39">
        <f t="shared" si="0"/>
        <v>0</v>
      </c>
      <c r="AW47" s="40">
        <f t="shared" si="2"/>
        <v>6879.2999999999993</v>
      </c>
      <c r="AX47" s="40">
        <f t="shared" si="3"/>
        <v>0</v>
      </c>
      <c r="AY47" s="40">
        <f t="shared" si="4"/>
        <v>6879.2999999999993</v>
      </c>
      <c r="AZ47" s="41">
        <f t="shared" si="1"/>
        <v>-0.99999999999909051</v>
      </c>
    </row>
    <row r="48" spans="1:52" ht="14.4">
      <c r="A48" s="42" t="s">
        <v>119</v>
      </c>
      <c r="B48" s="43" t="s">
        <v>120</v>
      </c>
      <c r="C48" s="58">
        <v>17708.310000000001</v>
      </c>
      <c r="D48" s="52"/>
      <c r="E48" s="53"/>
      <c r="F48" s="52">
        <v>0</v>
      </c>
      <c r="G48" s="53"/>
      <c r="H48" s="52">
        <v>0</v>
      </c>
      <c r="I48" s="73"/>
      <c r="J48" s="52">
        <v>0</v>
      </c>
      <c r="K48" s="53"/>
      <c r="L48" s="52">
        <v>0</v>
      </c>
      <c r="M48" s="53"/>
      <c r="N48" s="52">
        <v>0</v>
      </c>
      <c r="O48" s="53"/>
      <c r="P48" s="74">
        <v>0</v>
      </c>
      <c r="Q48" s="53"/>
      <c r="R48" s="75">
        <v>0</v>
      </c>
      <c r="S48" s="53"/>
      <c r="T48" s="75">
        <v>0</v>
      </c>
      <c r="U48" s="53"/>
      <c r="V48" s="74">
        <v>0</v>
      </c>
      <c r="W48" s="95">
        <v>0</v>
      </c>
      <c r="X48" s="52">
        <v>0</v>
      </c>
      <c r="Y48" s="53"/>
      <c r="Z48" s="52">
        <v>0</v>
      </c>
      <c r="AA48" s="53"/>
      <c r="AB48" s="52">
        <v>0</v>
      </c>
      <c r="AC48" s="53"/>
      <c r="AD48" s="52">
        <v>0</v>
      </c>
      <c r="AE48" s="53"/>
      <c r="AF48" s="52">
        <v>0</v>
      </c>
      <c r="AG48" s="53"/>
      <c r="AH48" s="52">
        <v>0</v>
      </c>
      <c r="AI48" s="104"/>
      <c r="AJ48" s="100"/>
      <c r="AK48" s="37">
        <f>ROUND(Gantt!AK48*(centralizator!$R$18-1),2)</f>
        <v>0</v>
      </c>
      <c r="AL48" s="100"/>
      <c r="AM48" s="101"/>
      <c r="AN48" s="100"/>
      <c r="AO48" s="101"/>
      <c r="AP48" s="100"/>
      <c r="AQ48" s="101"/>
      <c r="AR48" s="100"/>
      <c r="AS48" s="101"/>
      <c r="AT48" s="45">
        <v>1</v>
      </c>
      <c r="AU48" s="48">
        <v>17708.310000000001</v>
      </c>
      <c r="AV48" s="39">
        <f t="shared" si="0"/>
        <v>0</v>
      </c>
      <c r="AW48" s="40">
        <f t="shared" si="2"/>
        <v>0</v>
      </c>
      <c r="AX48" s="40">
        <f t="shared" si="3"/>
        <v>17709.310000000001</v>
      </c>
      <c r="AY48" s="40">
        <f t="shared" si="4"/>
        <v>17709.310000000001</v>
      </c>
      <c r="AZ48" s="41">
        <f t="shared" si="1"/>
        <v>-1</v>
      </c>
    </row>
    <row r="49" spans="1:52" ht="14.4">
      <c r="A49" s="42" t="s">
        <v>121</v>
      </c>
      <c r="B49" s="43" t="s">
        <v>122</v>
      </c>
      <c r="C49" s="58">
        <v>9100.36</v>
      </c>
      <c r="D49" s="52"/>
      <c r="E49" s="53"/>
      <c r="F49" s="52">
        <v>0</v>
      </c>
      <c r="G49" s="53"/>
      <c r="H49" s="52">
        <v>0</v>
      </c>
      <c r="I49" s="73"/>
      <c r="J49" s="52">
        <v>0</v>
      </c>
      <c r="K49" s="53"/>
      <c r="L49" s="52">
        <v>0</v>
      </c>
      <c r="M49" s="53"/>
      <c r="N49" s="52">
        <v>0</v>
      </c>
      <c r="O49" s="53"/>
      <c r="P49" s="74">
        <v>0</v>
      </c>
      <c r="Q49" s="53"/>
      <c r="R49" s="75">
        <v>0</v>
      </c>
      <c r="S49" s="53"/>
      <c r="T49" s="75">
        <v>0</v>
      </c>
      <c r="U49" s="53"/>
      <c r="V49" s="74">
        <v>0</v>
      </c>
      <c r="W49" s="95">
        <v>0</v>
      </c>
      <c r="X49" s="52">
        <v>0</v>
      </c>
      <c r="Y49" s="53"/>
      <c r="Z49" s="52">
        <v>0</v>
      </c>
      <c r="AA49" s="53"/>
      <c r="AB49" s="52">
        <v>0</v>
      </c>
      <c r="AC49" s="53"/>
      <c r="AD49" s="52">
        <v>0</v>
      </c>
      <c r="AE49" s="53"/>
      <c r="AF49" s="52">
        <v>0</v>
      </c>
      <c r="AG49" s="53"/>
      <c r="AH49" s="52">
        <v>0</v>
      </c>
      <c r="AI49" s="104"/>
      <c r="AJ49" s="100"/>
      <c r="AK49" s="37">
        <f>ROUND(Gantt!AK49*(centralizator!$R$18-1),2)</f>
        <v>0</v>
      </c>
      <c r="AL49" s="100"/>
      <c r="AM49" s="101"/>
      <c r="AN49" s="100"/>
      <c r="AO49" s="101"/>
      <c r="AP49" s="100"/>
      <c r="AQ49" s="101"/>
      <c r="AR49" s="100"/>
      <c r="AS49" s="101"/>
      <c r="AT49" s="45">
        <v>1</v>
      </c>
      <c r="AU49" s="48">
        <v>9100.36</v>
      </c>
      <c r="AV49" s="39">
        <f t="shared" si="0"/>
        <v>0</v>
      </c>
      <c r="AW49" s="40">
        <f t="shared" si="2"/>
        <v>0</v>
      </c>
      <c r="AX49" s="40">
        <f t="shared" si="3"/>
        <v>9101.36</v>
      </c>
      <c r="AY49" s="40">
        <f t="shared" si="4"/>
        <v>9101.36</v>
      </c>
      <c r="AZ49" s="41">
        <f t="shared" si="1"/>
        <v>-1</v>
      </c>
    </row>
    <row r="50" spans="1:52" ht="14.4">
      <c r="A50" s="42" t="s">
        <v>123</v>
      </c>
      <c r="B50" s="43" t="s">
        <v>124</v>
      </c>
      <c r="C50" s="58">
        <v>130525.31</v>
      </c>
      <c r="D50" s="52"/>
      <c r="E50" s="53"/>
      <c r="F50" s="52">
        <v>0</v>
      </c>
      <c r="G50" s="53"/>
      <c r="H50" s="52">
        <v>0</v>
      </c>
      <c r="I50" s="73"/>
      <c r="J50" s="52">
        <v>0</v>
      </c>
      <c r="K50" s="53"/>
      <c r="L50" s="52">
        <v>0</v>
      </c>
      <c r="M50" s="53"/>
      <c r="N50" s="52">
        <v>0</v>
      </c>
      <c r="O50" s="53"/>
      <c r="P50" s="74">
        <v>0</v>
      </c>
      <c r="Q50" s="53"/>
      <c r="R50" s="75">
        <v>0</v>
      </c>
      <c r="S50" s="53"/>
      <c r="T50" s="75">
        <v>0</v>
      </c>
      <c r="U50" s="53"/>
      <c r="V50" s="74">
        <v>0</v>
      </c>
      <c r="W50" s="95">
        <v>0</v>
      </c>
      <c r="X50" s="52">
        <v>0</v>
      </c>
      <c r="Y50" s="53"/>
      <c r="Z50" s="52">
        <v>0</v>
      </c>
      <c r="AA50" s="53"/>
      <c r="AB50" s="52">
        <v>0</v>
      </c>
      <c r="AC50" s="53"/>
      <c r="AD50" s="52">
        <v>0</v>
      </c>
      <c r="AE50" s="53"/>
      <c r="AF50" s="52">
        <v>0</v>
      </c>
      <c r="AG50" s="53"/>
      <c r="AH50" s="52">
        <v>0</v>
      </c>
      <c r="AI50" s="104"/>
      <c r="AJ50" s="100"/>
      <c r="AK50" s="37">
        <f>ROUND(Gantt!AK50*(centralizator!$R$18-1),2)</f>
        <v>0</v>
      </c>
      <c r="AL50" s="100"/>
      <c r="AM50" s="101"/>
      <c r="AN50" s="100"/>
      <c r="AO50" s="101"/>
      <c r="AP50" s="100"/>
      <c r="AQ50" s="101"/>
      <c r="AR50" s="100"/>
      <c r="AS50" s="101"/>
      <c r="AT50" s="45">
        <v>1</v>
      </c>
      <c r="AU50" s="48">
        <v>130525.31</v>
      </c>
      <c r="AV50" s="39">
        <f t="shared" si="0"/>
        <v>0</v>
      </c>
      <c r="AW50" s="40">
        <f t="shared" si="2"/>
        <v>0</v>
      </c>
      <c r="AX50" s="40">
        <f t="shared" si="3"/>
        <v>130526.31</v>
      </c>
      <c r="AY50" s="40">
        <f t="shared" si="4"/>
        <v>130526.31</v>
      </c>
      <c r="AZ50" s="41">
        <f t="shared" si="1"/>
        <v>-1</v>
      </c>
    </row>
    <row r="51" spans="1:52" ht="14.4">
      <c r="A51" s="42" t="s">
        <v>125</v>
      </c>
      <c r="B51" s="43" t="s">
        <v>126</v>
      </c>
      <c r="C51" s="58">
        <v>410646.25</v>
      </c>
      <c r="D51" s="52"/>
      <c r="E51" s="53"/>
      <c r="F51" s="52">
        <v>0</v>
      </c>
      <c r="G51" s="53"/>
      <c r="H51" s="52">
        <v>0</v>
      </c>
      <c r="I51" s="73"/>
      <c r="J51" s="52">
        <v>0</v>
      </c>
      <c r="K51" s="53"/>
      <c r="L51" s="52">
        <v>0</v>
      </c>
      <c r="M51" s="53"/>
      <c r="N51" s="52">
        <v>0</v>
      </c>
      <c r="O51" s="53"/>
      <c r="P51" s="74">
        <v>0</v>
      </c>
      <c r="Q51" s="53"/>
      <c r="R51" s="75">
        <v>0</v>
      </c>
      <c r="S51" s="53"/>
      <c r="T51" s="75">
        <v>0</v>
      </c>
      <c r="U51" s="53"/>
      <c r="V51" s="74">
        <v>0</v>
      </c>
      <c r="W51" s="95">
        <v>0</v>
      </c>
      <c r="X51" s="52">
        <v>0</v>
      </c>
      <c r="Y51" s="53"/>
      <c r="Z51" s="52">
        <v>0</v>
      </c>
      <c r="AA51" s="53"/>
      <c r="AB51" s="52">
        <v>0</v>
      </c>
      <c r="AC51" s="53"/>
      <c r="AD51" s="52">
        <v>0</v>
      </c>
      <c r="AE51" s="53"/>
      <c r="AF51" s="52">
        <v>0</v>
      </c>
      <c r="AG51" s="53"/>
      <c r="AH51" s="52">
        <v>0</v>
      </c>
      <c r="AI51" s="104"/>
      <c r="AJ51" s="100"/>
      <c r="AK51" s="37">
        <f>ROUND(Gantt!AK51*(centralizator!$R$18-1),2)</f>
        <v>0</v>
      </c>
      <c r="AL51" s="100"/>
      <c r="AM51" s="101"/>
      <c r="AN51" s="100"/>
      <c r="AO51" s="101"/>
      <c r="AP51" s="100"/>
      <c r="AQ51" s="101"/>
      <c r="AR51" s="100"/>
      <c r="AS51" s="101"/>
      <c r="AT51" s="45">
        <v>1</v>
      </c>
      <c r="AU51" s="48">
        <v>410646.25</v>
      </c>
      <c r="AV51" s="39">
        <f t="shared" si="0"/>
        <v>0</v>
      </c>
      <c r="AW51" s="40">
        <f t="shared" si="2"/>
        <v>0</v>
      </c>
      <c r="AX51" s="40">
        <f t="shared" si="3"/>
        <v>410647.25</v>
      </c>
      <c r="AY51" s="40">
        <f t="shared" si="4"/>
        <v>410647.25</v>
      </c>
      <c r="AZ51" s="41">
        <f t="shared" si="1"/>
        <v>-1</v>
      </c>
    </row>
    <row r="52" spans="1:52" ht="14.4">
      <c r="A52" s="42" t="s">
        <v>127</v>
      </c>
      <c r="B52" s="43" t="s">
        <v>128</v>
      </c>
      <c r="C52" s="58">
        <v>81527.53</v>
      </c>
      <c r="D52" s="52"/>
      <c r="E52" s="53"/>
      <c r="F52" s="52">
        <v>0</v>
      </c>
      <c r="G52" s="53"/>
      <c r="H52" s="52">
        <v>0</v>
      </c>
      <c r="I52" s="73"/>
      <c r="J52" s="52">
        <v>0</v>
      </c>
      <c r="K52" s="53"/>
      <c r="L52" s="52">
        <v>0</v>
      </c>
      <c r="M52" s="53"/>
      <c r="N52" s="52">
        <v>0</v>
      </c>
      <c r="O52" s="53"/>
      <c r="P52" s="74">
        <v>0</v>
      </c>
      <c r="Q52" s="53"/>
      <c r="R52" s="75">
        <v>0</v>
      </c>
      <c r="S52" s="53"/>
      <c r="T52" s="75">
        <v>0</v>
      </c>
      <c r="U52" s="53"/>
      <c r="V52" s="74">
        <v>0</v>
      </c>
      <c r="W52" s="95">
        <v>0</v>
      </c>
      <c r="X52" s="52">
        <v>0</v>
      </c>
      <c r="Y52" s="53"/>
      <c r="Z52" s="52">
        <v>0</v>
      </c>
      <c r="AA52" s="53"/>
      <c r="AB52" s="52">
        <v>0</v>
      </c>
      <c r="AC52" s="53"/>
      <c r="AD52" s="52">
        <v>0</v>
      </c>
      <c r="AE52" s="53"/>
      <c r="AF52" s="52">
        <v>0</v>
      </c>
      <c r="AG52" s="53"/>
      <c r="AH52" s="52">
        <v>0</v>
      </c>
      <c r="AI52" s="104"/>
      <c r="AJ52" s="100"/>
      <c r="AK52" s="37">
        <f>ROUND(Gantt!AK52*(centralizator!$R$18-1),2)</f>
        <v>0</v>
      </c>
      <c r="AL52" s="100"/>
      <c r="AM52" s="101"/>
      <c r="AN52" s="100"/>
      <c r="AO52" s="101"/>
      <c r="AP52" s="100"/>
      <c r="AQ52" s="101"/>
      <c r="AR52" s="100"/>
      <c r="AS52" s="101"/>
      <c r="AT52" s="45">
        <v>1</v>
      </c>
      <c r="AU52" s="48">
        <v>81527.53</v>
      </c>
      <c r="AV52" s="39">
        <f t="shared" si="0"/>
        <v>0</v>
      </c>
      <c r="AW52" s="40">
        <f t="shared" si="2"/>
        <v>0</v>
      </c>
      <c r="AX52" s="40">
        <f t="shared" si="3"/>
        <v>81528.53</v>
      </c>
      <c r="AY52" s="40">
        <f t="shared" si="4"/>
        <v>81528.53</v>
      </c>
      <c r="AZ52" s="41">
        <f t="shared" si="1"/>
        <v>-1</v>
      </c>
    </row>
    <row r="53" spans="1:52" ht="14.4">
      <c r="A53" s="42" t="s">
        <v>129</v>
      </c>
      <c r="B53" s="43" t="s">
        <v>130</v>
      </c>
      <c r="C53" s="58">
        <v>32368.400000000001</v>
      </c>
      <c r="D53" s="52"/>
      <c r="E53" s="53"/>
      <c r="F53" s="52">
        <v>0</v>
      </c>
      <c r="G53" s="53"/>
      <c r="H53" s="52">
        <v>0</v>
      </c>
      <c r="I53" s="73"/>
      <c r="J53" s="52">
        <v>0</v>
      </c>
      <c r="K53" s="53"/>
      <c r="L53" s="52">
        <v>0</v>
      </c>
      <c r="M53" s="53"/>
      <c r="N53" s="52">
        <v>0</v>
      </c>
      <c r="O53" s="53"/>
      <c r="P53" s="74">
        <v>0</v>
      </c>
      <c r="Q53" s="53"/>
      <c r="R53" s="75">
        <v>0</v>
      </c>
      <c r="S53" s="53"/>
      <c r="T53" s="50">
        <v>0.35757158216037865</v>
      </c>
      <c r="U53" s="46">
        <v>11574.02</v>
      </c>
      <c r="V53" s="49">
        <v>0.27373250692959794</v>
      </c>
      <c r="W53" s="51">
        <v>8860.2832772999991</v>
      </c>
      <c r="X53" s="52">
        <v>0</v>
      </c>
      <c r="Y53" s="53"/>
      <c r="Z53" s="52">
        <v>0</v>
      </c>
      <c r="AA53" s="53"/>
      <c r="AB53" s="52">
        <v>0</v>
      </c>
      <c r="AC53" s="92"/>
      <c r="AD53" s="52">
        <v>0</v>
      </c>
      <c r="AE53" s="53"/>
      <c r="AF53" s="52">
        <v>0</v>
      </c>
      <c r="AG53" s="53"/>
      <c r="AH53" s="52">
        <v>0</v>
      </c>
      <c r="AI53" s="104"/>
      <c r="AJ53" s="100"/>
      <c r="AK53" s="37">
        <f>ROUND(Gantt!AK53*(centralizator!$R$18-1),2)</f>
        <v>0</v>
      </c>
      <c r="AL53" s="100"/>
      <c r="AM53" s="101"/>
      <c r="AN53" s="45">
        <v>0.36869601216000791</v>
      </c>
      <c r="AO53" s="48">
        <v>11934.1</v>
      </c>
      <c r="AP53" s="100"/>
      <c r="AQ53" s="101"/>
      <c r="AR53" s="100"/>
      <c r="AS53" s="101"/>
      <c r="AT53" s="52">
        <v>-1.0124998450477951E-7</v>
      </c>
      <c r="AU53" s="56">
        <v>-3.277299998444505E-3</v>
      </c>
      <c r="AV53" s="39">
        <f t="shared" si="0"/>
        <v>0</v>
      </c>
      <c r="AW53" s="40">
        <f t="shared" si="2"/>
        <v>20434.93458138909</v>
      </c>
      <c r="AX53" s="40">
        <f t="shared" si="3"/>
        <v>11934.465418610911</v>
      </c>
      <c r="AY53" s="40">
        <f t="shared" si="4"/>
        <v>32369.4</v>
      </c>
      <c r="AZ53" s="41">
        <f t="shared" si="1"/>
        <v>-1</v>
      </c>
    </row>
    <row r="54" spans="1:52" ht="14.4">
      <c r="A54" s="42" t="s">
        <v>131</v>
      </c>
      <c r="B54" s="43" t="s">
        <v>132</v>
      </c>
      <c r="C54" s="58">
        <v>837308.58</v>
      </c>
      <c r="D54" s="52"/>
      <c r="E54" s="53"/>
      <c r="F54" s="52">
        <v>0</v>
      </c>
      <c r="G54" s="53"/>
      <c r="H54" s="52">
        <v>0</v>
      </c>
      <c r="I54" s="73"/>
      <c r="J54" s="52">
        <v>0</v>
      </c>
      <c r="K54" s="53"/>
      <c r="L54" s="52">
        <v>0</v>
      </c>
      <c r="M54" s="53"/>
      <c r="N54" s="52">
        <v>0</v>
      </c>
      <c r="O54" s="53"/>
      <c r="P54" s="74">
        <v>0</v>
      </c>
      <c r="Q54" s="53"/>
      <c r="R54" s="75">
        <v>0</v>
      </c>
      <c r="S54" s="53"/>
      <c r="T54" s="75">
        <v>0</v>
      </c>
      <c r="U54" s="53"/>
      <c r="V54" s="74">
        <v>0</v>
      </c>
      <c r="W54" s="95">
        <v>0</v>
      </c>
      <c r="X54" s="52">
        <v>0</v>
      </c>
      <c r="Y54" s="53"/>
      <c r="Z54" s="52">
        <v>0</v>
      </c>
      <c r="AA54" s="53"/>
      <c r="AB54" s="52">
        <v>0</v>
      </c>
      <c r="AC54" s="53"/>
      <c r="AD54" s="52">
        <v>0</v>
      </c>
      <c r="AE54" s="53"/>
      <c r="AF54" s="52">
        <v>0</v>
      </c>
      <c r="AG54" s="53"/>
      <c r="AH54" s="52">
        <v>0</v>
      </c>
      <c r="AI54" s="104"/>
      <c r="AJ54" s="100"/>
      <c r="AK54" s="37">
        <f>ROUND(Gantt!AK54*(centralizator!$R$18-1),2)</f>
        <v>0</v>
      </c>
      <c r="AL54" s="100"/>
      <c r="AM54" s="101"/>
      <c r="AN54" s="100"/>
      <c r="AO54" s="101"/>
      <c r="AP54" s="45">
        <v>0.67292634216169145</v>
      </c>
      <c r="AQ54" s="48">
        <v>563447</v>
      </c>
      <c r="AR54" s="45">
        <v>0.32585955347549406</v>
      </c>
      <c r="AS54" s="48">
        <v>272845</v>
      </c>
      <c r="AT54" s="45">
        <v>1.2141043628144336E-3</v>
      </c>
      <c r="AU54" s="48">
        <v>1016.5799999999581</v>
      </c>
      <c r="AV54" s="39">
        <f t="shared" si="0"/>
        <v>0</v>
      </c>
      <c r="AW54" s="40">
        <f t="shared" si="2"/>
        <v>0</v>
      </c>
      <c r="AX54" s="40">
        <f t="shared" si="3"/>
        <v>837309.58</v>
      </c>
      <c r="AY54" s="40">
        <f t="shared" si="4"/>
        <v>837309.58</v>
      </c>
      <c r="AZ54" s="41">
        <f t="shared" si="1"/>
        <v>-1</v>
      </c>
    </row>
    <row r="55" spans="1:52" ht="14.4">
      <c r="A55" s="42" t="s">
        <v>133</v>
      </c>
      <c r="B55" s="43" t="s">
        <v>134</v>
      </c>
      <c r="C55" s="58">
        <v>4403.91</v>
      </c>
      <c r="D55" s="52"/>
      <c r="E55" s="53"/>
      <c r="F55" s="52">
        <v>0</v>
      </c>
      <c r="G55" s="53"/>
      <c r="H55" s="52">
        <v>0</v>
      </c>
      <c r="I55" s="73"/>
      <c r="J55" s="52">
        <v>0</v>
      </c>
      <c r="K55" s="53"/>
      <c r="L55" s="52">
        <v>0</v>
      </c>
      <c r="M55" s="53"/>
      <c r="N55" s="52">
        <v>0</v>
      </c>
      <c r="O55" s="53"/>
      <c r="P55" s="74">
        <v>0</v>
      </c>
      <c r="Q55" s="53"/>
      <c r="R55" s="75">
        <v>0</v>
      </c>
      <c r="S55" s="53"/>
      <c r="T55" s="75">
        <v>0</v>
      </c>
      <c r="U55" s="53"/>
      <c r="V55" s="74">
        <v>0</v>
      </c>
      <c r="W55" s="95">
        <v>0</v>
      </c>
      <c r="X55" s="52">
        <v>0</v>
      </c>
      <c r="Y55" s="53"/>
      <c r="Z55" s="52">
        <v>0</v>
      </c>
      <c r="AA55" s="53"/>
      <c r="AB55" s="52">
        <v>0</v>
      </c>
      <c r="AC55" s="53"/>
      <c r="AD55" s="52">
        <v>0</v>
      </c>
      <c r="AE55" s="53"/>
      <c r="AF55" s="52">
        <v>0</v>
      </c>
      <c r="AG55" s="53"/>
      <c r="AH55" s="52">
        <v>0</v>
      </c>
      <c r="AI55" s="104"/>
      <c r="AJ55" s="100"/>
      <c r="AK55" s="37">
        <f>ROUND(Gantt!AK55*(centralizator!$R$18-1),2)</f>
        <v>0</v>
      </c>
      <c r="AL55" s="100"/>
      <c r="AM55" s="101"/>
      <c r="AN55" s="100"/>
      <c r="AO55" s="101"/>
      <c r="AP55" s="100"/>
      <c r="AQ55" s="101"/>
      <c r="AR55" s="45">
        <v>0.85969059313201224</v>
      </c>
      <c r="AS55" s="48">
        <v>3786</v>
      </c>
      <c r="AT55" s="45">
        <v>0.14030940686798773</v>
      </c>
      <c r="AU55" s="48">
        <v>617.90999999999985</v>
      </c>
      <c r="AV55" s="39">
        <f t="shared" si="0"/>
        <v>0</v>
      </c>
      <c r="AW55" s="40">
        <f t="shared" si="2"/>
        <v>0</v>
      </c>
      <c r="AX55" s="40">
        <f t="shared" si="3"/>
        <v>4404.91</v>
      </c>
      <c r="AY55" s="40">
        <f t="shared" si="4"/>
        <v>4404.91</v>
      </c>
      <c r="AZ55" s="41">
        <f t="shared" si="1"/>
        <v>-1</v>
      </c>
    </row>
    <row r="56" spans="1:52" ht="14.4">
      <c r="A56" s="30">
        <v>24.11</v>
      </c>
      <c r="B56" s="31" t="s">
        <v>135</v>
      </c>
      <c r="C56" s="32">
        <f>C57</f>
        <v>21303.45</v>
      </c>
      <c r="D56" s="33">
        <v>0</v>
      </c>
      <c r="E56" s="76">
        <v>0</v>
      </c>
      <c r="F56" s="33">
        <v>0</v>
      </c>
      <c r="G56" s="76">
        <v>0</v>
      </c>
      <c r="H56" s="33">
        <v>0</v>
      </c>
      <c r="I56" s="81">
        <v>0</v>
      </c>
      <c r="J56" s="33">
        <v>0</v>
      </c>
      <c r="K56" s="76">
        <v>0</v>
      </c>
      <c r="L56" s="33">
        <v>0</v>
      </c>
      <c r="M56" s="76">
        <v>0</v>
      </c>
      <c r="N56" s="33">
        <v>0</v>
      </c>
      <c r="O56" s="76">
        <v>0</v>
      </c>
      <c r="P56" s="35">
        <v>0</v>
      </c>
      <c r="Q56" s="76">
        <v>0</v>
      </c>
      <c r="R56" s="36">
        <v>0</v>
      </c>
      <c r="S56" s="76">
        <v>0</v>
      </c>
      <c r="T56" s="36">
        <v>0</v>
      </c>
      <c r="U56" s="76">
        <v>0</v>
      </c>
      <c r="V56" s="35">
        <v>0</v>
      </c>
      <c r="W56" s="76">
        <v>0</v>
      </c>
      <c r="X56" s="33">
        <v>0</v>
      </c>
      <c r="Y56" s="76">
        <v>0</v>
      </c>
      <c r="Z56" s="33">
        <v>0</v>
      </c>
      <c r="AA56" s="76">
        <v>0</v>
      </c>
      <c r="AB56" s="33">
        <v>0</v>
      </c>
      <c r="AC56" s="76">
        <v>0</v>
      </c>
      <c r="AD56" s="33">
        <v>0</v>
      </c>
      <c r="AE56" s="76">
        <v>0</v>
      </c>
      <c r="AF56" s="33">
        <v>0</v>
      </c>
      <c r="AG56" s="76">
        <v>0</v>
      </c>
      <c r="AH56" s="33">
        <v>0</v>
      </c>
      <c r="AI56" s="77">
        <v>0</v>
      </c>
      <c r="AJ56" s="78"/>
      <c r="AK56" s="37">
        <f>ROUND(Gantt!AK56*(centralizator!$R$18-1),2)</f>
        <v>0</v>
      </c>
      <c r="AL56" s="78"/>
      <c r="AM56" s="77">
        <v>0</v>
      </c>
      <c r="AN56" s="78"/>
      <c r="AO56" s="77">
        <v>0</v>
      </c>
      <c r="AP56" s="78"/>
      <c r="AQ56" s="77">
        <v>21303.45</v>
      </c>
      <c r="AR56" s="78"/>
      <c r="AS56" s="107">
        <v>0</v>
      </c>
      <c r="AT56" s="33">
        <v>0</v>
      </c>
      <c r="AU56" s="72">
        <v>0</v>
      </c>
      <c r="AV56" s="39">
        <f t="shared" si="0"/>
        <v>0</v>
      </c>
      <c r="AW56" s="40">
        <f t="shared" si="2"/>
        <v>0</v>
      </c>
      <c r="AX56" s="40">
        <f t="shared" si="3"/>
        <v>21303.45</v>
      </c>
      <c r="AY56" s="40">
        <f t="shared" si="4"/>
        <v>21303.45</v>
      </c>
      <c r="AZ56" s="41">
        <f t="shared" si="1"/>
        <v>0</v>
      </c>
    </row>
    <row r="57" spans="1:52" ht="14.4">
      <c r="A57" s="42" t="s">
        <v>136</v>
      </c>
      <c r="B57" s="43" t="s">
        <v>137</v>
      </c>
      <c r="C57" s="58">
        <v>21303.45</v>
      </c>
      <c r="D57" s="52"/>
      <c r="E57" s="53"/>
      <c r="F57" s="52">
        <v>0</v>
      </c>
      <c r="G57" s="53"/>
      <c r="H57" s="52">
        <v>0</v>
      </c>
      <c r="I57" s="73"/>
      <c r="J57" s="52">
        <v>0</v>
      </c>
      <c r="K57" s="53"/>
      <c r="L57" s="52">
        <v>0</v>
      </c>
      <c r="M57" s="53"/>
      <c r="N57" s="52">
        <v>0</v>
      </c>
      <c r="O57" s="53"/>
      <c r="P57" s="74">
        <v>0</v>
      </c>
      <c r="Q57" s="53"/>
      <c r="R57" s="75">
        <v>0</v>
      </c>
      <c r="S57" s="53"/>
      <c r="T57" s="75">
        <v>0</v>
      </c>
      <c r="U57" s="53"/>
      <c r="V57" s="74">
        <v>0</v>
      </c>
      <c r="W57" s="95">
        <v>0</v>
      </c>
      <c r="X57" s="52">
        <v>0</v>
      </c>
      <c r="Y57" s="53"/>
      <c r="Z57" s="52">
        <v>0</v>
      </c>
      <c r="AA57" s="53">
        <v>0</v>
      </c>
      <c r="AB57" s="52">
        <v>0</v>
      </c>
      <c r="AC57" s="53"/>
      <c r="AD57" s="52">
        <v>0</v>
      </c>
      <c r="AE57" s="53">
        <v>0</v>
      </c>
      <c r="AF57" s="52">
        <v>0</v>
      </c>
      <c r="AG57" s="53"/>
      <c r="AH57" s="52">
        <v>0</v>
      </c>
      <c r="AI57" s="104"/>
      <c r="AJ57" s="100"/>
      <c r="AK57" s="37">
        <f>ROUND(Gantt!AK57*(centralizator!$R$18-1),2)</f>
        <v>0</v>
      </c>
      <c r="AL57" s="100"/>
      <c r="AM57" s="101"/>
      <c r="AN57" s="100"/>
      <c r="AO57" s="101"/>
      <c r="AP57" s="108">
        <v>1</v>
      </c>
      <c r="AQ57" s="48">
        <v>21303.45</v>
      </c>
      <c r="AR57" s="100"/>
      <c r="AS57" s="101"/>
      <c r="AT57" s="52">
        <v>0</v>
      </c>
      <c r="AU57" s="56">
        <v>0</v>
      </c>
      <c r="AV57" s="39">
        <f t="shared" si="0"/>
        <v>0</v>
      </c>
      <c r="AW57" s="40">
        <f t="shared" si="2"/>
        <v>0</v>
      </c>
      <c r="AX57" s="40">
        <f t="shared" si="3"/>
        <v>21304.45</v>
      </c>
      <c r="AY57" s="40">
        <f t="shared" si="4"/>
        <v>21304.45</v>
      </c>
      <c r="AZ57" s="41">
        <f t="shared" si="1"/>
        <v>-1</v>
      </c>
    </row>
    <row r="58" spans="1:52" ht="18" customHeight="1">
      <c r="A58" s="30">
        <v>24.12</v>
      </c>
      <c r="B58" s="31" t="s">
        <v>138</v>
      </c>
      <c r="C58" s="32">
        <v>740101.95</v>
      </c>
      <c r="D58" s="52"/>
      <c r="E58" s="53"/>
      <c r="F58" s="52">
        <v>0</v>
      </c>
      <c r="G58" s="53"/>
      <c r="H58" s="52">
        <v>0</v>
      </c>
      <c r="I58" s="73"/>
      <c r="J58" s="52">
        <v>0</v>
      </c>
      <c r="K58" s="53"/>
      <c r="L58" s="52">
        <v>0</v>
      </c>
      <c r="M58" s="53"/>
      <c r="N58" s="52">
        <v>0</v>
      </c>
      <c r="O58" s="53"/>
      <c r="P58" s="49">
        <v>1.1763960357083238E-2</v>
      </c>
      <c r="Q58" s="46">
        <v>8706.5300000000007</v>
      </c>
      <c r="R58" s="50">
        <v>0.10749366354189448</v>
      </c>
      <c r="S58" s="46">
        <v>79556.27</v>
      </c>
      <c r="T58" s="50">
        <v>6.724601928153276E-2</v>
      </c>
      <c r="U58" s="46">
        <v>49768.909999999996</v>
      </c>
      <c r="V58" s="74">
        <v>0</v>
      </c>
      <c r="W58" s="95">
        <v>0</v>
      </c>
      <c r="X58" s="45">
        <v>5.2054571670835353E-2</v>
      </c>
      <c r="Y58" s="46">
        <v>38525.69</v>
      </c>
      <c r="Z58" s="45">
        <v>4.0347481857060372E-2</v>
      </c>
      <c r="AA58" s="46">
        <v>29861.25</v>
      </c>
      <c r="AB58" s="45">
        <v>7.7864542851157209E-3</v>
      </c>
      <c r="AC58" s="46">
        <v>5762.77</v>
      </c>
      <c r="AD58" s="45">
        <v>1.3724487552019018E-2</v>
      </c>
      <c r="AE58" s="46">
        <v>10157.52</v>
      </c>
      <c r="AF58" s="45">
        <v>6.7073543043630682E-2</v>
      </c>
      <c r="AG58" s="83">
        <v>49641.26</v>
      </c>
      <c r="AH58" s="109">
        <v>7.6258953242860665E-3</v>
      </c>
      <c r="AI58" s="48">
        <v>5643.94</v>
      </c>
      <c r="AJ58" s="109">
        <v>0.12742189099758486</v>
      </c>
      <c r="AK58" s="37">
        <f>ROUND(Gantt!AK58*(centralizator!$R$18-1),2)</f>
        <v>22344.67</v>
      </c>
      <c r="AL58" s="105">
        <v>0.27218866265654346</v>
      </c>
      <c r="AM58" s="48">
        <v>201447.36</v>
      </c>
      <c r="AN58" s="105">
        <v>0.16247331870967238</v>
      </c>
      <c r="AO58" s="48">
        <v>120246.82</v>
      </c>
      <c r="AP58" s="110"/>
      <c r="AQ58" s="72"/>
      <c r="AR58" s="110"/>
      <c r="AS58" s="72"/>
      <c r="AT58" s="33">
        <v>6.2800050722741571E-2</v>
      </c>
      <c r="AU58" s="111">
        <v>46478.439999999944</v>
      </c>
      <c r="AV58" s="39">
        <f t="shared" si="0"/>
        <v>71960.519999999902</v>
      </c>
      <c r="AW58" s="40">
        <f t="shared" si="2"/>
        <v>277624.51511607686</v>
      </c>
      <c r="AX58" s="40">
        <f t="shared" si="3"/>
        <v>390517.91488392302</v>
      </c>
      <c r="AY58" s="40">
        <f t="shared" si="4"/>
        <v>668142.42999999993</v>
      </c>
      <c r="AZ58" s="41">
        <f t="shared" si="1"/>
        <v>71959.520000000019</v>
      </c>
    </row>
    <row r="59" spans="1:52" s="93" customFormat="1" ht="14.4">
      <c r="A59" s="42"/>
      <c r="B59" s="112" t="s">
        <v>139</v>
      </c>
      <c r="C59" s="44">
        <v>14282.77</v>
      </c>
      <c r="D59" s="52"/>
      <c r="E59" s="53"/>
      <c r="F59" s="52">
        <v>0</v>
      </c>
      <c r="G59" s="53"/>
      <c r="H59" s="52">
        <v>0</v>
      </c>
      <c r="I59" s="73"/>
      <c r="J59" s="52">
        <v>0</v>
      </c>
      <c r="K59" s="53"/>
      <c r="L59" s="52">
        <v>0</v>
      </c>
      <c r="M59" s="53"/>
      <c r="N59" s="52">
        <v>0</v>
      </c>
      <c r="O59" s="53"/>
      <c r="P59" s="74">
        <v>0</v>
      </c>
      <c r="Q59" s="53"/>
      <c r="R59" s="75">
        <v>0</v>
      </c>
      <c r="S59" s="53"/>
      <c r="T59" s="64">
        <v>0.96611931719127309</v>
      </c>
      <c r="U59" s="79">
        <v>13798.86</v>
      </c>
      <c r="V59" s="74">
        <v>0</v>
      </c>
      <c r="W59" s="95">
        <v>0</v>
      </c>
      <c r="X59" s="52">
        <v>0</v>
      </c>
      <c r="Y59" s="53"/>
      <c r="Z59" s="66">
        <v>1.7959401432635264E-2</v>
      </c>
      <c r="AA59" s="79">
        <v>256.51</v>
      </c>
      <c r="AB59" s="52">
        <v>0</v>
      </c>
      <c r="AC59" s="53"/>
      <c r="AD59" s="52">
        <v>0</v>
      </c>
      <c r="AE59" s="53"/>
      <c r="AF59" s="52">
        <v>0</v>
      </c>
      <c r="AG59" s="53"/>
      <c r="AH59" s="52"/>
      <c r="AI59" s="54"/>
      <c r="AJ59" s="55"/>
      <c r="AK59" s="37">
        <f>ROUND(Gantt!AK59*(centralizator!$R$18-1),2)</f>
        <v>0</v>
      </c>
      <c r="AL59" s="55"/>
      <c r="AM59" s="56"/>
      <c r="AN59" s="55"/>
      <c r="AO59" s="56"/>
      <c r="AP59" s="55"/>
      <c r="AQ59" s="56"/>
      <c r="AR59" s="55"/>
      <c r="AS59" s="56"/>
      <c r="AT59" s="52">
        <v>1.5921281376091587E-2</v>
      </c>
      <c r="AU59" s="56">
        <v>227.39999999999964</v>
      </c>
      <c r="AV59" s="39">
        <f t="shared" si="0"/>
        <v>0</v>
      </c>
      <c r="AW59" s="40">
        <f t="shared" si="2"/>
        <v>14056.354078718625</v>
      </c>
      <c r="AX59" s="40">
        <f t="shared" si="3"/>
        <v>227.41592128137572</v>
      </c>
      <c r="AY59" s="40">
        <f t="shared" si="4"/>
        <v>14283.77</v>
      </c>
      <c r="AZ59" s="41">
        <f t="shared" si="1"/>
        <v>-1</v>
      </c>
    </row>
    <row r="60" spans="1:52" ht="14.4">
      <c r="A60" s="30">
        <v>24.13</v>
      </c>
      <c r="B60" s="31" t="s">
        <v>140</v>
      </c>
      <c r="C60" s="32">
        <v>732353.56</v>
      </c>
      <c r="D60" s="45">
        <v>5.4095319752388446E-2</v>
      </c>
      <c r="E60" s="46">
        <v>39616.9</v>
      </c>
      <c r="F60" s="52">
        <v>0</v>
      </c>
      <c r="G60" s="53"/>
      <c r="H60" s="52">
        <v>0</v>
      </c>
      <c r="I60" s="73"/>
      <c r="J60" s="52">
        <v>0</v>
      </c>
      <c r="K60" s="53"/>
      <c r="L60" s="52">
        <v>0</v>
      </c>
      <c r="M60" s="53"/>
      <c r="N60" s="52">
        <v>0</v>
      </c>
      <c r="O60" s="53"/>
      <c r="P60" s="74">
        <v>0</v>
      </c>
      <c r="Q60" s="53"/>
      <c r="R60" s="75">
        <v>0</v>
      </c>
      <c r="S60" s="53"/>
      <c r="T60" s="75">
        <v>0</v>
      </c>
      <c r="U60" s="53"/>
      <c r="V60" s="74">
        <v>0</v>
      </c>
      <c r="W60" s="95">
        <v>0</v>
      </c>
      <c r="X60" s="52">
        <v>0</v>
      </c>
      <c r="Y60" s="53"/>
      <c r="Z60" s="45">
        <v>0.1377798723337946</v>
      </c>
      <c r="AA60" s="46">
        <v>100903.58</v>
      </c>
      <c r="AB60" s="45">
        <v>2.5581592038686887E-2</v>
      </c>
      <c r="AC60" s="46">
        <v>18734.77</v>
      </c>
      <c r="AD60" s="52">
        <v>0</v>
      </c>
      <c r="AE60" s="53"/>
      <c r="AF60" s="45">
        <v>5.2158645886830939E-2</v>
      </c>
      <c r="AG60" s="46">
        <v>38198.57</v>
      </c>
      <c r="AH60" s="45">
        <v>3.7490061494341607E-2</v>
      </c>
      <c r="AI60" s="48">
        <v>27455.98</v>
      </c>
      <c r="AJ60" s="109">
        <v>0.30655411847796571</v>
      </c>
      <c r="AK60" s="37">
        <f>ROUND(Gantt!AK60*(centralizator!$R$18-1),2)</f>
        <v>53194.45</v>
      </c>
      <c r="AL60" s="45">
        <v>0.25354530945408388</v>
      </c>
      <c r="AM60" s="48">
        <v>185684.81</v>
      </c>
      <c r="AN60" s="105">
        <v>0.13279508056190784</v>
      </c>
      <c r="AO60" s="48">
        <v>97252.950000000012</v>
      </c>
      <c r="AP60" s="55"/>
      <c r="AQ60" s="56"/>
      <c r="AR60" s="55"/>
      <c r="AS60" s="56"/>
      <c r="AT60" s="52">
        <v>0</v>
      </c>
      <c r="AU60" s="56">
        <v>0</v>
      </c>
      <c r="AV60" s="39">
        <f t="shared" si="0"/>
        <v>171311.55000000005</v>
      </c>
      <c r="AW60" s="40">
        <f t="shared" si="2"/>
        <v>224910.10710549148</v>
      </c>
      <c r="AX60" s="40">
        <f t="shared" si="3"/>
        <v>336132.9028945085</v>
      </c>
      <c r="AY60" s="40">
        <f t="shared" si="4"/>
        <v>561043.01</v>
      </c>
      <c r="AZ60" s="41">
        <f t="shared" si="1"/>
        <v>171310.55000000005</v>
      </c>
    </row>
    <row r="61" spans="1:52" s="93" customFormat="1" ht="14.4">
      <c r="A61" s="42"/>
      <c r="B61" s="112" t="s">
        <v>141</v>
      </c>
      <c r="C61" s="44">
        <v>39796.720000000001</v>
      </c>
      <c r="D61" s="52"/>
      <c r="E61" s="53"/>
      <c r="F61" s="52">
        <v>0</v>
      </c>
      <c r="G61" s="53"/>
      <c r="H61" s="52">
        <v>0</v>
      </c>
      <c r="I61" s="73"/>
      <c r="J61" s="52">
        <v>0</v>
      </c>
      <c r="K61" s="53"/>
      <c r="L61" s="52">
        <v>0</v>
      </c>
      <c r="M61" s="53"/>
      <c r="N61" s="52">
        <v>0</v>
      </c>
      <c r="O61" s="53"/>
      <c r="P61" s="74">
        <v>0</v>
      </c>
      <c r="Q61" s="53"/>
      <c r="R61" s="75">
        <v>0</v>
      </c>
      <c r="S61" s="53"/>
      <c r="T61" s="75">
        <v>0</v>
      </c>
      <c r="U61" s="53"/>
      <c r="V61" s="74">
        <v>0</v>
      </c>
      <c r="W61" s="95">
        <v>0</v>
      </c>
      <c r="X61" s="52">
        <v>0</v>
      </c>
      <c r="Y61" s="53"/>
      <c r="Z61" s="66">
        <v>6.1702321196319701E-2</v>
      </c>
      <c r="AA61" s="79">
        <v>2455.5500000000002</v>
      </c>
      <c r="AB61" s="52">
        <v>0</v>
      </c>
      <c r="AC61" s="53"/>
      <c r="AD61" s="52">
        <v>0</v>
      </c>
      <c r="AE61" s="53"/>
      <c r="AF61" s="52">
        <v>0</v>
      </c>
      <c r="AG61" s="53"/>
      <c r="AH61" s="66">
        <v>0.12536560801995744</v>
      </c>
      <c r="AI61" s="68">
        <v>4989.1400000000003</v>
      </c>
      <c r="AJ61" s="67">
        <v>0.16672052370145074</v>
      </c>
      <c r="AK61" s="37">
        <f>ROUND(Gantt!AK61*(centralizator!$R$18-1),2)</f>
        <v>1572.08</v>
      </c>
      <c r="AL61" s="66">
        <v>0.56584185832400258</v>
      </c>
      <c r="AM61" s="68">
        <v>22518.65</v>
      </c>
      <c r="AN61" s="80">
        <v>8.0369688758269525E-2</v>
      </c>
      <c r="AO61" s="56">
        <v>3198.45</v>
      </c>
      <c r="AP61" s="55"/>
      <c r="AQ61" s="56"/>
      <c r="AR61" s="55"/>
      <c r="AS61" s="56"/>
      <c r="AT61" s="52">
        <v>0</v>
      </c>
      <c r="AU61" s="56">
        <v>0</v>
      </c>
      <c r="AV61" s="39">
        <f t="shared" si="0"/>
        <v>5062.8499999999985</v>
      </c>
      <c r="AW61" s="40">
        <f t="shared" si="2"/>
        <v>7444.8770679292165</v>
      </c>
      <c r="AX61" s="40">
        <f t="shared" si="3"/>
        <v>27289.992932070789</v>
      </c>
      <c r="AY61" s="40">
        <f t="shared" si="4"/>
        <v>34734.870000000003</v>
      </c>
      <c r="AZ61" s="41">
        <f t="shared" si="1"/>
        <v>5061.8499999999985</v>
      </c>
    </row>
    <row r="62" spans="1:52" ht="14.4">
      <c r="A62" s="30">
        <v>24.14</v>
      </c>
      <c r="B62" s="31" t="s">
        <v>142</v>
      </c>
      <c r="C62" s="32">
        <v>478663.39</v>
      </c>
      <c r="D62" s="52"/>
      <c r="E62" s="53"/>
      <c r="F62" s="45">
        <v>3.4986318882670342E-2</v>
      </c>
      <c r="G62" s="46">
        <v>16746.669999999998</v>
      </c>
      <c r="H62" s="45">
        <v>2.3998221380582292E-2</v>
      </c>
      <c r="I62" s="47">
        <v>11487.07</v>
      </c>
      <c r="J62" s="52">
        <v>0</v>
      </c>
      <c r="K62" s="53"/>
      <c r="L62" s="52">
        <v>0</v>
      </c>
      <c r="M62" s="53"/>
      <c r="N62" s="52">
        <v>0</v>
      </c>
      <c r="O62" s="53"/>
      <c r="P62" s="74">
        <v>0</v>
      </c>
      <c r="Q62" s="53"/>
      <c r="R62" s="50">
        <v>0.11622499477137786</v>
      </c>
      <c r="S62" s="46">
        <v>55632.65</v>
      </c>
      <c r="T62" s="50">
        <v>9.8706211895587009E-2</v>
      </c>
      <c r="U62" s="46">
        <v>47247.05</v>
      </c>
      <c r="V62" s="49">
        <v>0.12879522160155177</v>
      </c>
      <c r="W62" s="51">
        <v>61649.557387599998</v>
      </c>
      <c r="X62" s="45">
        <v>8.7303146371816728E-2</v>
      </c>
      <c r="Y62" s="46">
        <v>41788.82</v>
      </c>
      <c r="Z62" s="45">
        <v>0.13647101776469681</v>
      </c>
      <c r="AA62" s="46">
        <v>65323.68</v>
      </c>
      <c r="AB62" s="45">
        <v>3.9745759540958416E-2</v>
      </c>
      <c r="AC62" s="46">
        <v>19024.84</v>
      </c>
      <c r="AD62" s="45">
        <v>4.3012940680506193E-2</v>
      </c>
      <c r="AE62" s="46">
        <v>20588.72</v>
      </c>
      <c r="AF62" s="52">
        <v>0</v>
      </c>
      <c r="AG62" s="53"/>
      <c r="AH62" s="113">
        <v>0</v>
      </c>
      <c r="AI62" s="114">
        <v>0</v>
      </c>
      <c r="AJ62" s="109">
        <v>0.10750318715621847</v>
      </c>
      <c r="AK62" s="37">
        <f>ROUND(Gantt!AK62*(centralizator!$R$18-1),2)</f>
        <v>12192.42</v>
      </c>
      <c r="AL62" s="45">
        <v>0.18325297449633654</v>
      </c>
      <c r="AM62" s="48">
        <v>87716.489999999991</v>
      </c>
      <c r="AN62" s="110"/>
      <c r="AO62" s="72"/>
      <c r="AP62" s="110"/>
      <c r="AQ62" s="72"/>
      <c r="AR62" s="110"/>
      <c r="AS62" s="72"/>
      <c r="AT62" s="33">
        <v>5.4576974961098394E-9</v>
      </c>
      <c r="AU62" s="111">
        <v>2.6123999850824475E-3</v>
      </c>
      <c r="AV62" s="39">
        <f t="shared" si="0"/>
        <v>39265.420000000042</v>
      </c>
      <c r="AW62" s="40">
        <f t="shared" si="2"/>
        <v>339489.76663143293</v>
      </c>
      <c r="AX62" s="40">
        <f t="shared" si="3"/>
        <v>99909.20336856709</v>
      </c>
      <c r="AY62" s="40">
        <f t="shared" si="4"/>
        <v>439398.97000000003</v>
      </c>
      <c r="AZ62" s="41">
        <f t="shared" si="1"/>
        <v>39264.419999999984</v>
      </c>
    </row>
    <row r="63" spans="1:52" s="93" customFormat="1" ht="14.4">
      <c r="A63" s="42"/>
      <c r="B63" s="112" t="s">
        <v>143</v>
      </c>
      <c r="C63" s="44">
        <v>76026.05</v>
      </c>
      <c r="D63" s="52"/>
      <c r="E63" s="53"/>
      <c r="F63" s="52">
        <v>0</v>
      </c>
      <c r="G63" s="53"/>
      <c r="H63" s="52">
        <v>0</v>
      </c>
      <c r="I63" s="73"/>
      <c r="J63" s="52">
        <v>0</v>
      </c>
      <c r="K63" s="53"/>
      <c r="L63" s="52">
        <v>0.2728189877022415</v>
      </c>
      <c r="M63" s="53">
        <v>20741.349999999999</v>
      </c>
      <c r="N63" s="52">
        <v>0</v>
      </c>
      <c r="O63" s="53"/>
      <c r="P63" s="74">
        <v>0</v>
      </c>
      <c r="Q63" s="53"/>
      <c r="R63" s="64">
        <v>5.0108482553019654E-2</v>
      </c>
      <c r="S63" s="79">
        <v>3809.55</v>
      </c>
      <c r="T63" s="75">
        <v>0</v>
      </c>
      <c r="U63" s="53"/>
      <c r="V63" s="62">
        <v>0.10828843066817227</v>
      </c>
      <c r="W63" s="65">
        <v>8232.7416443999991</v>
      </c>
      <c r="X63" s="52">
        <v>0</v>
      </c>
      <c r="Y63" s="53">
        <v>0</v>
      </c>
      <c r="Z63" s="66">
        <v>0.18768474753061615</v>
      </c>
      <c r="AA63" s="79">
        <v>14268.93</v>
      </c>
      <c r="AB63" s="52">
        <v>0</v>
      </c>
      <c r="AC63" s="53">
        <v>0</v>
      </c>
      <c r="AD63" s="52">
        <v>0</v>
      </c>
      <c r="AE63" s="53">
        <v>0</v>
      </c>
      <c r="AF63" s="52">
        <v>0</v>
      </c>
      <c r="AG63" s="53"/>
      <c r="AH63" s="113">
        <v>0</v>
      </c>
      <c r="AI63" s="115"/>
      <c r="AJ63" s="80">
        <v>2.3552321868622661E-2</v>
      </c>
      <c r="AK63" s="37">
        <f>ROUND(Gantt!AK63*(centralizator!$R$18-1),2)</f>
        <v>424.26</v>
      </c>
      <c r="AL63" s="66">
        <v>0.35754705130675601</v>
      </c>
      <c r="AM63" s="68">
        <v>27182.89</v>
      </c>
      <c r="AN63" s="55"/>
      <c r="AO63" s="56"/>
      <c r="AP63" s="55"/>
      <c r="AQ63" s="56"/>
      <c r="AR63" s="55"/>
      <c r="AS63" s="56"/>
      <c r="AT63" s="52">
        <v>-3.4353995447069517E-9</v>
      </c>
      <c r="AU63" s="56">
        <v>-1.6443999920738861E-3</v>
      </c>
      <c r="AV63" s="39">
        <f t="shared" si="0"/>
        <v>1366.3300000000017</v>
      </c>
      <c r="AW63" s="40">
        <f t="shared" si="2"/>
        <v>47053.190545048448</v>
      </c>
      <c r="AX63" s="40">
        <f t="shared" si="3"/>
        <v>27607.52945496975</v>
      </c>
      <c r="AY63" s="40">
        <f t="shared" si="4"/>
        <v>74660.720000018191</v>
      </c>
      <c r="AZ63" s="41">
        <f t="shared" si="1"/>
        <v>1365.3299999818119</v>
      </c>
    </row>
    <row r="64" spans="1:52" ht="14.4">
      <c r="A64" s="116">
        <v>24.15</v>
      </c>
      <c r="B64" s="117" t="s">
        <v>144</v>
      </c>
      <c r="C64" s="118">
        <v>749116.97</v>
      </c>
      <c r="D64" s="52"/>
      <c r="E64" s="119"/>
      <c r="F64" s="52">
        <v>0</v>
      </c>
      <c r="G64" s="119"/>
      <c r="H64" s="52">
        <v>0</v>
      </c>
      <c r="I64" s="120"/>
      <c r="J64" s="52">
        <v>0</v>
      </c>
      <c r="K64" s="119"/>
      <c r="L64" s="52">
        <v>0</v>
      </c>
      <c r="M64" s="119"/>
      <c r="N64" s="52">
        <v>0</v>
      </c>
      <c r="O64" s="119"/>
      <c r="P64" s="74">
        <v>0</v>
      </c>
      <c r="Q64" s="119"/>
      <c r="R64" s="50">
        <v>8.3505824197254538E-2</v>
      </c>
      <c r="S64" s="121">
        <v>62555.63</v>
      </c>
      <c r="T64" s="50">
        <v>7.1671116995253761E-2</v>
      </c>
      <c r="U64" s="121">
        <v>53690.05</v>
      </c>
      <c r="V64" s="49">
        <v>4.5315109304892666E-2</v>
      </c>
      <c r="W64" s="51">
        <v>33946.317377699997</v>
      </c>
      <c r="X64" s="45">
        <v>3.2142603844630566E-2</v>
      </c>
      <c r="Y64" s="121">
        <v>24078.57</v>
      </c>
      <c r="Z64" s="45">
        <v>5.5977119300875011E-2</v>
      </c>
      <c r="AA64" s="121">
        <v>41933.410000000003</v>
      </c>
      <c r="AB64" s="45">
        <v>6.9827145952921083E-3</v>
      </c>
      <c r="AC64" s="121">
        <v>5230.87</v>
      </c>
      <c r="AD64" s="45">
        <v>2.1117703420868973E-2</v>
      </c>
      <c r="AE64" s="121">
        <v>15819.63</v>
      </c>
      <c r="AF64" s="45">
        <v>0.15164056422323474</v>
      </c>
      <c r="AG64" s="121">
        <v>113596.52</v>
      </c>
      <c r="AH64" s="122">
        <v>0</v>
      </c>
      <c r="AI64" s="123">
        <v>0</v>
      </c>
      <c r="AJ64" s="49">
        <v>0.16763191200968261</v>
      </c>
      <c r="AK64" s="37">
        <f>ROUND(Gantt!AK64*(centralizator!$R$18-1),2)</f>
        <v>29753.96</v>
      </c>
      <c r="AL64" s="105">
        <v>0.16215404918673784</v>
      </c>
      <c r="AM64" s="48">
        <v>121472.35</v>
      </c>
      <c r="AN64" s="105">
        <v>0.14345719601039075</v>
      </c>
      <c r="AO64" s="48">
        <v>107466.22</v>
      </c>
      <c r="AP64" s="108">
        <v>5.840408341036514E-2</v>
      </c>
      <c r="AQ64" s="48">
        <v>43751.49</v>
      </c>
      <c r="AR64" s="55"/>
      <c r="AS64" s="56"/>
      <c r="AT64" s="74">
        <v>3.5005213458862243E-9</v>
      </c>
      <c r="AU64" s="56">
        <v>2.6222999440506101E-3</v>
      </c>
      <c r="AV64" s="39">
        <f t="shared" si="0"/>
        <v>95821.949999999953</v>
      </c>
      <c r="AW64" s="40">
        <f t="shared" si="2"/>
        <v>350851.46573045594</v>
      </c>
      <c r="AX64" s="40">
        <f t="shared" si="3"/>
        <v>302444.55426954408</v>
      </c>
      <c r="AY64" s="40">
        <f t="shared" si="4"/>
        <v>653296.02</v>
      </c>
      <c r="AZ64" s="41">
        <f t="shared" si="1"/>
        <v>95820.949999999953</v>
      </c>
    </row>
    <row r="65" spans="1:52" s="127" customFormat="1" ht="14.4">
      <c r="A65" s="124"/>
      <c r="B65" s="125" t="s">
        <v>145</v>
      </c>
      <c r="C65" s="44">
        <v>8290.36</v>
      </c>
      <c r="D65" s="52"/>
      <c r="E65" s="56"/>
      <c r="F65" s="52">
        <v>0</v>
      </c>
      <c r="G65" s="56"/>
      <c r="H65" s="52">
        <v>0</v>
      </c>
      <c r="I65" s="56"/>
      <c r="J65" s="52">
        <v>0</v>
      </c>
      <c r="K65" s="56"/>
      <c r="L65" s="52">
        <v>0</v>
      </c>
      <c r="M65" s="56"/>
      <c r="N65" s="52">
        <v>0</v>
      </c>
      <c r="O65" s="56"/>
      <c r="P65" s="74">
        <v>0</v>
      </c>
      <c r="Q65" s="56"/>
      <c r="R65" s="75">
        <v>0</v>
      </c>
      <c r="S65" s="56"/>
      <c r="T65" s="75">
        <v>0</v>
      </c>
      <c r="U65" s="56"/>
      <c r="V65" s="62">
        <v>0.94062301542996918</v>
      </c>
      <c r="W65" s="65">
        <v>7798.1034221999998</v>
      </c>
      <c r="X65" s="52">
        <v>0</v>
      </c>
      <c r="Y65" s="56"/>
      <c r="Z65" s="52">
        <v>0</v>
      </c>
      <c r="AA65" s="56"/>
      <c r="AB65" s="52">
        <v>0</v>
      </c>
      <c r="AC65" s="56">
        <v>0</v>
      </c>
      <c r="AD65" s="52">
        <v>0</v>
      </c>
      <c r="AE65" s="56"/>
      <c r="AF65" s="66">
        <v>3.1949155404590389E-2</v>
      </c>
      <c r="AG65" s="68">
        <v>264.87</v>
      </c>
      <c r="AH65" s="126">
        <v>0</v>
      </c>
      <c r="AI65" s="114">
        <v>0</v>
      </c>
      <c r="AJ65" s="55"/>
      <c r="AK65" s="37">
        <f>ROUND(Gantt!AK65*(centralizator!$R$18-1),2)</f>
        <v>0</v>
      </c>
      <c r="AL65" s="55"/>
      <c r="AM65" s="56"/>
      <c r="AN65" s="55"/>
      <c r="AO65" s="56"/>
      <c r="AP65" s="55"/>
      <c r="AQ65" s="56"/>
      <c r="AR65" s="55"/>
      <c r="AS65" s="56"/>
      <c r="AT65" s="74">
        <v>3.0353948302626338E-4</v>
      </c>
      <c r="AU65" s="56">
        <v>227.38657780000085</v>
      </c>
      <c r="AV65" s="39">
        <f t="shared" si="0"/>
        <v>0</v>
      </c>
      <c r="AW65" s="40">
        <f t="shared" si="2"/>
        <v>8063.9459943708343</v>
      </c>
      <c r="AX65" s="40">
        <f t="shared" si="3"/>
        <v>227.38688133948386</v>
      </c>
      <c r="AY65" s="40">
        <f t="shared" si="4"/>
        <v>8291.3328757103191</v>
      </c>
      <c r="AZ65" s="41">
        <f t="shared" si="1"/>
        <v>-0.97287571031847619</v>
      </c>
    </row>
    <row r="66" spans="1:52" ht="14.4">
      <c r="A66" s="128">
        <v>24.16</v>
      </c>
      <c r="B66" s="129" t="s">
        <v>146</v>
      </c>
      <c r="C66" s="130">
        <f>C67+C68</f>
        <v>104621</v>
      </c>
      <c r="D66" s="33">
        <v>0.67383230900106095</v>
      </c>
      <c r="E66" s="131">
        <v>70497.009999999995</v>
      </c>
      <c r="F66" s="33">
        <v>0</v>
      </c>
      <c r="G66" s="131"/>
      <c r="H66" s="33">
        <v>0</v>
      </c>
      <c r="I66" s="131"/>
      <c r="J66" s="33">
        <v>0</v>
      </c>
      <c r="K66" s="131">
        <v>0</v>
      </c>
      <c r="L66" s="33">
        <v>6.4006270251670315E-3</v>
      </c>
      <c r="M66" s="131">
        <v>669.64</v>
      </c>
      <c r="N66" s="33">
        <v>2.3274486001854311E-3</v>
      </c>
      <c r="O66" s="131">
        <v>243.5</v>
      </c>
      <c r="P66" s="35">
        <v>0</v>
      </c>
      <c r="Q66" s="131">
        <v>0</v>
      </c>
      <c r="R66" s="36">
        <v>0</v>
      </c>
      <c r="S66" s="131">
        <v>0</v>
      </c>
      <c r="T66" s="36">
        <v>0</v>
      </c>
      <c r="U66" s="131">
        <v>0</v>
      </c>
      <c r="V66" s="35">
        <v>0</v>
      </c>
      <c r="W66" s="131">
        <v>0</v>
      </c>
      <c r="X66" s="33">
        <v>5.4031217442004949E-3</v>
      </c>
      <c r="Y66" s="131">
        <v>565.28</v>
      </c>
      <c r="Z66" s="33">
        <v>4.1988702077020868E-3</v>
      </c>
      <c r="AA66" s="131">
        <v>439.29</v>
      </c>
      <c r="AB66" s="33">
        <v>4.2618594737194255E-3</v>
      </c>
      <c r="AC66" s="131">
        <v>445.88</v>
      </c>
      <c r="AD66" s="33">
        <v>4.305636535685952E-3</v>
      </c>
      <c r="AE66" s="131">
        <v>450.46</v>
      </c>
      <c r="AF66" s="33">
        <v>4.3358407967807608E-3</v>
      </c>
      <c r="AG66" s="131">
        <v>453.62</v>
      </c>
      <c r="AH66" s="132">
        <v>3.1912331176341272E-3</v>
      </c>
      <c r="AI66" s="133">
        <v>333.87</v>
      </c>
      <c r="AJ66" s="134"/>
      <c r="AK66" s="37">
        <f>ROUND(Gantt!AK66*(centralizator!$R$18-1),2)</f>
        <v>107.33</v>
      </c>
      <c r="AL66" s="134"/>
      <c r="AM66" s="82">
        <v>453</v>
      </c>
      <c r="AN66" s="134"/>
      <c r="AO66" s="82">
        <v>453</v>
      </c>
      <c r="AP66" s="134"/>
      <c r="AQ66" s="82">
        <v>453</v>
      </c>
      <c r="AR66" s="134"/>
      <c r="AS66" s="82">
        <v>453</v>
      </c>
      <c r="AT66" s="135">
        <v>0.27009348027642638</v>
      </c>
      <c r="AU66" s="131">
        <v>28257.450000000004</v>
      </c>
      <c r="AV66" s="39">
        <f t="shared" si="0"/>
        <v>345.66999999999825</v>
      </c>
      <c r="AW66" s="40">
        <f t="shared" si="2"/>
        <v>74099.258256946501</v>
      </c>
      <c r="AX66" s="40">
        <f t="shared" si="3"/>
        <v>30177.05009348028</v>
      </c>
      <c r="AY66" s="40">
        <f t="shared" si="4"/>
        <v>104276.30835042679</v>
      </c>
      <c r="AZ66" s="41">
        <f t="shared" si="1"/>
        <v>344.69164957321482</v>
      </c>
    </row>
    <row r="67" spans="1:52" ht="14.4">
      <c r="A67" s="124" t="s">
        <v>147</v>
      </c>
      <c r="B67" s="136" t="s">
        <v>146</v>
      </c>
      <c r="C67" s="44">
        <v>100779.54</v>
      </c>
      <c r="D67" s="45">
        <v>0.69951708451933792</v>
      </c>
      <c r="E67" s="46">
        <v>70497.009999999995</v>
      </c>
      <c r="F67" s="52">
        <v>0</v>
      </c>
      <c r="G67" s="53"/>
      <c r="H67" s="52">
        <v>0</v>
      </c>
      <c r="I67" s="73"/>
      <c r="J67" s="52">
        <v>0</v>
      </c>
      <c r="K67" s="53"/>
      <c r="L67" s="45">
        <v>6.6446026643900147E-3</v>
      </c>
      <c r="M67" s="46">
        <v>669.64</v>
      </c>
      <c r="N67" s="45">
        <v>2.4161650271473756E-3</v>
      </c>
      <c r="O67" s="46">
        <v>243.5</v>
      </c>
      <c r="P67" s="74">
        <v>0</v>
      </c>
      <c r="Q67" s="53"/>
      <c r="R67" s="75">
        <v>0</v>
      </c>
      <c r="S67" s="53"/>
      <c r="T67" s="75">
        <v>0</v>
      </c>
      <c r="U67" s="53"/>
      <c r="V67" s="74">
        <v>0</v>
      </c>
      <c r="W67" s="53"/>
      <c r="X67" s="45">
        <v>5.6090750166154762E-3</v>
      </c>
      <c r="Y67" s="46">
        <v>565.28</v>
      </c>
      <c r="Z67" s="45">
        <v>4.3589204713575793E-3</v>
      </c>
      <c r="AA67" s="46">
        <v>439.29</v>
      </c>
      <c r="AB67" s="45">
        <v>4.4243107281497817E-3</v>
      </c>
      <c r="AC67" s="46">
        <v>445.88</v>
      </c>
      <c r="AD67" s="45">
        <v>4.4697564604879126E-3</v>
      </c>
      <c r="AE67" s="46">
        <v>450.46</v>
      </c>
      <c r="AF67" s="45">
        <v>4.5011120312714271E-3</v>
      </c>
      <c r="AG67" s="46">
        <v>453.62</v>
      </c>
      <c r="AH67" s="45">
        <v>3.3128748156619888E-3</v>
      </c>
      <c r="AI67" s="83">
        <v>333.87</v>
      </c>
      <c r="AJ67" s="49">
        <v>4.49495998890251E-3</v>
      </c>
      <c r="AK67" s="37">
        <f>ROUND(Gantt!AK67*(centralizator!$R$18-1),2)</f>
        <v>107.33</v>
      </c>
      <c r="AL67" s="105">
        <v>4.49495998890251E-3</v>
      </c>
      <c r="AM67" s="48">
        <v>453</v>
      </c>
      <c r="AN67" s="105">
        <v>4.49495998890251E-3</v>
      </c>
      <c r="AO67" s="48">
        <v>453</v>
      </c>
      <c r="AP67" s="45">
        <v>4.49495998890251E-3</v>
      </c>
      <c r="AQ67" s="48">
        <v>453</v>
      </c>
      <c r="AR67" s="45">
        <v>4.49495998890251E-3</v>
      </c>
      <c r="AS67" s="48">
        <v>453</v>
      </c>
      <c r="AT67" s="45">
        <v>0.242271298321068</v>
      </c>
      <c r="AU67" s="48">
        <v>24415.990000000005</v>
      </c>
      <c r="AV67" s="39">
        <f t="shared" si="0"/>
        <v>345.66999999999825</v>
      </c>
      <c r="AW67" s="40">
        <f t="shared" si="2"/>
        <v>74099.285253901719</v>
      </c>
      <c r="AX67" s="40">
        <f t="shared" si="3"/>
        <v>26335.58474609827</v>
      </c>
      <c r="AY67" s="40">
        <f t="shared" si="4"/>
        <v>100434.87</v>
      </c>
      <c r="AZ67" s="41">
        <f t="shared" si="1"/>
        <v>344.66999999999825</v>
      </c>
    </row>
    <row r="68" spans="1:52" ht="15" thickBot="1">
      <c r="A68" s="137" t="s">
        <v>148</v>
      </c>
      <c r="B68" s="138" t="s">
        <v>146</v>
      </c>
      <c r="C68" s="139">
        <v>3841.46</v>
      </c>
      <c r="D68" s="74">
        <v>0</v>
      </c>
      <c r="E68" s="119"/>
      <c r="F68" s="74">
        <v>0</v>
      </c>
      <c r="G68" s="119"/>
      <c r="H68" s="74">
        <v>0</v>
      </c>
      <c r="I68" s="120"/>
      <c r="J68" s="74">
        <v>0</v>
      </c>
      <c r="K68" s="119"/>
      <c r="L68" s="74">
        <v>0</v>
      </c>
      <c r="M68" s="119"/>
      <c r="N68" s="74">
        <v>0</v>
      </c>
      <c r="O68" s="119"/>
      <c r="P68" s="74">
        <v>0</v>
      </c>
      <c r="Q68" s="119"/>
      <c r="R68" s="140">
        <v>0</v>
      </c>
      <c r="S68" s="119"/>
      <c r="T68" s="140">
        <v>0</v>
      </c>
      <c r="U68" s="119"/>
      <c r="V68" s="74">
        <v>0</v>
      </c>
      <c r="W68" s="119"/>
      <c r="X68" s="74">
        <v>0</v>
      </c>
      <c r="Y68" s="119"/>
      <c r="Z68" s="74">
        <v>0</v>
      </c>
      <c r="AA68" s="119"/>
      <c r="AB68" s="74">
        <v>0</v>
      </c>
      <c r="AC68" s="119"/>
      <c r="AD68" s="74">
        <v>0</v>
      </c>
      <c r="AE68" s="119"/>
      <c r="AF68" s="74">
        <v>0</v>
      </c>
      <c r="AG68" s="119"/>
      <c r="AH68" s="74">
        <v>0</v>
      </c>
      <c r="AI68" s="141"/>
      <c r="AJ68" s="142"/>
      <c r="AK68" s="37">
        <f>ROUND(Gantt!AK68*(centralizator!$R$18-1),2)</f>
        <v>0</v>
      </c>
      <c r="AL68" s="142"/>
      <c r="AM68" s="143"/>
      <c r="AN68" s="142"/>
      <c r="AO68" s="143"/>
      <c r="AP68" s="142"/>
      <c r="AQ68" s="143"/>
      <c r="AR68" s="142"/>
      <c r="AS68" s="143"/>
      <c r="AT68" s="49">
        <v>1</v>
      </c>
      <c r="AU68" s="144">
        <v>3841.46</v>
      </c>
      <c r="AV68" s="39">
        <f t="shared" si="0"/>
        <v>0</v>
      </c>
      <c r="AW68" s="40">
        <f t="shared" si="2"/>
        <v>0</v>
      </c>
      <c r="AX68" s="40">
        <f t="shared" si="3"/>
        <v>3842.46</v>
      </c>
      <c r="AY68" s="40">
        <f t="shared" si="4"/>
        <v>3842.46</v>
      </c>
      <c r="AZ68" s="41">
        <f t="shared" si="1"/>
        <v>-1</v>
      </c>
    </row>
    <row r="69" spans="1:52" ht="15" thickBot="1">
      <c r="A69" s="145"/>
      <c r="B69" s="146" t="s">
        <v>149</v>
      </c>
      <c r="C69" s="147">
        <f>C66+C64+C62+C60+C58+C56+C46+C39+C32+C25+C22+C19+C16+C14+C11+C59+C61+C63+C65</f>
        <v>70645801.779999986</v>
      </c>
      <c r="D69" s="148"/>
      <c r="E69" s="149">
        <v>316505.05000000005</v>
      </c>
      <c r="F69" s="148"/>
      <c r="G69" s="149">
        <v>1592445.57</v>
      </c>
      <c r="H69" s="148"/>
      <c r="I69" s="149">
        <v>725240.56000000017</v>
      </c>
      <c r="J69" s="150"/>
      <c r="K69" s="151">
        <v>2006611.4300000002</v>
      </c>
      <c r="L69" s="150"/>
      <c r="M69" s="151">
        <v>4307535.6091418564</v>
      </c>
      <c r="N69" s="152"/>
      <c r="O69" s="151">
        <v>1724521.7500000002</v>
      </c>
      <c r="P69" s="152"/>
      <c r="Q69" s="151">
        <v>1370368.1700000002</v>
      </c>
      <c r="R69" s="152"/>
      <c r="S69" s="151">
        <v>1008768.9999999999</v>
      </c>
      <c r="T69" s="152"/>
      <c r="U69" s="151">
        <v>3191783.3</v>
      </c>
      <c r="V69" s="153">
        <v>6.9190744815355976E-2</v>
      </c>
      <c r="W69" s="149">
        <v>4888035.6432362003</v>
      </c>
      <c r="X69" s="152"/>
      <c r="Y69" s="151">
        <v>4656691.3600000003</v>
      </c>
      <c r="Z69" s="152"/>
      <c r="AA69" s="151">
        <v>7292769.0099999998</v>
      </c>
      <c r="AB69" s="152"/>
      <c r="AC69" s="151">
        <v>2706165.04</v>
      </c>
      <c r="AD69" s="152"/>
      <c r="AE69" s="151">
        <v>3634882.21</v>
      </c>
      <c r="AF69" s="152"/>
      <c r="AG69" s="151">
        <v>1855181.4700000002</v>
      </c>
      <c r="AH69" s="152"/>
      <c r="AI69" s="151">
        <v>1660599.99</v>
      </c>
      <c r="AJ69" s="151"/>
      <c r="AK69" s="37">
        <f>ROUND(Gantt!AK69*(centralizator!$R$18-1),2)</f>
        <v>1290717.71</v>
      </c>
      <c r="AL69" s="151"/>
      <c r="AM69" s="151">
        <v>8585634.8399999999</v>
      </c>
      <c r="AN69" s="151"/>
      <c r="AO69" s="151">
        <v>8045911.6112881303</v>
      </c>
      <c r="AP69" s="151"/>
      <c r="AQ69" s="151">
        <v>2439102.29</v>
      </c>
      <c r="AR69" s="151"/>
      <c r="AS69" s="151">
        <v>1946765.1500000001</v>
      </c>
      <c r="AT69" s="152"/>
      <c r="AU69" s="151">
        <v>1242837.3263338166</v>
      </c>
      <c r="AV69" s="39">
        <f t="shared" si="0"/>
        <v>4156727.6899999902</v>
      </c>
      <c r="AW69" s="40">
        <f t="shared" si="2"/>
        <v>42938105.231568798</v>
      </c>
      <c r="AX69" s="40">
        <f t="shared" si="3"/>
        <v>23550968.927621946</v>
      </c>
      <c r="AY69" s="40">
        <f t="shared" si="4"/>
        <v>66489074.159190744</v>
      </c>
      <c r="AZ69" s="41">
        <f t="shared" si="1"/>
        <v>4156727.6208092421</v>
      </c>
    </row>
    <row r="70" spans="1:52" ht="14.4" hidden="1" thickBot="1">
      <c r="D70" s="779">
        <f>E69+G69+I69</f>
        <v>2634191.1800000002</v>
      </c>
      <c r="E70" s="779"/>
      <c r="F70" s="779"/>
      <c r="G70" s="779"/>
      <c r="H70" s="779"/>
      <c r="I70" s="779"/>
      <c r="J70" s="780">
        <f>K69+M69</f>
        <v>6314147.0391418561</v>
      </c>
      <c r="K70" s="781"/>
      <c r="L70" s="781"/>
      <c r="M70" s="782"/>
      <c r="N70" s="154"/>
      <c r="O70" s="155"/>
      <c r="P70" s="783">
        <f>Q69+S69+U69</f>
        <v>5570920.4699999997</v>
      </c>
      <c r="Q70" s="783"/>
      <c r="R70" s="783"/>
      <c r="S70" s="783"/>
      <c r="T70" s="783"/>
      <c r="U70" s="783"/>
    </row>
    <row r="71" spans="1:52">
      <c r="AK71" s="39"/>
    </row>
    <row r="72" spans="1:52">
      <c r="W72" s="39"/>
    </row>
    <row r="75" spans="1:52">
      <c r="B75" s="41"/>
    </row>
  </sheetData>
  <mergeCells count="47">
    <mergeCell ref="T8:U8"/>
    <mergeCell ref="V8:W8"/>
    <mergeCell ref="X8:Y8"/>
    <mergeCell ref="Z8:AA8"/>
    <mergeCell ref="D8:E8"/>
    <mergeCell ref="F8:G8"/>
    <mergeCell ref="H8:I8"/>
    <mergeCell ref="J8:K8"/>
    <mergeCell ref="L8:M8"/>
    <mergeCell ref="N8:O8"/>
    <mergeCell ref="AR8:AS8"/>
    <mergeCell ref="AT8:AU8"/>
    <mergeCell ref="D9:E9"/>
    <mergeCell ref="F9:G9"/>
    <mergeCell ref="H9:I9"/>
    <mergeCell ref="J9:K9"/>
    <mergeCell ref="L9:M9"/>
    <mergeCell ref="N9:O9"/>
    <mergeCell ref="AB8:AC8"/>
    <mergeCell ref="AD8:AE8"/>
    <mergeCell ref="AF8:AG8"/>
    <mergeCell ref="AH8:AI8"/>
    <mergeCell ref="AJ8:AK8"/>
    <mergeCell ref="AL8:AM8"/>
    <mergeCell ref="P8:Q8"/>
    <mergeCell ref="R8:S8"/>
    <mergeCell ref="Z9:AA9"/>
    <mergeCell ref="AN8:AO8"/>
    <mergeCell ref="AP8:AQ8"/>
    <mergeCell ref="AN9:AO9"/>
    <mergeCell ref="AP9:AQ9"/>
    <mergeCell ref="AR9:AS9"/>
    <mergeCell ref="AT9:AU9"/>
    <mergeCell ref="D70:I70"/>
    <mergeCell ref="J70:M70"/>
    <mergeCell ref="P70:U70"/>
    <mergeCell ref="AB9:AC9"/>
    <mergeCell ref="AD9:AE9"/>
    <mergeCell ref="AF9:AG9"/>
    <mergeCell ref="AH9:AI9"/>
    <mergeCell ref="AJ9:AK9"/>
    <mergeCell ref="AL9:AM9"/>
    <mergeCell ref="P9:Q9"/>
    <mergeCell ref="R9:S9"/>
    <mergeCell ref="T9:U9"/>
    <mergeCell ref="V9:W9"/>
    <mergeCell ref="X9:Y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centralizator (5)</vt:lpstr>
      <vt:lpstr>centralizator (4)</vt:lpstr>
      <vt:lpstr>centralizator (3)</vt:lpstr>
      <vt:lpstr>centralizator (2)</vt:lpstr>
      <vt:lpstr>centralizator</vt:lpstr>
      <vt:lpstr>Gantt</vt:lpstr>
      <vt:lpstr>Gantt_apr22_ajus</vt:lpstr>
      <vt:lpstr>Gantt_apr22_ajustare</vt:lpstr>
      <vt:lpstr>Gantt_apr22</vt:lpstr>
      <vt:lpstr>Sheet3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sorini</dc:creator>
  <cp:lastModifiedBy>sorini</cp:lastModifiedBy>
  <cp:lastPrinted>2022-06-27T06:20:53Z</cp:lastPrinted>
  <dcterms:created xsi:type="dcterms:W3CDTF">2022-01-20T11:46:11Z</dcterms:created>
  <dcterms:modified xsi:type="dcterms:W3CDTF">2022-06-27T07:20:35Z</dcterms:modified>
</cp:coreProperties>
</file>